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95282\"/>
    </mc:Choice>
  </mc:AlternateContent>
  <bookViews>
    <workbookView xWindow="0" yWindow="0" windowWidth="23040" windowHeight="9972" tabRatio="895" firstSheet="7" activeTab="16"/>
  </bookViews>
  <sheets>
    <sheet name="Coversheet" sheetId="12" r:id="rId1"/>
    <sheet name="Att O_MMU" sheetId="36"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4"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10">'Adj to Rate Base'!$D$4:$H$18</definedName>
    <definedName name="_xlnm.Print_Area" localSheetId="15">'Admin &amp; General'!$A$1:$G$46</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3">'Income Sched 3'!$A$1:$G$31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5'!$A$1:$G$23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C25" i="3" l="1"/>
  <c r="G48" i="2" l="1"/>
  <c r="I273" i="36" l="1"/>
  <c r="I272" i="36"/>
  <c r="D256" i="36"/>
  <c r="D252" i="36"/>
  <c r="D246" i="36"/>
  <c r="D242" i="36"/>
  <c r="D241" i="36"/>
  <c r="D240" i="36"/>
  <c r="D239" i="36"/>
  <c r="D243" i="36" s="1"/>
  <c r="D181" i="36"/>
  <c r="D182" i="36" s="1"/>
  <c r="D175" i="36"/>
  <c r="D169" i="36"/>
  <c r="D171" i="36" s="1"/>
  <c r="D168" i="36"/>
  <c r="D162" i="36"/>
  <c r="D161" i="36"/>
  <c r="D159" i="36"/>
  <c r="D158" i="36"/>
  <c r="D156" i="36"/>
  <c r="D165" i="36" s="1"/>
  <c r="D124" i="36" s="1"/>
  <c r="D125" i="36"/>
  <c r="D101" i="36"/>
  <c r="D100" i="36"/>
  <c r="D108" i="36" s="1"/>
  <c r="D99" i="36"/>
  <c r="D98" i="36"/>
  <c r="D103" i="36" s="1"/>
  <c r="D93" i="36"/>
  <c r="D92" i="36"/>
  <c r="D91" i="36"/>
  <c r="D107" i="36" s="1"/>
  <c r="D90" i="36"/>
  <c r="I34" i="36"/>
  <c r="I41" i="36" s="1"/>
  <c r="D284" i="36"/>
  <c r="D283" i="36"/>
  <c r="K282" i="36"/>
  <c r="C282" i="36"/>
  <c r="B282" i="36"/>
  <c r="I276" i="36"/>
  <c r="D14" i="36" s="1"/>
  <c r="I267" i="36"/>
  <c r="G256" i="36"/>
  <c r="D249" i="36"/>
  <c r="G247" i="36" s="1"/>
  <c r="G242" i="36"/>
  <c r="G241" i="36"/>
  <c r="G240" i="36"/>
  <c r="I222" i="36"/>
  <c r="I225" i="36" s="1"/>
  <c r="D218" i="36"/>
  <c r="D216" i="36"/>
  <c r="K215" i="36"/>
  <c r="D215" i="36"/>
  <c r="B215" i="36"/>
  <c r="D189" i="36"/>
  <c r="D193" i="36" s="1"/>
  <c r="D185" i="36"/>
  <c r="F180" i="36"/>
  <c r="F176" i="36"/>
  <c r="B170" i="36"/>
  <c r="B168" i="36"/>
  <c r="I164" i="36"/>
  <c r="F162" i="36"/>
  <c r="F160" i="36"/>
  <c r="F161" i="36" s="1"/>
  <c r="I157" i="36"/>
  <c r="D151" i="36"/>
  <c r="D149" i="36"/>
  <c r="K148" i="36"/>
  <c r="D148" i="36"/>
  <c r="B148" i="36"/>
  <c r="D119" i="36"/>
  <c r="F117" i="36"/>
  <c r="D110" i="36"/>
  <c r="D109" i="36"/>
  <c r="B108" i="36"/>
  <c r="F102" i="36"/>
  <c r="B102" i="36"/>
  <c r="B110" i="36" s="1"/>
  <c r="F101" i="36"/>
  <c r="B101" i="36"/>
  <c r="B109" i="36" s="1"/>
  <c r="G100" i="36"/>
  <c r="F100" i="36"/>
  <c r="B100" i="36"/>
  <c r="F99" i="36"/>
  <c r="F121" i="36" s="1"/>
  <c r="B99" i="36"/>
  <c r="B107" i="36" s="1"/>
  <c r="G98" i="36"/>
  <c r="F98" i="36"/>
  <c r="B98" i="36"/>
  <c r="B106" i="36" s="1"/>
  <c r="D95" i="36"/>
  <c r="D85" i="36"/>
  <c r="D83" i="36"/>
  <c r="K82" i="36"/>
  <c r="D82" i="36"/>
  <c r="B82" i="36"/>
  <c r="I53" i="36"/>
  <c r="I52" i="36"/>
  <c r="I27" i="36"/>
  <c r="I25" i="36"/>
  <c r="I21" i="36"/>
  <c r="F14" i="36"/>
  <c r="D13" i="36"/>
  <c r="G239" i="36" l="1"/>
  <c r="G243" i="36" s="1"/>
  <c r="I243" i="36" s="1"/>
  <c r="I230" i="36"/>
  <c r="D106" i="36"/>
  <c r="D111" i="36" s="1"/>
  <c r="I227" i="36"/>
  <c r="G13" i="36" s="1"/>
  <c r="G15" i="36"/>
  <c r="I15" i="36" s="1"/>
  <c r="I13" i="36"/>
  <c r="G16" i="36"/>
  <c r="I16" i="36" s="1"/>
  <c r="G14" i="36"/>
  <c r="I14" i="36" s="1"/>
  <c r="I235" i="36"/>
  <c r="G91" i="36"/>
  <c r="G159" i="36" l="1"/>
  <c r="G93" i="36"/>
  <c r="I93" i="36" s="1"/>
  <c r="G161" i="36"/>
  <c r="I161" i="36" s="1"/>
  <c r="G160" i="36"/>
  <c r="I160" i="36" s="1"/>
  <c r="I247" i="36"/>
  <c r="K247" i="36" s="1"/>
  <c r="G163" i="36" s="1"/>
  <c r="I234" i="36"/>
  <c r="I236" i="36" s="1"/>
  <c r="I232" i="36"/>
  <c r="I91" i="36"/>
  <c r="G99" i="36"/>
  <c r="I17" i="36"/>
  <c r="I159" i="36"/>
  <c r="G169" i="36"/>
  <c r="G94" i="36" l="1"/>
  <c r="I94" i="36" s="1"/>
  <c r="I95" i="36" s="1"/>
  <c r="G95" i="36" s="1"/>
  <c r="G101" i="36"/>
  <c r="I101" i="36" s="1"/>
  <c r="I109" i="36" s="1"/>
  <c r="G156" i="36"/>
  <c r="I156" i="36" s="1"/>
  <c r="G125" i="36"/>
  <c r="I125" i="36" s="1"/>
  <c r="G102" i="36"/>
  <c r="I102" i="36" s="1"/>
  <c r="I169" i="36"/>
  <c r="G175" i="36"/>
  <c r="I99" i="36"/>
  <c r="G121" i="36"/>
  <c r="I163" i="36"/>
  <c r="G170" i="36"/>
  <c r="I170" i="36" s="1"/>
  <c r="I103" i="36" l="1"/>
  <c r="G162" i="36"/>
  <c r="I162" i="36" s="1"/>
  <c r="G158" i="36"/>
  <c r="I158" i="36" s="1"/>
  <c r="G126" i="36"/>
  <c r="G178" i="36"/>
  <c r="I165" i="36"/>
  <c r="I124" i="36" s="1"/>
  <c r="I121" i="36"/>
  <c r="G168" i="36"/>
  <c r="I168" i="36" s="1"/>
  <c r="I171" i="36" s="1"/>
  <c r="I110" i="36"/>
  <c r="I107" i="36"/>
  <c r="I175" i="36"/>
  <c r="G176" i="36"/>
  <c r="I176" i="36" s="1"/>
  <c r="I178" i="36" l="1"/>
  <c r="G180" i="36"/>
  <c r="I111" i="36"/>
  <c r="G111" i="36" s="1"/>
  <c r="G193" i="36" l="1"/>
  <c r="I193" i="36" s="1"/>
  <c r="G115" i="36"/>
  <c r="G181" i="36"/>
  <c r="I181" i="36" s="1"/>
  <c r="I180" i="36"/>
  <c r="I182" i="36" s="1"/>
  <c r="G116" i="36" l="1"/>
  <c r="I115" i="36"/>
  <c r="G118" i="36" l="1"/>
  <c r="I118" i="36" s="1"/>
  <c r="I116" i="36"/>
  <c r="G117" i="36"/>
  <c r="I117" i="36" s="1"/>
  <c r="I119" i="36" l="1"/>
  <c r="H15" i="2" l="1"/>
  <c r="G20" i="2"/>
  <c r="H19" i="5"/>
  <c r="H21" i="5"/>
  <c r="H23" i="5"/>
  <c r="H25" i="5"/>
  <c r="H27" i="5"/>
  <c r="H28" i="5"/>
  <c r="H29" i="5"/>
  <c r="H18" i="5"/>
  <c r="G29" i="5"/>
  <c r="G27" i="5"/>
  <c r="G25" i="5"/>
  <c r="G23" i="5"/>
  <c r="G21" i="5"/>
  <c r="G18" i="5"/>
  <c r="N21" i="4"/>
  <c r="N20" i="4"/>
  <c r="N19" i="4"/>
  <c r="N16" i="4"/>
  <c r="M21" i="4"/>
  <c r="M20" i="4"/>
  <c r="M19" i="4"/>
  <c r="M16" i="4"/>
  <c r="C19" i="3" l="1"/>
  <c r="C24" i="3"/>
  <c r="F50" i="2" l="1"/>
  <c r="G15" i="2" l="1"/>
  <c r="G12" i="2"/>
  <c r="G11" i="2"/>
  <c r="G16" i="9" l="1"/>
  <c r="C48" i="2"/>
  <c r="C36" i="2"/>
  <c r="C33" i="2"/>
  <c r="C11" i="2"/>
  <c r="C14" i="3"/>
  <c r="D10" i="9"/>
  <c r="D29" i="5"/>
  <c r="D28" i="5"/>
  <c r="D27" i="5"/>
  <c r="D25" i="5"/>
  <c r="E23" i="5"/>
  <c r="D23" i="5"/>
  <c r="D18" i="5"/>
  <c r="E18" i="5"/>
  <c r="E41" i="8" l="1"/>
  <c r="E30" i="8"/>
  <c r="F28" i="8"/>
  <c r="F26" i="8"/>
  <c r="J39" i="14" l="1"/>
  <c r="J38" i="14"/>
  <c r="J37" i="14"/>
  <c r="J36" i="14"/>
  <c r="J35" i="14"/>
  <c r="J34" i="14"/>
  <c r="J33" i="14"/>
  <c r="J32" i="14"/>
  <c r="J31" i="14"/>
  <c r="J30" i="14"/>
  <c r="J29" i="14"/>
  <c r="I39" i="14"/>
  <c r="I38" i="14"/>
  <c r="I37" i="14"/>
  <c r="I36" i="14"/>
  <c r="I35" i="14"/>
  <c r="I34" i="14"/>
  <c r="I33" i="14"/>
  <c r="I32" i="14"/>
  <c r="I31" i="14"/>
  <c r="I30" i="14"/>
  <c r="I29" i="14"/>
  <c r="H39" i="14"/>
  <c r="H38" i="14"/>
  <c r="H37" i="14"/>
  <c r="H36" i="14"/>
  <c r="H35" i="14"/>
  <c r="H34" i="14"/>
  <c r="H33" i="14"/>
  <c r="H32" i="14"/>
  <c r="H31" i="14"/>
  <c r="H30" i="14"/>
  <c r="H29" i="14"/>
  <c r="G39" i="14"/>
  <c r="G38" i="14"/>
  <c r="G37" i="14"/>
  <c r="G36" i="14"/>
  <c r="G35" i="14"/>
  <c r="G34" i="14"/>
  <c r="G33" i="14"/>
  <c r="G32" i="14"/>
  <c r="G31" i="14"/>
  <c r="G30" i="14"/>
  <c r="G29" i="14"/>
  <c r="H21" i="20" l="1"/>
  <c r="H20" i="20"/>
  <c r="H19" i="20"/>
  <c r="H18" i="20"/>
  <c r="H17" i="20"/>
  <c r="H16" i="20"/>
  <c r="H15" i="20"/>
  <c r="H14" i="20"/>
  <c r="H13" i="20"/>
  <c r="H12" i="20"/>
  <c r="H11" i="20"/>
  <c r="F15" i="20" l="1"/>
  <c r="F14" i="20" l="1"/>
  <c r="C33" i="24"/>
  <c r="C31" i="24"/>
  <c r="C30" i="24"/>
  <c r="C24" i="24"/>
  <c r="C19" i="24"/>
  <c r="C6" i="24"/>
  <c r="C44" i="25"/>
  <c r="C42" i="25"/>
  <c r="C37" i="25"/>
  <c r="C31" i="25"/>
  <c r="C20" i="25"/>
  <c r="C18" i="25"/>
  <c r="C12" i="25"/>
  <c r="C11" i="25"/>
  <c r="L17" i="5" l="1"/>
  <c r="E22" i="19" l="1"/>
  <c r="D126" i="36" s="1"/>
  <c r="D22" i="19"/>
  <c r="D127" i="36" l="1"/>
  <c r="D129" i="36" s="1"/>
  <c r="I126" i="36"/>
  <c r="F7" i="20"/>
  <c r="D5" i="19"/>
  <c r="D5" i="18"/>
  <c r="F7" i="16"/>
  <c r="F7" i="14"/>
  <c r="C7" i="13"/>
  <c r="C21" i="34"/>
  <c r="H29" i="34" s="1"/>
  <c r="B21" i="34"/>
  <c r="H28" i="34" s="1"/>
  <c r="D9" i="34"/>
  <c r="D10" i="34"/>
  <c r="D11" i="34"/>
  <c r="D12" i="34"/>
  <c r="D13" i="34"/>
  <c r="D14" i="34"/>
  <c r="D15" i="34"/>
  <c r="D16" i="34"/>
  <c r="D17" i="34"/>
  <c r="D18" i="34"/>
  <c r="D19" i="34"/>
  <c r="D8" i="34"/>
  <c r="I127" i="36" l="1"/>
  <c r="H37" i="34"/>
  <c r="D21" i="34"/>
  <c r="H40" i="34" s="1"/>
  <c r="H41" i="34"/>
  <c r="I129" i="36" l="1"/>
  <c r="H44" i="34"/>
  <c r="E19" i="5" l="1"/>
  <c r="C45" i="25" l="1"/>
  <c r="G50" i="14" l="1"/>
  <c r="D23" i="13" l="1"/>
  <c r="C14" i="25" l="1"/>
  <c r="C21" i="25"/>
  <c r="C22" i="24" l="1"/>
  <c r="H15" i="8"/>
  <c r="H16" i="8"/>
  <c r="H23" i="8"/>
  <c r="H24" i="8"/>
  <c r="E44" i="8"/>
  <c r="F44" i="8"/>
  <c r="F24" i="20"/>
  <c r="G20" i="4" l="1"/>
  <c r="G24" i="20"/>
  <c r="D255" i="36" s="1"/>
  <c r="D257" i="36" l="1"/>
  <c r="G255" i="36"/>
  <c r="C34" i="24"/>
  <c r="E21" i="5" s="1"/>
  <c r="D21" i="5"/>
  <c r="I255" i="36" l="1"/>
  <c r="E255" i="36"/>
  <c r="E256" i="36"/>
  <c r="C37" i="24"/>
  <c r="A2" i="24"/>
  <c r="A3" i="25" s="1"/>
  <c r="A2" i="26" s="1"/>
  <c r="A2" i="27" s="1"/>
  <c r="B14" i="31"/>
  <c r="C13" i="28"/>
  <c r="B20" i="27"/>
  <c r="B14" i="27"/>
  <c r="C13" i="26"/>
  <c r="B13" i="26"/>
  <c r="C28" i="25"/>
  <c r="E257" i="36" l="1"/>
  <c r="I256" i="36"/>
  <c r="I257" i="36"/>
  <c r="A3" i="28"/>
  <c r="A2" i="31"/>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K45" i="14"/>
  <c r="M28" i="14"/>
  <c r="K27" i="14"/>
  <c r="K44" i="14" s="1"/>
  <c r="J27" i="14"/>
  <c r="J44" i="14" s="1"/>
  <c r="L24" i="14"/>
  <c r="I24" i="14"/>
  <c r="G7" i="14"/>
  <c r="D6" i="14"/>
  <c r="D7" i="13"/>
  <c r="C10" i="13" s="1"/>
  <c r="C11" i="13" s="1"/>
  <c r="C12" i="13" s="1"/>
  <c r="C13" i="13" s="1"/>
  <c r="C14" i="13" s="1"/>
  <c r="C15" i="13" s="1"/>
  <c r="C16" i="13" s="1"/>
  <c r="C17" i="13" s="1"/>
  <c r="C18" i="13" s="1"/>
  <c r="C19" i="13" s="1"/>
  <c r="C20" i="13" s="1"/>
  <c r="C21" i="13" s="1"/>
  <c r="I261" i="36" l="1"/>
  <c r="D186" i="36"/>
  <c r="D196" i="36"/>
  <c r="I196" i="36"/>
  <c r="E11" i="20"/>
  <c r="E10" i="20"/>
  <c r="C19" i="19"/>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C20" i="19"/>
  <c r="C16" i="19"/>
  <c r="C12" i="19"/>
  <c r="C17" i="19"/>
  <c r="C13" i="19"/>
  <c r="C9" i="19"/>
  <c r="C18" i="19"/>
  <c r="C14" i="19"/>
  <c r="C10" i="19"/>
  <c r="C8" i="19"/>
  <c r="C11" i="19"/>
  <c r="E14" i="20"/>
  <c r="E18" i="20"/>
  <c r="E22" i="20"/>
  <c r="E17" i="20"/>
  <c r="E21" i="20"/>
  <c r="E12" i="20"/>
  <c r="E16" i="20"/>
  <c r="D192" i="36" l="1"/>
  <c r="D194" i="36" s="1"/>
  <c r="D199" i="36" s="1"/>
  <c r="D208" i="36" s="1"/>
  <c r="I192" i="36"/>
  <c r="K48" i="14"/>
  <c r="J46" i="14"/>
  <c r="H45" i="14"/>
  <c r="H46" i="14"/>
  <c r="M10" i="14"/>
  <c r="I194" i="36" l="1"/>
  <c r="I199" i="36" s="1"/>
  <c r="G46" i="14"/>
  <c r="M45" i="14"/>
  <c r="G47" i="14"/>
  <c r="M46" i="14"/>
  <c r="K49" i="14"/>
  <c r="I208" i="36" l="1"/>
  <c r="H47" i="14"/>
  <c r="J48" i="14"/>
  <c r="K50" i="14"/>
  <c r="G48" i="14"/>
  <c r="J47" i="14"/>
  <c r="M47" i="14"/>
  <c r="H48" i="14"/>
  <c r="I10" i="36" l="1"/>
  <c r="M48" i="14"/>
  <c r="K51" i="14"/>
  <c r="G49" i="14"/>
  <c r="J49" i="14"/>
  <c r="H49" i="14"/>
  <c r="I31" i="36" l="1"/>
  <c r="H50" i="14"/>
  <c r="M49" i="14"/>
  <c r="J50" i="14"/>
  <c r="K52" i="14"/>
  <c r="H51" i="14"/>
  <c r="D43" i="36" l="1"/>
  <c r="J51" i="14"/>
  <c r="K53" i="14"/>
  <c r="M50" i="14"/>
  <c r="G51" i="14"/>
  <c r="I49" i="36" l="1"/>
  <c r="I47" i="36"/>
  <c r="I48" i="36"/>
  <c r="D48" i="36"/>
  <c r="D49" i="36"/>
  <c r="D47" i="36"/>
  <c r="D44" i="36"/>
  <c r="H52" i="14"/>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G56" i="14" l="1"/>
  <c r="M55" i="14"/>
  <c r="H42" i="14"/>
  <c r="J56" i="14"/>
  <c r="M56" i="14" l="1"/>
  <c r="J57" i="14"/>
  <c r="J59" i="14" s="1"/>
  <c r="J24" i="14"/>
  <c r="G57" i="14"/>
  <c r="G59" i="14" s="1"/>
  <c r="G24" i="14"/>
  <c r="M42" i="14"/>
  <c r="G42" i="14"/>
  <c r="H57" i="14"/>
  <c r="H59" i="14" s="1"/>
  <c r="H24" i="14"/>
  <c r="M57" i="14" l="1"/>
  <c r="M59" i="14" s="1"/>
  <c r="M24" i="14"/>
  <c r="H42" i="8" l="1"/>
  <c r="H31" i="8" l="1"/>
  <c r="H30" i="8"/>
  <c r="H20" i="8"/>
  <c r="H19" i="8"/>
  <c r="H18" i="8"/>
  <c r="H17" i="8"/>
  <c r="H14" i="8"/>
  <c r="J20" i="8" l="1"/>
  <c r="H41" i="8" l="1"/>
  <c r="H40" i="8"/>
  <c r="H37" i="8"/>
  <c r="H36" i="8"/>
  <c r="H35" i="8"/>
  <c r="H34" i="8"/>
  <c r="H29" i="8"/>
  <c r="H28" i="8"/>
  <c r="H27" i="8"/>
  <c r="H26" i="8"/>
  <c r="H25" i="8"/>
  <c r="H11" i="8"/>
  <c r="H10" i="8"/>
  <c r="H9" i="8"/>
  <c r="A2" i="8"/>
  <c r="A1" i="8"/>
  <c r="F29" i="5"/>
  <c r="F28" i="5"/>
  <c r="F27" i="5"/>
  <c r="F25" i="5"/>
  <c r="F23" i="5"/>
  <c r="F21" i="5"/>
  <c r="E31" i="5"/>
  <c r="C11" i="3" s="1"/>
  <c r="D19" i="5"/>
  <c r="D31" i="5" s="1"/>
  <c r="C10" i="3" s="1"/>
  <c r="C19" i="5"/>
  <c r="C31" i="5" s="1"/>
  <c r="F18" i="5"/>
  <c r="F16" i="5"/>
  <c r="F15" i="5"/>
  <c r="F13" i="5"/>
  <c r="F11" i="5"/>
  <c r="F10" i="5"/>
  <c r="G29" i="4"/>
  <c r="G26" i="4"/>
  <c r="G25" i="4"/>
  <c r="G24" i="4"/>
  <c r="G21" i="4"/>
  <c r="G19" i="4"/>
  <c r="K17" i="4"/>
  <c r="K22" i="4" s="1"/>
  <c r="K27" i="4" s="1"/>
  <c r="K30" i="4" s="1"/>
  <c r="K33" i="4" s="1"/>
  <c r="I17" i="4"/>
  <c r="I22" i="4" s="1"/>
  <c r="I27" i="4" s="1"/>
  <c r="I30" i="4" s="1"/>
  <c r="F17" i="4"/>
  <c r="F22" i="4" s="1"/>
  <c r="F27" i="4" s="1"/>
  <c r="F30" i="4" s="1"/>
  <c r="E17" i="4"/>
  <c r="E22" i="4" s="1"/>
  <c r="E27" i="4" s="1"/>
  <c r="E30" i="4" s="1"/>
  <c r="D17" i="4"/>
  <c r="D22" i="4" s="1"/>
  <c r="D27" i="4" s="1"/>
  <c r="D30" i="4" s="1"/>
  <c r="C17" i="4"/>
  <c r="C22" i="4" s="1"/>
  <c r="G16" i="4"/>
  <c r="G15" i="4"/>
  <c r="G14" i="4"/>
  <c r="G13" i="4"/>
  <c r="G11" i="4"/>
  <c r="C27" i="3"/>
  <c r="A4" i="3"/>
  <c r="A6" i="4" s="1"/>
  <c r="A4" i="5" s="1"/>
  <c r="A4" i="9" s="1"/>
  <c r="A3" i="4"/>
  <c r="A1" i="5" s="1"/>
  <c r="A1" i="9" s="1"/>
  <c r="F54" i="2"/>
  <c r="C54" i="2"/>
  <c r="C46" i="2"/>
  <c r="F45" i="2"/>
  <c r="F33" i="2"/>
  <c r="C30" i="2"/>
  <c r="F28" i="2"/>
  <c r="F16" i="2"/>
  <c r="L19" i="5" l="1"/>
  <c r="L21" i="5" s="1"/>
  <c r="K34" i="4"/>
  <c r="J37" i="8"/>
  <c r="F57" i="2"/>
  <c r="J11" i="8"/>
  <c r="J42" i="8"/>
  <c r="C15" i="3"/>
  <c r="J31" i="8"/>
  <c r="H44" i="8"/>
  <c r="G22" i="4"/>
  <c r="C27" i="4"/>
  <c r="G17" i="4"/>
  <c r="F19" i="5"/>
  <c r="F31" i="5" s="1"/>
  <c r="C16" i="3" l="1"/>
  <c r="C18" i="3" s="1"/>
  <c r="J44" i="8"/>
  <c r="C30" i="4"/>
  <c r="G30" i="4" s="1"/>
  <c r="G27" i="4"/>
  <c r="C23" i="3" l="1"/>
  <c r="C28" i="3" s="1"/>
  <c r="C31" i="3" s="1"/>
  <c r="C16" i="2"/>
  <c r="C22" i="2" s="1"/>
  <c r="C57" i="2" s="1"/>
</calcChain>
</file>

<file path=xl/comments1.xml><?xml version="1.0" encoding="utf-8"?>
<comments xmlns="http://schemas.openxmlformats.org/spreadsheetml/2006/main">
  <authors>
    <author>Kristina Sipma</author>
  </authors>
  <commentList>
    <comment ref="C29" authorId="0" shapeId="0">
      <text>
        <r>
          <rPr>
            <b/>
            <sz val="9"/>
            <color indexed="81"/>
            <rFont val="Tahoma"/>
            <family val="2"/>
          </rPr>
          <t>Kristina Sipma:</t>
        </r>
        <r>
          <rPr>
            <sz val="9"/>
            <color indexed="81"/>
            <rFont val="Tahoma"/>
            <family val="2"/>
          </rPr>
          <t xml:space="preserve">
Debt Service Reserve and Bond Sinking Fund</t>
        </r>
      </text>
    </comment>
  </commentList>
</comments>
</file>

<file path=xl/sharedStrings.xml><?xml version="1.0" encoding="utf-8"?>
<sst xmlns="http://schemas.openxmlformats.org/spreadsheetml/2006/main" count="1093" uniqueCount="776">
  <si>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</si>
  <si>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</si>
  <si>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</si>
  <si>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</si>
  <si>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</si>
  <si>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</si>
  <si>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</si>
  <si>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</si>
  <si>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</si>
  <si>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</si>
  <si>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</si>
  <si>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</si>
  <si>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</si>
  <si>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</si>
  <si>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</si>
  <si>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</si>
  <si>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</si>
  <si>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</si>
  <si>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</si>
  <si>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</si>
  <si>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</si>
  <si>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</si>
  <si>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</si>
  <si>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</si>
  <si>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</si>
  <si>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</si>
  <si>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</si>
  <si>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</si>
  <si>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</si>
  <si>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</si>
  <si>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</si>
  <si>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</si>
  <si>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</si>
  <si>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</si>
  <si>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</si>
  <si>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</si>
  <si>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</si>
  <si>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</si>
  <si>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</si>
  <si>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</si>
  <si>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</si>
  <si>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</si>
  <si>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</si>
  <si>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</si>
  <si>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</si>
  <si>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</si>
  <si>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</si>
  <si>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</si>
  <si>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</si>
  <si>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</si>
  <si>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</si>
  <si>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</si>
  <si>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</si>
  <si>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</si>
  <si>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</si>
  <si>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</si>
  <si>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</si>
  <si>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</si>
  <si>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</si>
  <si>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</si>
  <si>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</si>
  <si>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</si>
  <si>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</si>
  <si>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</si>
  <si>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</si>
  <si>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</si>
  <si>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</si>
  <si>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</si>
  <si>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</si>
  <si>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</si>
  <si>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</si>
  <si>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</si>
  <si>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</si>
  <si>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</si>
  <si>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</si>
  <si>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</si>
  <si>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</si>
  <si>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</si>
  <si>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</si>
  <si>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</si>
  <si>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</si>
  <si>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</si>
  <si>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</si>
  <si>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</si>
  <si>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</si>
  <si>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</si>
  <si>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</si>
  <si>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</si>
  <si>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</si>
  <si>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</si>
  <si>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</si>
  <si>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</si>
  <si>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</si>
  <si>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</si>
  <si>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</si>
  <si>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</si>
  <si>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</si>
  <si>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</si>
  <si>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</si>
  <si>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</si>
  <si>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</si>
  <si>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</si>
  <si>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</si>
  <si>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</si>
  <si>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</si>
  <si>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</si>
  <si>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</si>
  <si>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</si>
  <si>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</si>
  <si>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</si>
  <si>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</si>
  <si>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</si>
  <si>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</si>
  <si>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</si>
  <si>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</si>
  <si>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</si>
  <si>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</si>
  <si>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</si>
  <si>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</si>
  <si>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</si>
  <si>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</si>
  <si>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</si>
  <si>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</si>
  <si>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</si>
  <si>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</si>
  <si>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</si>
  <si>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</si>
  <si>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</si>
  <si>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</si>
  <si>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</si>
  <si>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</si>
  <si>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</si>
  <si>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</si>
  <si>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</si>
  <si>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</si>
  <si>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</si>
  <si>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</si>
  <si>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</si>
  <si>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</si>
  <si>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</si>
  <si>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</si>
  <si>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</si>
  <si>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</si>
  <si>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</si>
  <si>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</si>
  <si>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</si>
  <si>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</si>
  <si>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</si>
  <si>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</si>
  <si>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</si>
  <si>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</si>
  <si>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</si>
  <si>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</si>
  <si>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</si>
  <si>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</si>
  <si>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</si>
  <si>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</si>
  <si>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</si>
  <si>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</si>
  <si>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</si>
  <si>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</si>
  <si>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</si>
  <si>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</si>
  <si>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</si>
  <si>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</si>
  <si>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</si>
  <si>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</si>
  <si>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</si>
  <si>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</si>
  <si>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</si>
  <si>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</si>
  <si>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</si>
  <si>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</si>
  <si>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</si>
  <si>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</si>
  <si>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</si>
  <si>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</si>
  <si>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</si>
  <si>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</si>
  <si>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</si>
  <si>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</si>
  <si>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</si>
  <si>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</si>
  <si>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</si>
  <si>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</si>
  <si>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</si>
  <si>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</si>
  <si>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</si>
  <si>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</si>
  <si>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</si>
  <si>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</si>
  <si>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</si>
  <si>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</si>
  <si>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</si>
  <si>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</si>
  <si>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</si>
  <si>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</si>
  <si>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</si>
  <si>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</si>
  <si>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</si>
  <si>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</si>
  <si>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</si>
  <si>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</si>
  <si>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</si>
  <si>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</si>
  <si>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</si>
  <si>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</si>
  <si>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</si>
  <si>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</si>
  <si>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</si>
  <si>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</si>
  <si>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</si>
  <si>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</si>
  <si>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</si>
  <si>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</si>
  <si>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</si>
  <si>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</si>
  <si>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</si>
  <si>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</si>
  <si>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</si>
  <si>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</si>
  <si>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</si>
  <si>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</si>
  <si>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</si>
  <si>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</si>
  <si>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</si>
  <si>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</si>
  <si>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</si>
  <si>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</si>
  <si>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</si>
  <si>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</si>
  <si>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</si>
  <si>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</si>
  <si>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</si>
  <si>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</si>
  <si>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</si>
  <si>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</si>
  <si>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</si>
  <si>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</si>
  <si>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</si>
  <si>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</si>
  <si>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</si>
  <si>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</si>
  <si>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</si>
  <si>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</si>
  <si>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</si>
  <si>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</si>
  <si>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</si>
  <si>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</si>
  <si>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</si>
  <si>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</si>
  <si>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</si>
  <si>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</si>
  <si>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</si>
  <si>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</si>
  <si>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</si>
  <si>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</si>
  <si>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</si>
  <si>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</si>
  <si>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</si>
  <si>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</si>
  <si>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</si>
  <si>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</si>
  <si>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</si>
  <si>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</si>
  <si>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</si>
  <si>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</si>
  <si>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</si>
  <si>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</si>
  <si>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</si>
  <si>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</si>
  <si>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</si>
  <si>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</si>
  <si>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</si>
  <si>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</si>
  <si>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</si>
  <si>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</si>
  <si>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</si>
  <si>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</si>
  <si>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</si>
  <si>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</si>
  <si>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</si>
  <si>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</si>
  <si>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</si>
  <si>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</si>
  <si>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</si>
  <si>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</si>
  <si>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</si>
  <si>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</si>
  <si>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</si>
  <si>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</si>
  <si>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</si>
  <si>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</si>
  <si>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</si>
  <si>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</si>
  <si>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</si>
  <si>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</si>
  <si>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</si>
  <si>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</si>
  <si>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</si>
  <si>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</si>
  <si>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</si>
  <si>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</si>
  <si>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</si>
  <si>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</si>
  <si>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</si>
  <si>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</si>
  <si>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</si>
  <si>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</si>
  <si>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</si>
  <si>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</si>
  <si>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</si>
  <si>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</si>
  <si>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</si>
  <si>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</si>
  <si>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</si>
  <si>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</si>
  <si>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</si>
  <si>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</si>
  <si>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</si>
  <si>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</si>
  <si>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</si>
  <si>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</si>
  <si>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</si>
  <si>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</si>
  <si>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</si>
  <si>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</si>
  <si>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</si>
  <si>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</si>
  <si>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</si>
  <si>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</si>
  <si>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</si>
  <si>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</si>
  <si>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</si>
  <si>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</si>
  <si>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</si>
  <si>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</si>
  <si>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</si>
  <si>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</si>
  <si>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</si>
  <si>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</si>
  <si>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</si>
  <si>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</si>
  <si>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</si>
  <si>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</si>
  <si>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</si>
  <si>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</si>
  <si>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</si>
  <si>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</si>
  <si>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</si>
  <si>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</si>
  <si>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</si>
  <si>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</si>
  <si>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</si>
  <si>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</si>
  <si>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</si>
  <si>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</si>
  <si>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</si>
  <si>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</si>
  <si>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</si>
  <si>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</si>
  <si>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</si>
  <si>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</si>
  <si>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</si>
  <si>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</si>
  <si>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</si>
  <si>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</si>
  <si>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</si>
  <si>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</si>
  <si>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</si>
  <si>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</si>
  <si>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</si>
  <si>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</si>
  <si>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</si>
  <si>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</si>
  <si>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</si>
  <si>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</si>
  <si>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</si>
  <si>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</si>
  <si>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</si>
  <si>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</si>
  <si>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</si>
  <si>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</si>
  <si>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</si>
  <si>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</si>
  <si>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</si>
  <si>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</si>
  <si>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</si>
  <si>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</si>
  <si>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</si>
  <si>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</si>
  <si>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</si>
  <si>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</si>
  <si>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</si>
  <si>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</si>
  <si>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</si>
  <si>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</si>
  <si>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</si>
  <si>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</si>
  <si>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</si>
  <si>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</si>
  <si>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</si>
  <si>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</si>
  <si>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</si>
  <si>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</si>
  <si>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</si>
  <si>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</si>
  <si>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</si>
  <si>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</si>
  <si>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</si>
  <si>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</si>
  <si>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</si>
  <si>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</si>
  <si>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</si>
  <si>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</si>
  <si>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</si>
  <si>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</si>
  <si>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</si>
  <si>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</si>
  <si>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</si>
  <si>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</si>
  <si>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</si>
  <si>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</si>
  <si>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</si>
  <si>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</si>
  <si>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</si>
  <si>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</si>
  <si>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</si>
  <si>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</si>
  <si>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</si>
  <si>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</si>
  <si>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</si>
  <si>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</si>
  <si>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</si>
  <si>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</si>
  <si>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</si>
  <si>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</si>
  <si>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</si>
  <si>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</si>
  <si>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</si>
  <si>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</si>
  <si>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</si>
  <si>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</si>
  <si>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</si>
  <si>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</si>
  <si>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</si>
  <si>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</si>
  <si>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</si>
  <si>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</si>
  <si>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</si>
  <si>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</si>
  <si>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</si>
  <si>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</si>
  <si>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</si>
  <si>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</si>
  <si>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</si>
  <si>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</si>
  <si>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</si>
  <si>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</si>
  <si>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</si>
  <si>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</si>
  <si>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</si>
  <si>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</si>
  <si>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</si>
  <si>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</si>
  <si>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</si>
  <si>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</si>
  <si>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</si>
  <si>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</si>
  <si>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</si>
  <si>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</si>
  <si>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</si>
  <si>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</si>
  <si>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</si>
  <si>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</si>
  <si>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</si>
  <si>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</si>
  <si>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</si>
  <si>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</si>
  <si>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</si>
  <si>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</si>
  <si>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</si>
  <si>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</si>
  <si>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</si>
  <si>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</si>
  <si>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</si>
  <si>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</si>
  <si>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</si>
  <si>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</si>
  <si>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</si>
  <si>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</si>
  <si>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</si>
  <si>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</si>
  <si>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</si>
  <si>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</si>
  <si>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</si>
  <si>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</si>
  <si>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</si>
  <si>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</si>
  <si>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</si>
  <si>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</si>
  <si>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</si>
  <si>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</si>
  <si>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</si>
  <si>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</si>
  <si>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</si>
  <si>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</si>
  <si>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</si>
  <si>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</si>
  <si>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</si>
  <si>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</si>
  <si>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</si>
  <si>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</si>
  <si>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</si>
  <si>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</si>
  <si>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</si>
  <si>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</si>
  <si>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</si>
  <si>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</si>
  <si>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</si>
  <si>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</si>
  <si>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</si>
  <si>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</si>
  <si>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</si>
  <si>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</si>
  <si>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</si>
  <si>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</si>
  <si>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</si>
  <si>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</si>
  <si>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</si>
  <si>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</si>
  <si>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</si>
  <si>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</si>
  <si>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</si>
  <si>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</si>
  <si>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</si>
  <si>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</si>
  <si>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</si>
  <si>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</si>
  <si>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</si>
  <si>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</si>
  <si>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</si>
  <si>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</si>
  <si>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</si>
  <si>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</si>
  <si>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</si>
  <si>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</si>
  <si>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</si>
  <si>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</si>
  <si>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</si>
  <si>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</si>
  <si>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</si>
  <si>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</si>
  <si>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</si>
  <si>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</si>
  <si>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</si>
  <si>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</si>
  <si>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</si>
  <si>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</si>
  <si>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</si>
  <si>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</si>
  <si>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</si>
  <si>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</si>
  <si>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</si>
  <si>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</si>
  <si>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</si>
  <si>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</si>
  <si>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</si>
  <si>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</si>
  <si>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</si>
  <si>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</si>
  <si>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</si>
  <si>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</si>
  <si>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</si>
  <si>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</si>
  <si>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</si>
  <si>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</si>
  <si>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</si>
  <si>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</si>
  <si>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</si>
  <si>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</si>
  <si>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</si>
  <si>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</si>
  <si>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</si>
  <si>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</si>
  <si>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</si>
  <si>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</si>
  <si>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</si>
  <si>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</si>
  <si>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</si>
  <si>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</si>
  <si>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</si>
  <si>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</si>
  <si>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</si>
  <si>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</si>
  <si>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</si>
  <si>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</si>
  <si>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</si>
  <si>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</si>
  <si>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</si>
  <si>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</si>
  <si>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</si>
  <si>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</si>
  <si>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</si>
  <si>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</si>
  <si>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</si>
  <si>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</si>
  <si>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</si>
  <si>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</si>
  <si>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</si>
  <si>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</si>
  <si>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</si>
  <si>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</si>
  <si>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</si>
  <si>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</si>
  <si>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</si>
  <si>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</si>
  <si>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</si>
  <si>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</si>
  <si>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</si>
  <si>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</si>
  <si>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</si>
  <si>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</si>
  <si>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</si>
  <si>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</si>
  <si>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</si>
  <si>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</si>
  <si>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</si>
  <si>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</si>
  <si>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</si>
  <si>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</si>
  <si>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</si>
  <si>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</si>
  <si>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</si>
  <si>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</si>
  <si>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</si>
  <si>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</si>
  <si>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</si>
  <si>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</si>
  <si>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</si>
  <si>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</si>
  <si>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</si>
  <si>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</si>
  <si>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</si>
  <si>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</si>
  <si>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</si>
  <si>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</si>
  <si>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</si>
  <si>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</si>
  <si>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</si>
  <si>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</si>
  <si>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</si>
  <si>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</si>
  <si>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</si>
  <si>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</si>
  <si>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</si>
  <si>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</si>
  <si>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</si>
  <si>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</si>
  <si>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</si>
  <si>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</si>
  <si>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</si>
  <si>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</si>
  <si>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</si>
  <si>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</si>
  <si>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</si>
  <si>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</si>
  <si>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</si>
  <si>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</si>
  <si>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</si>
  <si>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</si>
  <si>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</si>
  <si>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</si>
  <si>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</si>
  <si>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</si>
  <si>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</si>
  <si>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</si>
  <si>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</si>
  <si>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</si>
  <si>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</si>
  <si>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</si>
  <si>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</si>
  <si>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</si>
  <si>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</si>
  <si>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</si>
  <si>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</si>
  <si>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</si>
  <si>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</si>
  <si>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</si>
  <si>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</si>
  <si>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</si>
  <si>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</si>
  <si>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</si>
  <si>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</si>
  <si>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</si>
  <si>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</si>
  <si>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</si>
  <si>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Operation Supervision</t>
  </si>
  <si>
    <t>EIA 412, Sch 7, line 12</t>
  </si>
  <si>
    <t>Commission Expense</t>
  </si>
  <si>
    <t>(line 1 minus line 6 + line 6c + line 6h + line 6i)</t>
  </si>
  <si>
    <t>Advertising costs for required public notices in local newspapers.</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</si>
  <si>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</si>
  <si>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Depreciation</t>
  </si>
  <si>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</si>
  <si>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</si>
  <si>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</si>
  <si>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</si>
  <si>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</si>
  <si>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</si>
  <si>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</si>
  <si>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</si>
  <si>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</si>
  <si>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EIA 412, Sch 7, line 11</t>
  </si>
  <si>
    <t>No transmission-related Rental Income</t>
  </si>
  <si>
    <t>RATE BASE: Note CC</t>
  </si>
  <si>
    <t>CC</t>
  </si>
  <si>
    <t>Calculate using 13 month average balances.</t>
  </si>
  <si>
    <t>2015 Attachment O Workpapers - Capital Structure</t>
  </si>
  <si>
    <t>Customer Accounts Receivable (142)</t>
  </si>
  <si>
    <t xml:space="preserve">        NET ELECTRIC OPERATING INCOME (EXPENSE)</t>
  </si>
  <si>
    <t>Demand Side Mgmt, minus advertising, plus Customer Service installation</t>
  </si>
  <si>
    <t>Per Audit</t>
  </si>
  <si>
    <t>Sched 7 &amp; 8</t>
  </si>
  <si>
    <t>Sched 9</t>
  </si>
  <si>
    <t>12 Months Ended December 31,</t>
  </si>
  <si>
    <t>DEFERRED OUTFLOWS OF RESOURCES</t>
  </si>
  <si>
    <t>Related to Pension</t>
  </si>
  <si>
    <t>TOTAL ASSETS &amp; DEFERRED OUTFLOWS OF RESOURCES</t>
  </si>
  <si>
    <t>DEFERRED INFLOWS OF RESOURCES</t>
  </si>
  <si>
    <t>Pension Liabilities</t>
  </si>
  <si>
    <t>Xcel Payments for Marshall Joint Pricing Zone</t>
  </si>
  <si>
    <t>Difference</t>
  </si>
  <si>
    <t>Depreciation expense on old turbine, allocated to Electric Plant Leased to Others on audit report.</t>
  </si>
  <si>
    <t>Schedule 2, Line  24</t>
  </si>
  <si>
    <t>Other Production Expenses - Fuel</t>
  </si>
  <si>
    <t>Depreciation - Schedule 4</t>
  </si>
  <si>
    <t>page 39 of the audit report</t>
  </si>
  <si>
    <t>Expenses of Electric Plant Leased to Others</t>
  </si>
  <si>
    <t>Payroll Tax Breakdown</t>
  </si>
  <si>
    <t>Demand Side</t>
  </si>
  <si>
    <t>Customer Service</t>
  </si>
  <si>
    <t>A&amp;G</t>
  </si>
  <si>
    <t>Taxes</t>
  </si>
  <si>
    <t>2016A Revenue Bonds Issued</t>
  </si>
  <si>
    <t>EIA 412, Sch 7, line 13</t>
  </si>
  <si>
    <t>II.37.b  (Note CC)</t>
  </si>
  <si>
    <r>
      <t xml:space="preserve">II.32.b (Note CC) </t>
    </r>
    <r>
      <rPr>
        <sz val="12"/>
        <color rgb="FF0070C0"/>
        <rFont val="Times New Roman"/>
        <family val="1"/>
      </rPr>
      <t>(line 25 + line 25a)</t>
    </r>
  </si>
  <si>
    <t>25a</t>
  </si>
  <si>
    <t>RTO Membership Incentive Adder =</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</si>
  <si>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</si>
  <si>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establishing the MMU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</si>
  <si>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</si>
  <si>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MARSHALL MUNICIPAL UTILITIES</t>
  </si>
  <si>
    <t>Depreciation Rates</t>
  </si>
  <si>
    <t>Average Service</t>
  </si>
  <si>
    <t xml:space="preserve">Calculated Annual </t>
  </si>
  <si>
    <t>FERC Account</t>
  </si>
  <si>
    <t>Transmission Plant</t>
  </si>
  <si>
    <t>Life in Years</t>
  </si>
  <si>
    <t xml:space="preserve">  Station Equipment</t>
  </si>
  <si>
    <t xml:space="preserve">  Poles &amp; Fixtures</t>
  </si>
  <si>
    <t>General Plant</t>
  </si>
  <si>
    <t>Structures &amp; Improvements</t>
  </si>
  <si>
    <t>Office Furniture and Equipment</t>
  </si>
  <si>
    <t>Transportation Equipment</t>
  </si>
  <si>
    <t>Stores Equipment</t>
  </si>
  <si>
    <t>Tools, Shop and Garage Equipment</t>
  </si>
  <si>
    <t>Power Operated Equipment</t>
  </si>
  <si>
    <t>Communication Equipment</t>
  </si>
  <si>
    <t>Miscellaneous Equipment</t>
  </si>
  <si>
    <t>*Land is not depreciable.</t>
  </si>
  <si>
    <t>Note: These depreciation rates will not be changed absent a FERC order.</t>
  </si>
  <si>
    <t>For the 12 months ended 12/31/16</t>
  </si>
  <si>
    <t>Marshall Municipal Utilities records their Schedule 10 - FERC fees within their FERC</t>
  </si>
  <si>
    <t xml:space="preserve">   565 Account, since they are billed together.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</si>
</sst>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General_)"/>
    <numFmt numFmtId="178" formatCode="_-&quot;€&quot;\ * #,##0.00_-;_-&quot;€&quot;\ * #,##0.00\-;_-&quot;€&quot;\ * &quot;-&quot;??_-;_-@_-"/>
    <numFmt numFmtId="179" formatCode="#,###,##0.00;\(#,###,##0.00\)"/>
  </numFmts>
  <fonts count="12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11"/>
      <color theme="1"/>
      <name val="Calibri"/>
      <family val="2"/>
    </font>
    <font>
      <sz val="12"/>
      <name val="CG Times"/>
      <family val="1"/>
    </font>
    <font>
      <sz val="10"/>
      <name val="Times New Roman"/>
      <family val="1"/>
    </font>
    <font>
      <sz val="8"/>
      <name val="Tms Rmn"/>
    </font>
    <font>
      <b/>
      <sz val="11"/>
      <color theme="1"/>
      <name val="Arial"/>
      <family val="2"/>
    </font>
    <font>
      <u/>
      <sz val="11"/>
      <color theme="1"/>
      <name val="Arial"/>
      <family val="2"/>
    </font>
    <font>
      <sz val="11"/>
      <color theme="1"/>
      <name val="Arial"/>
      <family val="2"/>
    </font>
    <font>
      <b/>
      <u/>
      <sz val="11"/>
      <color theme="1"/>
      <name val="Arial"/>
      <family val="2"/>
    </font>
    <font>
      <u val="singleAccounting"/>
      <sz val="10"/>
      <name val="Calibri"/>
      <family val="2"/>
      <scheme val="minor"/>
    </font>
    <font>
      <u val="singleAccounting"/>
      <sz val="10"/>
      <name val="Arial"/>
      <family val="2"/>
    </font>
    <font>
      <b/>
      <u/>
      <sz val="10"/>
      <name val="Calibri"/>
      <family val="2"/>
      <scheme val="minor"/>
    </font>
    <font>
      <sz val="12"/>
      <color rgb="FF0070C0"/>
      <name val="Times New Roman"/>
      <family val="1"/>
    </font>
    <font>
      <u/>
      <sz val="12"/>
      <color rgb="FF0070C0"/>
      <name val="Times New Roman"/>
      <family val="1"/>
    </font>
    <font>
      <u/>
      <sz val="12"/>
      <name val="Times New Roman"/>
      <family val="1"/>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7"/>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62491">
    <xf numFmtId="172" fontId="0" fillId="0" borderId="0" applyProtection="0"/>
    <xf numFmtId="43" fontId="23"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13" fillId="0" borderId="0"/>
    <xf numFmtId="172" fontId="23" fillId="0" borderId="0" applyProtection="0"/>
    <xf numFmtId="172" fontId="32" fillId="0" borderId="0" applyFill="0"/>
    <xf numFmtId="172" fontId="32" fillId="0" borderId="0">
      <alignment horizontal="center"/>
    </xf>
    <xf numFmtId="0" fontId="32" fillId="0" borderId="0" applyFill="0">
      <alignment horizontal="center"/>
    </xf>
    <xf numFmtId="172" fontId="33" fillId="0" borderId="30" applyFill="0"/>
    <xf numFmtId="0" fontId="26" fillId="0" borderId="0" applyFont="0" applyAlignment="0"/>
    <xf numFmtId="0" fontId="34" fillId="0" borderId="0" applyFill="0">
      <alignment vertical="top"/>
    </xf>
    <xf numFmtId="0" fontId="33" fillId="0" borderId="0" applyFill="0">
      <alignment horizontal="left" vertical="top"/>
    </xf>
    <xf numFmtId="172" fontId="25" fillId="0" borderId="9" applyFill="0"/>
    <xf numFmtId="0" fontId="26" fillId="0" borderId="0" applyNumberFormat="0" applyFont="0" applyAlignment="0"/>
    <xf numFmtId="0" fontId="34" fillId="0" borderId="0" applyFill="0">
      <alignment wrapText="1"/>
    </xf>
    <xf numFmtId="0" fontId="33" fillId="0" borderId="0" applyFill="0">
      <alignment horizontal="left" vertical="top" wrapText="1"/>
    </xf>
    <xf numFmtId="172" fontId="28" fillId="0" borderId="0" applyFill="0"/>
    <xf numFmtId="0" fontId="35" fillId="0" borderId="0" applyNumberFormat="0" applyFont="0" applyAlignment="0">
      <alignment horizontal="center"/>
    </xf>
    <xf numFmtId="0" fontId="36" fillId="0" borderId="0" applyFill="0">
      <alignment vertical="top" wrapText="1"/>
    </xf>
    <xf numFmtId="0" fontId="25" fillId="0" borderId="0" applyFill="0">
      <alignment horizontal="left" vertical="top" wrapText="1"/>
    </xf>
    <xf numFmtId="172" fontId="26" fillId="0" borderId="0" applyFill="0"/>
    <xf numFmtId="0" fontId="35" fillId="0" borderId="0" applyNumberFormat="0" applyFont="0" applyAlignment="0">
      <alignment horizontal="center"/>
    </xf>
    <xf numFmtId="0" fontId="37" fillId="0" borderId="0" applyFill="0">
      <alignment vertical="center" wrapText="1"/>
    </xf>
    <xf numFmtId="0" fontId="27" fillId="0" borderId="0">
      <alignment horizontal="left" vertical="center" wrapText="1"/>
    </xf>
    <xf numFmtId="172"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26"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2"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26"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26" fillId="0" borderId="0" applyFont="0" applyFill="0" applyBorder="0" applyAlignment="0" applyProtection="0"/>
    <xf numFmtId="7"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26" fillId="0" borderId="0" applyFont="0" applyFill="0" applyBorder="0" applyAlignment="0" applyProtection="0"/>
    <xf numFmtId="14" fontId="26" fillId="0" borderId="0" applyFont="0" applyFill="0" applyBorder="0" applyAlignment="0" applyProtection="0"/>
    <xf numFmtId="2" fontId="26" fillId="0" borderId="0" applyFont="0" applyFill="0" applyBorder="0" applyAlignment="0" applyProtection="0"/>
    <xf numFmtId="38" fontId="32" fillId="3" borderId="0" applyNumberFormat="0" applyBorder="0" applyAlignment="0" applyProtection="0"/>
    <xf numFmtId="0" fontId="46" fillId="0" borderId="1"/>
    <xf numFmtId="0" fontId="47" fillId="0" borderId="0"/>
    <xf numFmtId="10" fontId="32" fillId="4" borderId="14" applyNumberFormat="0" applyBorder="0" applyAlignment="0" applyProtection="0"/>
    <xf numFmtId="176" fontId="48" fillId="0" borderId="0"/>
    <xf numFmtId="0" fontId="31" fillId="0" borderId="0"/>
    <xf numFmtId="39" fontId="49" fillId="0" borderId="0"/>
    <xf numFmtId="0" fontId="31" fillId="0" borderId="0"/>
    <xf numFmtId="0" fontId="31" fillId="0" borderId="0"/>
    <xf numFmtId="0" fontId="26" fillId="0" borderId="0"/>
    <xf numFmtId="0" fontId="26" fillId="0" borderId="0"/>
    <xf numFmtId="0" fontId="50" fillId="0" borderId="0"/>
    <xf numFmtId="0" fontId="13" fillId="0" borderId="0"/>
    <xf numFmtId="0" fontId="13" fillId="0" borderId="0"/>
    <xf numFmtId="0" fontId="23" fillId="0" borderId="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26" fillId="0" borderId="0">
      <alignment horizontal="left" vertical="top"/>
    </xf>
    <xf numFmtId="0" fontId="52" fillId="0" borderId="1">
      <alignment horizontal="center"/>
    </xf>
    <xf numFmtId="3" fontId="45" fillId="0" borderId="0" applyFont="0" applyFill="0" applyBorder="0" applyAlignment="0" applyProtection="0"/>
    <xf numFmtId="0" fontId="45" fillId="5" borderId="0" applyNumberFormat="0" applyFont="0" applyBorder="0" applyAlignment="0" applyProtection="0"/>
    <xf numFmtId="3" fontId="26" fillId="0" borderId="0">
      <alignment horizontal="right" vertical="top"/>
    </xf>
    <xf numFmtId="41" fontId="27" fillId="3" borderId="13" applyFill="0"/>
    <xf numFmtId="0" fontId="53" fillId="0" borderId="0">
      <alignment horizontal="left" indent="7"/>
    </xf>
    <xf numFmtId="41" fontId="27" fillId="0" borderId="13" applyFill="0">
      <alignment horizontal="left" indent="2"/>
    </xf>
    <xf numFmtId="172" fontId="54" fillId="0" borderId="4" applyFill="0">
      <alignment horizontal="right"/>
    </xf>
    <xf numFmtId="0" fontId="29" fillId="0" borderId="14" applyNumberFormat="0" applyFont="0" applyBorder="0">
      <alignment horizontal="right"/>
    </xf>
    <xf numFmtId="0" fontId="55" fillId="0" borderId="0" applyFill="0"/>
    <xf numFmtId="0" fontId="25" fillId="0" borderId="0" applyFill="0"/>
    <xf numFmtId="4" fontId="54" fillId="0" borderId="4" applyFill="0"/>
    <xf numFmtId="0" fontId="26" fillId="0" borderId="0" applyNumberFormat="0" applyFont="0" applyBorder="0" applyAlignment="0"/>
    <xf numFmtId="0" fontId="36" fillId="0" borderId="0" applyFill="0">
      <alignment horizontal="left" indent="1"/>
    </xf>
    <xf numFmtId="0" fontId="56" fillId="0" borderId="0" applyFill="0">
      <alignment horizontal="left" indent="1"/>
    </xf>
    <xf numFmtId="4" fontId="38" fillId="0" borderId="0" applyFill="0"/>
    <xf numFmtId="0" fontId="26" fillId="0" borderId="0" applyNumberFormat="0" applyFont="0" applyFill="0" applyBorder="0" applyAlignment="0"/>
    <xf numFmtId="0" fontId="36" fillId="0" borderId="0" applyFill="0">
      <alignment horizontal="left" indent="2"/>
    </xf>
    <xf numFmtId="0" fontId="25" fillId="0" borderId="0" applyFill="0">
      <alignment horizontal="left" indent="2"/>
    </xf>
    <xf numFmtId="4" fontId="38" fillId="0" borderId="0" applyFill="0"/>
    <xf numFmtId="0" fontId="26" fillId="0" borderId="0" applyNumberFormat="0" applyFont="0" applyBorder="0" applyAlignment="0"/>
    <xf numFmtId="0" fontId="57" fillId="0" borderId="0">
      <alignment horizontal="left" indent="3"/>
    </xf>
    <xf numFmtId="0" fontId="58" fillId="0" borderId="0" applyFill="0">
      <alignment horizontal="left" indent="3"/>
    </xf>
    <xf numFmtId="4" fontId="38" fillId="0" borderId="0" applyFill="0"/>
    <xf numFmtId="0" fontId="26" fillId="0" borderId="0" applyNumberFormat="0" applyFont="0" applyBorder="0" applyAlignment="0"/>
    <xf numFmtId="0" fontId="39" fillId="0" borderId="0">
      <alignment horizontal="left" indent="4"/>
    </xf>
    <xf numFmtId="0" fontId="26" fillId="0" borderId="0" applyFill="0">
      <alignment horizontal="left" indent="4"/>
    </xf>
    <xf numFmtId="4" fontId="40" fillId="0" borderId="0" applyFill="0"/>
    <xf numFmtId="0" fontId="26"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6"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9" fontId="23" fillId="0" borderId="0" applyFont="0" applyFill="0" applyBorder="0" applyAlignment="0" applyProtection="0"/>
    <xf numFmtId="44" fontId="23" fillId="0" borderId="0" applyFont="0" applyFill="0" applyBorder="0" applyAlignment="0" applyProtection="0"/>
    <xf numFmtId="0" fontId="12" fillId="0" borderId="0"/>
    <xf numFmtId="43" fontId="24" fillId="0" borderId="0" applyFont="0" applyFill="0" applyBorder="0" applyAlignment="0" applyProtection="0"/>
    <xf numFmtId="44" fontId="24" fillId="0" borderId="0" applyFont="0" applyFill="0" applyBorder="0" applyAlignment="0" applyProtection="0"/>
    <xf numFmtId="0" fontId="23"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77" fontId="80" fillId="0" borderId="0"/>
    <xf numFmtId="44" fontId="24" fillId="0" borderId="0" applyFont="0" applyFill="0" applyBorder="0" applyAlignment="0" applyProtection="0"/>
    <xf numFmtId="0" fontId="24" fillId="0" borderId="0"/>
    <xf numFmtId="0" fontId="24"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24"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85" fillId="7"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85" fillId="8" borderId="0" applyNumberFormat="0" applyBorder="0" applyAlignment="0" applyProtection="0"/>
    <xf numFmtId="0" fontId="93" fillId="26" borderId="0" applyNumberFormat="0" applyBorder="0" applyAlignment="0" applyProtection="0"/>
    <xf numFmtId="0" fontId="93" fillId="26" borderId="0" applyNumberFormat="0" applyBorder="0" applyAlignment="0" applyProtection="0"/>
    <xf numFmtId="0" fontId="85" fillId="9" borderId="0" applyNumberFormat="0" applyBorder="0" applyAlignment="0" applyProtection="0"/>
    <xf numFmtId="0" fontId="93" fillId="27" borderId="0" applyNumberFormat="0" applyBorder="0" applyAlignment="0" applyProtection="0"/>
    <xf numFmtId="0" fontId="93" fillId="27"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85" fillId="10"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5" fillId="29" borderId="31" applyNumberFormat="0" applyAlignment="0" applyProtection="0"/>
    <xf numFmtId="0" fontId="95" fillId="29" borderId="31" applyNumberFormat="0" applyAlignment="0" applyProtection="0"/>
    <xf numFmtId="0" fontId="95" fillId="29" borderId="31" applyNumberFormat="0" applyAlignment="0" applyProtection="0"/>
    <xf numFmtId="0" fontId="96" fillId="30" borderId="32" applyNumberFormat="0" applyAlignment="0" applyProtection="0"/>
    <xf numFmtId="0" fontId="96" fillId="30" borderId="32" applyNumberFormat="0" applyAlignment="0" applyProtection="0"/>
    <xf numFmtId="0" fontId="96" fillId="30" borderId="3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0" fontId="24" fillId="31" borderId="0" applyNumberFormat="0" applyAlignment="0">
      <alignment horizontal="right"/>
    </xf>
    <xf numFmtId="0" fontId="24" fillId="32" borderId="0" applyNumberFormat="0" applyAlignment="0"/>
    <xf numFmtId="0"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 fontId="24" fillId="0" borderId="0" applyFont="0" applyFill="0" applyBorder="0" applyAlignment="0" applyProtection="0"/>
    <xf numFmtId="179" fontId="98" fillId="0" borderId="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100" fillId="0" borderId="33" applyNumberFormat="0" applyFill="0" applyAlignment="0" applyProtection="0"/>
    <xf numFmtId="0" fontId="100" fillId="0" borderId="33"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34" applyNumberFormat="0" applyFill="0" applyAlignment="0" applyProtection="0"/>
    <xf numFmtId="0" fontId="101" fillId="0" borderId="34"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xf numFmtId="0" fontId="105" fillId="16" borderId="31" applyNumberFormat="0" applyAlignment="0" applyProtection="0"/>
    <xf numFmtId="0" fontId="105" fillId="16" borderId="31" applyNumberFormat="0" applyAlignment="0" applyProtection="0"/>
    <xf numFmtId="0" fontId="105" fillId="16" borderId="31" applyNumberFormat="0" applyAlignment="0" applyProtection="0"/>
    <xf numFmtId="0" fontId="106" fillId="0" borderId="36" applyNumberFormat="0" applyFill="0" applyAlignment="0" applyProtection="0"/>
    <xf numFmtId="0" fontId="106" fillId="0" borderId="36" applyNumberFormat="0" applyFill="0" applyAlignment="0" applyProtection="0"/>
    <xf numFmtId="0" fontId="106" fillId="0" borderId="36" applyNumberFormat="0" applyFill="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9" fillId="0" borderId="0"/>
    <xf numFmtId="0" fontId="9" fillId="0" borderId="0"/>
    <xf numFmtId="0" fontId="9" fillId="0" borderId="0"/>
    <xf numFmtId="0" fontId="78" fillId="0" borderId="0"/>
    <xf numFmtId="0" fontId="7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7" fontId="10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34" borderId="37" applyNumberFormat="0" applyFont="0" applyAlignment="0" applyProtection="0"/>
    <xf numFmtId="0" fontId="31" fillId="34" borderId="37" applyNumberFormat="0" applyFont="0" applyAlignment="0" applyProtection="0"/>
    <xf numFmtId="0" fontId="31" fillId="34" borderId="37" applyNumberFormat="0" applyFont="0" applyAlignment="0" applyProtection="0"/>
    <xf numFmtId="0" fontId="109" fillId="29" borderId="38" applyNumberFormat="0" applyAlignment="0" applyProtection="0"/>
    <xf numFmtId="0" fontId="109" fillId="29" borderId="38" applyNumberFormat="0" applyAlignment="0" applyProtection="0"/>
    <xf numFmtId="0" fontId="109" fillId="29" borderId="38"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39" applyNumberFormat="0" applyFill="0" applyAlignment="0" applyProtection="0"/>
    <xf numFmtId="0" fontId="111" fillId="0" borderId="39" applyNumberFormat="0" applyFill="0" applyAlignment="0" applyProtection="0"/>
    <xf numFmtId="0" fontId="111"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43" fontId="116" fillId="0" borderId="0" applyFont="0" applyFill="0" applyBorder="0" applyAlignment="0" applyProtection="0"/>
    <xf numFmtId="0" fontId="117" fillId="0" borderId="0"/>
    <xf numFmtId="0" fontId="7" fillId="0" borderId="0"/>
    <xf numFmtId="9" fontId="117" fillId="0" borderId="0" applyFont="0" applyFill="0" applyBorder="0" applyAlignment="0" applyProtection="0"/>
    <xf numFmtId="9" fontId="7" fillId="0" borderId="0" applyFont="0" applyFill="0" applyBorder="0" applyAlignment="0" applyProtection="0"/>
    <xf numFmtId="0" fontId="7"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14" fontId="24" fillId="0" borderId="0" applyFont="0" applyFill="0" applyBorder="0" applyAlignment="0" applyProtection="0"/>
    <xf numFmtId="0" fontId="24" fillId="0" borderId="0"/>
    <xf numFmtId="0" fontId="7" fillId="0" borderId="0"/>
    <xf numFmtId="0" fontId="7" fillId="0" borderId="0"/>
    <xf numFmtId="10"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115" fillId="0" borderId="0"/>
    <xf numFmtId="43" fontId="23" fillId="0" borderId="0" applyFont="0" applyFill="0" applyBorder="0" applyAlignment="0" applyProtection="0"/>
    <xf numFmtId="44" fontId="23" fillId="0" borderId="0" applyFont="0" applyFill="0" applyBorder="0" applyAlignment="0" applyProtection="0"/>
    <xf numFmtId="0" fontId="85" fillId="35" borderId="0" applyNumberFormat="0" applyBorder="0" applyAlignment="0" applyProtection="0"/>
    <xf numFmtId="44" fontId="23" fillId="0" borderId="0" applyFont="0" applyFill="0" applyBorder="0" applyAlignment="0" applyProtection="0"/>
    <xf numFmtId="44" fontId="115" fillId="0" borderId="0" applyFont="0" applyFill="0" applyBorder="0" applyAlignment="0" applyProtection="0"/>
    <xf numFmtId="0" fontId="7" fillId="0" borderId="0"/>
    <xf numFmtId="0" fontId="7" fillId="0" borderId="0"/>
    <xf numFmtId="172" fontId="23" fillId="0" borderId="0" applyProtection="0"/>
    <xf numFmtId="0" fontId="118" fillId="0" borderId="0"/>
    <xf numFmtId="0" fontId="7" fillId="0" borderId="0"/>
    <xf numFmtId="9" fontId="24"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cellStyleXfs>
  <cellXfs count="683">
    <xf numFmtId="172" fontId="0" fillId="0" borderId="0" xfId="0" applyAlignment="1"/>
    <xf numFmtId="0"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172" fontId="14" fillId="0" borderId="0" xfId="0" applyFont="1" applyAlignment="1"/>
    <xf numFmtId="0" fontId="14" fillId="0" borderId="0" xfId="0" applyNumberFormat="1" applyFont="1" applyAlignment="1" applyProtection="1">
      <alignment horizontal="left"/>
      <protection locked="0"/>
    </xf>
    <xf numFmtId="0" fontId="14" fillId="0" borderId="0" xfId="0" applyNumberFormat="1" applyFont="1" applyProtection="1">
      <protection locked="0"/>
    </xf>
    <xf numFmtId="0" fontId="14" fillId="2" borderId="0" xfId="0" applyNumberFormat="1" applyFont="1" applyFill="1" applyAlignment="1" applyProtection="1">
      <alignment horizontal="right"/>
      <protection locked="0"/>
    </xf>
    <xf numFmtId="0" fontId="14" fillId="0" borderId="1" xfId="0" applyNumberFormat="1" applyFont="1" applyBorder="1" applyAlignment="1" applyProtection="1">
      <alignment horizontal="center"/>
      <protection locked="0"/>
    </xf>
    <xf numFmtId="0" fontId="14" fillId="0" borderId="1" xfId="0" applyNumberFormat="1" applyFont="1" applyBorder="1" applyAlignment="1" applyProtection="1">
      <alignment horizontal="centerContinuous"/>
      <protection locked="0"/>
    </xf>
    <xf numFmtId="3" fontId="14" fillId="2" borderId="0" xfId="0" applyNumberFormat="1" applyFont="1" applyFill="1"/>
    <xf numFmtId="0" fontId="16" fillId="0" borderId="0" xfId="0" applyNumberFormat="1" applyFont="1"/>
    <xf numFmtId="171" fontId="14" fillId="2" borderId="0" xfId="0" applyNumberFormat="1" applyFont="1" applyFill="1" applyProtection="1">
      <protection locked="0"/>
    </xf>
    <xf numFmtId="171" fontId="14" fillId="0" borderId="0" xfId="0" applyNumberFormat="1" applyFont="1" applyProtection="1">
      <protection locked="0"/>
    </xf>
    <xf numFmtId="0" fontId="17" fillId="0" borderId="0" xfId="0" applyNumberFormat="1" applyFont="1" applyAlignment="1" applyProtection="1">
      <alignment horizontal="center"/>
      <protection locked="0"/>
    </xf>
    <xf numFmtId="3" fontId="14" fillId="2" borderId="0" xfId="0" applyNumberFormat="1" applyFont="1" applyFill="1" applyBorder="1" applyAlignment="1"/>
    <xf numFmtId="3" fontId="14" fillId="2" borderId="1" xfId="0" applyNumberFormat="1" applyFont="1" applyFill="1" applyBorder="1" applyAlignment="1"/>
    <xf numFmtId="3" fontId="14" fillId="2" borderId="0" xfId="0" applyNumberFormat="1" applyFont="1" applyFill="1" applyAlignment="1"/>
    <xf numFmtId="0" fontId="14" fillId="0" borderId="0" xfId="0" applyNumberFormat="1" applyFont="1" applyFill="1" applyAlignment="1" applyProtection="1">
      <alignment horizontal="center"/>
      <protection locked="0"/>
    </xf>
    <xf numFmtId="164" fontId="14" fillId="0" borderId="0" xfId="0" applyNumberFormat="1" applyFont="1" applyAlignment="1" applyProtection="1">
      <alignment horizontal="left"/>
      <protection locked="0"/>
    </xf>
    <xf numFmtId="0" fontId="15" fillId="0" borderId="0" xfId="0" applyNumberFormat="1" applyFont="1" applyAlignment="1" applyProtection="1">
      <alignment horizontal="center"/>
      <protection locked="0"/>
    </xf>
    <xf numFmtId="0" fontId="14" fillId="0" borderId="1" xfId="0" applyNumberFormat="1" applyFont="1" applyBorder="1" applyProtection="1">
      <protection locked="0"/>
    </xf>
    <xf numFmtId="166" fontId="14" fillId="0" borderId="0" xfId="0" applyNumberFormat="1" applyFont="1" applyAlignment="1" applyProtection="1">
      <alignment horizontal="center"/>
      <protection locked="0"/>
    </xf>
    <xf numFmtId="170" fontId="14" fillId="2" borderId="0" xfId="0" applyNumberFormat="1" applyFont="1" applyFill="1" applyAlignment="1"/>
    <xf numFmtId="0" fontId="15" fillId="0" borderId="0" xfId="0" applyNumberFormat="1" applyFont="1" applyProtection="1">
      <protection locked="0"/>
    </xf>
    <xf numFmtId="170" fontId="14" fillId="2" borderId="0" xfId="0" applyNumberFormat="1" applyFont="1" applyFill="1" applyBorder="1" applyAlignment="1" applyProtection="1">
      <protection locked="0"/>
    </xf>
    <xf numFmtId="0" fontId="14" fillId="0" borderId="0" xfId="0" applyNumberFormat="1" applyFont="1" applyBorder="1" applyAlignment="1" applyProtection="1">
      <protection locked="0"/>
    </xf>
    <xf numFmtId="0" fontId="14" fillId="0" borderId="0" xfId="0" applyNumberFormat="1" applyFont="1" applyBorder="1" applyProtection="1">
      <protection locked="0"/>
    </xf>
    <xf numFmtId="0" fontId="15" fillId="0" borderId="0" xfId="0" applyNumberFormat="1" applyFont="1" applyAlignment="1" applyProtection="1">
      <protection locked="0"/>
    </xf>
    <xf numFmtId="170" fontId="14" fillId="0" borderId="0" xfId="0" applyNumberFormat="1" applyFont="1" applyFill="1" applyBorder="1" applyAlignment="1" applyProtection="1"/>
    <xf numFmtId="172" fontId="14" fillId="0" borderId="0" xfId="0" applyNumberFormat="1" applyFont="1" applyAlignment="1" applyProtection="1">
      <protection locked="0"/>
    </xf>
    <xf numFmtId="3" fontId="14" fillId="0" borderId="0" xfId="0" applyNumberFormat="1" applyFont="1" applyProtection="1">
      <protection locked="0"/>
    </xf>
    <xf numFmtId="170" fontId="14" fillId="0" borderId="0" xfId="0" applyNumberFormat="1" applyFont="1" applyProtection="1">
      <protection locked="0"/>
    </xf>
    <xf numFmtId="3" fontId="14" fillId="0" borderId="0" xfId="0" applyNumberFormat="1" applyFont="1" applyFill="1" applyAlignment="1" applyProtection="1"/>
    <xf numFmtId="0" fontId="14" fillId="2" borderId="0" xfId="0" applyNumberFormat="1" applyFont="1" applyFill="1" applyProtection="1">
      <protection locked="0"/>
    </xf>
    <xf numFmtId="0" fontId="14" fillId="0" borderId="0" xfId="0" applyNumberFormat="1" applyFont="1" applyAlignment="1" applyProtection="1">
      <alignment horizontal="left" indent="8"/>
      <protection locked="0"/>
    </xf>
    <xf numFmtId="171" fontId="14" fillId="0" borderId="0" xfId="0" applyNumberFormat="1" applyFont="1" applyBorder="1" applyProtection="1">
      <protection locked="0"/>
    </xf>
    <xf numFmtId="0" fontId="14" fillId="0" borderId="0" xfId="0" applyNumberFormat="1" applyFont="1" applyAlignment="1" applyProtection="1">
      <alignment horizontal="center" vertical="top" wrapText="1"/>
      <protection locked="0"/>
    </xf>
    <xf numFmtId="10" fontId="14" fillId="2" borderId="0" xfId="0" applyNumberFormat="1" applyFont="1" applyFill="1" applyAlignment="1" applyProtection="1">
      <alignment vertical="top" wrapText="1"/>
      <protection locked="0"/>
    </xf>
    <xf numFmtId="0" fontId="14" fillId="0" borderId="0" xfId="0" applyNumberFormat="1" applyFont="1" applyFill="1" applyAlignment="1" applyProtection="1">
      <alignment horizontal="left" vertical="top" wrapText="1" indent="8"/>
      <protection locked="0"/>
    </xf>
    <xf numFmtId="170" fontId="14" fillId="2" borderId="1" xfId="0" applyNumberFormat="1" applyFont="1" applyFill="1" applyBorder="1" applyAlignment="1" applyProtection="1">
      <protection locked="0"/>
    </xf>
    <xf numFmtId="0" fontId="14" fillId="0" borderId="0" xfId="0" applyNumberFormat="1" applyFont="1" applyFill="1" applyBorder="1" applyAlignment="1" applyProtection="1">
      <protection locked="0"/>
    </xf>
    <xf numFmtId="0" fontId="14" fillId="0" borderId="0" xfId="0" applyNumberFormat="1" applyFont="1" applyFill="1" applyBorder="1" applyProtection="1">
      <protection locked="0"/>
    </xf>
    <xf numFmtId="0" fontId="14" fillId="0" borderId="1" xfId="0" applyNumberFormat="1" applyFont="1" applyFill="1" applyBorder="1" applyAlignment="1" applyProtection="1">
      <protection locked="0"/>
    </xf>
    <xf numFmtId="0" fontId="14" fillId="0" borderId="1" xfId="0" applyNumberFormat="1" applyFont="1" applyFill="1" applyBorder="1" applyProtection="1">
      <protection locked="0"/>
    </xf>
    <xf numFmtId="0" fontId="26" fillId="0" borderId="0" xfId="2" applyFont="1"/>
    <xf numFmtId="0" fontId="24" fillId="0" borderId="0" xfId="2"/>
    <xf numFmtId="0" fontId="24" fillId="0" borderId="11" xfId="2" applyBorder="1" applyAlignment="1">
      <alignment horizontal="center"/>
    </xf>
    <xf numFmtId="0" fontId="24" fillId="0" borderId="3" xfId="2" applyBorder="1" applyAlignment="1">
      <alignment horizontal="center"/>
    </xf>
    <xf numFmtId="0" fontId="24" fillId="0" borderId="12" xfId="2" applyBorder="1" applyAlignment="1">
      <alignment horizontal="center"/>
    </xf>
    <xf numFmtId="0" fontId="24" fillId="0" borderId="5" xfId="2" applyBorder="1" applyAlignment="1">
      <alignment horizontal="center"/>
    </xf>
    <xf numFmtId="0" fontId="24" fillId="0" borderId="5" xfId="2" applyFill="1" applyBorder="1" applyAlignment="1">
      <alignment horizontal="center"/>
    </xf>
    <xf numFmtId="43" fontId="0" fillId="0" borderId="11" xfId="3" applyFont="1" applyFill="1" applyBorder="1"/>
    <xf numFmtId="0" fontId="24" fillId="0" borderId="11" xfId="2" applyFill="1" applyBorder="1" applyAlignment="1">
      <alignment horizontal="center"/>
    </xf>
    <xf numFmtId="0" fontId="29" fillId="0" borderId="11" xfId="2" applyFont="1" applyFill="1" applyBorder="1" applyAlignment="1">
      <alignment horizontal="center"/>
    </xf>
    <xf numFmtId="0" fontId="24" fillId="0" borderId="13" xfId="2" applyBorder="1"/>
    <xf numFmtId="37" fontId="0" fillId="0" borderId="13" xfId="3" applyNumberFormat="1" applyFont="1" applyFill="1" applyBorder="1"/>
    <xf numFmtId="0" fontId="24" fillId="0" borderId="13" xfId="2" applyFill="1" applyBorder="1" applyAlignment="1">
      <alignment horizontal="center"/>
    </xf>
    <xf numFmtId="0" fontId="24" fillId="0" borderId="13" xfId="2" applyFill="1" applyBorder="1"/>
    <xf numFmtId="173" fontId="30" fillId="0" borderId="12" xfId="4" applyNumberFormat="1" applyFont="1" applyFill="1" applyBorder="1"/>
    <xf numFmtId="0" fontId="24" fillId="0" borderId="12" xfId="2" applyFill="1" applyBorder="1" applyAlignment="1">
      <alignment horizontal="center"/>
    </xf>
    <xf numFmtId="0" fontId="24" fillId="0" borderId="12" xfId="2" applyFill="1" applyBorder="1"/>
    <xf numFmtId="0" fontId="24" fillId="0" borderId="14" xfId="2" applyBorder="1"/>
    <xf numFmtId="0" fontId="24" fillId="0" borderId="14" xfId="2" applyFill="1" applyBorder="1" applyAlignment="1">
      <alignment horizontal="center"/>
    </xf>
    <xf numFmtId="0" fontId="24" fillId="0" borderId="14" xfId="2" applyFill="1" applyBorder="1"/>
    <xf numFmtId="37" fontId="30" fillId="0" borderId="13" xfId="3" applyNumberFormat="1" applyFont="1" applyFill="1" applyBorder="1"/>
    <xf numFmtId="0" fontId="24" fillId="0" borderId="12" xfId="2" applyFill="1" applyBorder="1" applyAlignment="1">
      <alignment horizontal="left" indent="1"/>
    </xf>
    <xf numFmtId="0" fontId="29" fillId="0" borderId="15" xfId="2" applyFont="1" applyFill="1" applyBorder="1"/>
    <xf numFmtId="0" fontId="24" fillId="0" borderId="17" xfId="2" applyFill="1" applyBorder="1" applyAlignment="1">
      <alignment horizontal="center"/>
    </xf>
    <xf numFmtId="0" fontId="29" fillId="0" borderId="18" xfId="2" applyFont="1" applyFill="1" applyBorder="1"/>
    <xf numFmtId="37" fontId="30" fillId="0" borderId="3" xfId="3" applyNumberFormat="1" applyFont="1" applyFill="1" applyBorder="1"/>
    <xf numFmtId="0" fontId="29" fillId="0" borderId="13" xfId="2" applyFont="1" applyFill="1" applyBorder="1" applyAlignment="1">
      <alignment horizontal="center"/>
    </xf>
    <xf numFmtId="0" fontId="24" fillId="0" borderId="3" xfId="2" applyFill="1" applyBorder="1" applyAlignment="1">
      <alignment horizontal="center"/>
    </xf>
    <xf numFmtId="37" fontId="29" fillId="0" borderId="11" xfId="3" applyNumberFormat="1" applyFont="1" applyFill="1" applyBorder="1"/>
    <xf numFmtId="0" fontId="24" fillId="0" borderId="12" xfId="2" applyBorder="1"/>
    <xf numFmtId="174" fontId="30" fillId="0" borderId="12" xfId="3" applyNumberFormat="1" applyFont="1" applyFill="1" applyBorder="1"/>
    <xf numFmtId="174" fontId="0" fillId="0" borderId="13" xfId="3" applyNumberFormat="1" applyFont="1" applyFill="1" applyBorder="1"/>
    <xf numFmtId="0" fontId="29" fillId="0" borderId="7" xfId="2" applyFont="1" applyFill="1" applyBorder="1"/>
    <xf numFmtId="174" fontId="30" fillId="0" borderId="11" xfId="3" applyNumberFormat="1" applyFont="1" applyFill="1" applyBorder="1"/>
    <xf numFmtId="0" fontId="29" fillId="0" borderId="12" xfId="2" applyFont="1" applyFill="1" applyBorder="1" applyAlignment="1">
      <alignment horizontal="center"/>
    </xf>
    <xf numFmtId="174" fontId="30" fillId="0" borderId="14" xfId="3" applyNumberFormat="1" applyFont="1" applyFill="1" applyBorder="1"/>
    <xf numFmtId="0" fontId="24" fillId="0" borderId="0" xfId="2" applyFill="1"/>
    <xf numFmtId="174" fontId="30" fillId="0" borderId="13" xfId="3" applyNumberFormat="1" applyFont="1" applyFill="1" applyBorder="1"/>
    <xf numFmtId="0" fontId="24" fillId="0" borderId="12" xfId="2" quotePrefix="1" applyFill="1" applyBorder="1" applyAlignment="1">
      <alignment horizontal="left" indent="1"/>
    </xf>
    <xf numFmtId="0" fontId="24" fillId="0" borderId="22" xfId="2" applyFill="1" applyBorder="1" applyAlignment="1">
      <alignment horizontal="center"/>
    </xf>
    <xf numFmtId="0" fontId="29" fillId="0" borderId="21" xfId="2" applyFont="1" applyFill="1" applyBorder="1"/>
    <xf numFmtId="0" fontId="24" fillId="0" borderId="0" xfId="2" applyBorder="1"/>
    <xf numFmtId="37" fontId="0" fillId="0" borderId="0" xfId="3" applyNumberFormat="1" applyFont="1" applyFill="1" applyBorder="1"/>
    <xf numFmtId="0" fontId="24" fillId="0" borderId="0" xfId="2" applyFill="1" applyBorder="1"/>
    <xf numFmtId="37" fontId="24" fillId="0" borderId="0" xfId="2" applyNumberFormat="1" applyFill="1" applyBorder="1"/>
    <xf numFmtId="37" fontId="24" fillId="0" borderId="0" xfId="2" applyNumberFormat="1" applyBorder="1"/>
    <xf numFmtId="0" fontId="27" fillId="0" borderId="0" xfId="2" applyFont="1" applyAlignment="1">
      <alignment horizontal="left"/>
    </xf>
    <xf numFmtId="14" fontId="27" fillId="0" borderId="0" xfId="2" applyNumberFormat="1" applyFont="1" applyAlignment="1">
      <alignment horizontal="left"/>
    </xf>
    <xf numFmtId="0" fontId="26" fillId="0" borderId="0" xfId="2" applyFont="1" applyAlignment="1">
      <alignment horizontal="left"/>
    </xf>
    <xf numFmtId="0" fontId="28" fillId="0" borderId="0" xfId="2" applyFont="1" applyBorder="1" applyAlignment="1">
      <alignment horizontal="left"/>
    </xf>
    <xf numFmtId="0" fontId="24" fillId="0" borderId="11" xfId="2" applyFill="1" applyBorder="1"/>
    <xf numFmtId="0" fontId="24" fillId="0" borderId="10" xfId="2" applyFill="1" applyBorder="1"/>
    <xf numFmtId="0" fontId="24" fillId="0" borderId="10" xfId="2" applyFill="1" applyBorder="1" applyAlignment="1">
      <alignment horizontal="center"/>
    </xf>
    <xf numFmtId="0" fontId="24" fillId="0" borderId="5" xfId="2" applyFill="1" applyBorder="1"/>
    <xf numFmtId="174" fontId="30" fillId="0" borderId="5" xfId="3" applyNumberFormat="1" applyFont="1" applyFill="1" applyBorder="1"/>
    <xf numFmtId="0" fontId="24" fillId="0" borderId="17" xfId="2" applyFill="1" applyBorder="1"/>
    <xf numFmtId="174" fontId="30" fillId="0" borderId="17" xfId="3" applyNumberFormat="1" applyFont="1" applyFill="1" applyBorder="1"/>
    <xf numFmtId="0" fontId="24" fillId="0" borderId="3" xfId="2" applyFill="1" applyBorder="1"/>
    <xf numFmtId="174" fontId="30" fillId="0" borderId="3" xfId="3" applyNumberFormat="1" applyFont="1" applyFill="1" applyBorder="1"/>
    <xf numFmtId="0" fontId="24" fillId="0" borderId="23" xfId="2" applyFill="1" applyBorder="1" applyAlignment="1">
      <alignment horizontal="center"/>
    </xf>
    <xf numFmtId="0" fontId="24" fillId="0" borderId="24" xfId="2" applyFill="1" applyBorder="1"/>
    <xf numFmtId="0" fontId="29" fillId="0" borderId="24" xfId="2" applyFont="1" applyFill="1" applyBorder="1"/>
    <xf numFmtId="0" fontId="26" fillId="0" borderId="23" xfId="2" applyFont="1" applyFill="1" applyBorder="1" applyAlignment="1">
      <alignment horizontal="center"/>
    </xf>
    <xf numFmtId="0" fontId="26" fillId="0" borderId="24" xfId="2" applyFont="1" applyFill="1" applyBorder="1"/>
    <xf numFmtId="37" fontId="24" fillId="0" borderId="0" xfId="2" applyNumberFormat="1"/>
    <xf numFmtId="0" fontId="27" fillId="0" borderId="0" xfId="2" applyFont="1" applyAlignment="1">
      <alignment horizontal="center"/>
    </xf>
    <xf numFmtId="0" fontId="29" fillId="0" borderId="0" xfId="2" applyFont="1"/>
    <xf numFmtId="14" fontId="27" fillId="0" borderId="0" xfId="2" applyNumberFormat="1" applyFont="1" applyAlignment="1">
      <alignment horizontal="center"/>
    </xf>
    <xf numFmtId="37" fontId="24" fillId="0" borderId="11" xfId="2" applyNumberFormat="1" applyBorder="1"/>
    <xf numFmtId="37" fontId="24" fillId="0" borderId="3" xfId="2" applyNumberFormat="1" applyBorder="1"/>
    <xf numFmtId="0" fontId="24" fillId="0" borderId="4" xfId="2" applyBorder="1"/>
    <xf numFmtId="173" fontId="30" fillId="0" borderId="12" xfId="4" applyNumberFormat="1" applyFont="1" applyBorder="1"/>
    <xf numFmtId="173" fontId="30" fillId="0" borderId="5" xfId="4" applyNumberFormat="1" applyFont="1" applyBorder="1"/>
    <xf numFmtId="174" fontId="30" fillId="0" borderId="12" xfId="3" applyNumberFormat="1" applyFont="1" applyBorder="1"/>
    <xf numFmtId="174" fontId="30" fillId="0" borderId="5" xfId="3" applyNumberFormat="1" applyFont="1" applyBorder="1"/>
    <xf numFmtId="174" fontId="30" fillId="0" borderId="13" xfId="3" applyNumberFormat="1" applyFont="1" applyBorder="1"/>
    <xf numFmtId="174" fontId="30" fillId="0" borderId="3" xfId="3" applyNumberFormat="1" applyFont="1" applyBorder="1"/>
    <xf numFmtId="0" fontId="24" fillId="0" borderId="4" xfId="2" applyFill="1" applyBorder="1" applyAlignment="1">
      <alignment horizontal="left" indent="1"/>
    </xf>
    <xf numFmtId="0" fontId="24" fillId="0" borderId="28" xfId="2" applyFill="1" applyBorder="1"/>
    <xf numFmtId="37" fontId="30" fillId="0" borderId="3" xfId="2" applyNumberFormat="1" applyFont="1" applyFill="1" applyBorder="1"/>
    <xf numFmtId="174" fontId="30" fillId="0" borderId="5" xfId="3" applyNumberFormat="1" applyFont="1" applyFill="1" applyBorder="1" applyAlignment="1">
      <alignment horizontal="right"/>
    </xf>
    <xf numFmtId="174" fontId="30" fillId="0" borderId="3" xfId="3" applyNumberFormat="1" applyFont="1" applyFill="1" applyBorder="1" applyAlignment="1">
      <alignment horizontal="right"/>
    </xf>
    <xf numFmtId="174" fontId="30" fillId="0" borderId="17" xfId="3" applyNumberFormat="1" applyFont="1" applyFill="1" applyBorder="1" applyAlignment="1">
      <alignment horizontal="right"/>
    </xf>
    <xf numFmtId="37" fontId="30" fillId="0" borderId="3" xfId="2" applyNumberFormat="1" applyFont="1" applyFill="1" applyBorder="1" applyAlignment="1">
      <alignment horizontal="right"/>
    </xf>
    <xf numFmtId="37" fontId="24" fillId="0" borderId="0" xfId="2" applyNumberFormat="1" applyFill="1"/>
    <xf numFmtId="0" fontId="26" fillId="0" borderId="0" xfId="2" applyFont="1" applyBorder="1"/>
    <xf numFmtId="0" fontId="26" fillId="0" borderId="5" xfId="2" applyFont="1" applyBorder="1" applyAlignment="1">
      <alignment horizontal="center"/>
    </xf>
    <xf numFmtId="0" fontId="26" fillId="0" borderId="3" xfId="2" applyFont="1" applyBorder="1" applyAlignment="1">
      <alignment horizontal="center"/>
    </xf>
    <xf numFmtId="37" fontId="26" fillId="0" borderId="3" xfId="2" applyNumberFormat="1" applyFont="1" applyBorder="1"/>
    <xf numFmtId="173" fontId="26" fillId="0" borderId="5" xfId="4" applyNumberFormat="1" applyFont="1" applyBorder="1"/>
    <xf numFmtId="174" fontId="26" fillId="0" borderId="5" xfId="3" applyNumberFormat="1" applyFont="1" applyBorder="1"/>
    <xf numFmtId="174" fontId="26" fillId="0" borderId="3" xfId="3" applyNumberFormat="1" applyFont="1" applyBorder="1"/>
    <xf numFmtId="0" fontId="26" fillId="0" borderId="5"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37" fontId="26" fillId="0" borderId="0" xfId="2" applyNumberFormat="1" applyFont="1" applyBorder="1"/>
    <xf numFmtId="43" fontId="61" fillId="0" borderId="0" xfId="3" applyFont="1" applyBorder="1"/>
    <xf numFmtId="43" fontId="26" fillId="0" borderId="0" xfId="2" applyNumberFormat="1" applyFont="1" applyBorder="1"/>
    <xf numFmtId="37" fontId="30" fillId="0" borderId="14" xfId="3" applyNumberFormat="1" applyFont="1" applyFill="1" applyBorder="1"/>
    <xf numFmtId="37" fontId="61" fillId="0" borderId="12" xfId="3" applyNumberFormat="1" applyFont="1" applyFill="1" applyBorder="1"/>
    <xf numFmtId="0" fontId="26" fillId="0" borderId="0" xfId="2" applyFont="1" applyFill="1"/>
    <xf numFmtId="174" fontId="26" fillId="0" borderId="5" xfId="3" applyNumberFormat="1" applyFont="1" applyFill="1" applyBorder="1"/>
    <xf numFmtId="174" fontId="26" fillId="0" borderId="3" xfId="3" applyNumberFormat="1" applyFont="1" applyFill="1" applyBorder="1"/>
    <xf numFmtId="37" fontId="26" fillId="0" borderId="3" xfId="2" applyNumberFormat="1" applyFont="1" applyFill="1" applyBorder="1"/>
    <xf numFmtId="0" fontId="24" fillId="0" borderId="5" xfId="2" applyFill="1" applyBorder="1" applyAlignment="1">
      <alignment horizontal="left" indent="1"/>
    </xf>
    <xf numFmtId="174" fontId="61" fillId="0" borderId="3" xfId="3" applyNumberFormat="1" applyFont="1" applyFill="1" applyBorder="1"/>
    <xf numFmtId="37" fontId="26" fillId="0" borderId="0" xfId="2" applyNumberFormat="1" applyFont="1" applyFill="1"/>
    <xf numFmtId="0" fontId="24" fillId="0" borderId="7" xfId="2" applyFill="1" applyBorder="1"/>
    <xf numFmtId="37" fontId="24" fillId="0" borderId="4" xfId="2" applyNumberFormat="1" applyFill="1" applyBorder="1"/>
    <xf numFmtId="0" fontId="62" fillId="0" borderId="0" xfId="2" applyFont="1" applyFill="1"/>
    <xf numFmtId="173" fontId="62" fillId="0" borderId="0" xfId="2" applyNumberFormat="1" applyFont="1" applyFill="1"/>
    <xf numFmtId="37" fontId="30" fillId="0" borderId="10" xfId="2" applyNumberFormat="1" applyFont="1" applyFill="1" applyBorder="1"/>
    <xf numFmtId="37" fontId="30" fillId="0" borderId="5" xfId="2" applyNumberFormat="1" applyFont="1" applyFill="1" applyBorder="1"/>
    <xf numFmtId="37" fontId="62" fillId="0" borderId="0" xfId="2" applyNumberFormat="1" applyFont="1" applyFill="1"/>
    <xf numFmtId="173" fontId="24" fillId="0" borderId="0" xfId="199" applyNumberFormat="1" applyFont="1"/>
    <xf numFmtId="174" fontId="24" fillId="0" borderId="0" xfId="1" applyNumberFormat="1" applyFont="1"/>
    <xf numFmtId="174" fontId="64" fillId="0" borderId="0" xfId="1" applyNumberFormat="1" applyFont="1"/>
    <xf numFmtId="0" fontId="64" fillId="0" borderId="0" xfId="2" applyFont="1"/>
    <xf numFmtId="0" fontId="64" fillId="0" borderId="0" xfId="2" applyFont="1" applyAlignment="1">
      <alignment horizontal="left"/>
    </xf>
    <xf numFmtId="0" fontId="64" fillId="0" borderId="11" xfId="2" applyFont="1" applyBorder="1" applyAlignment="1">
      <alignment horizontal="center"/>
    </xf>
    <xf numFmtId="0" fontId="64" fillId="0" borderId="10" xfId="2" applyFont="1" applyBorder="1" applyAlignment="1">
      <alignment horizontal="center"/>
    </xf>
    <xf numFmtId="0" fontId="64" fillId="0" borderId="12" xfId="2" applyFont="1" applyBorder="1" applyAlignment="1">
      <alignment horizontal="center"/>
    </xf>
    <xf numFmtId="0" fontId="64" fillId="0" borderId="5" xfId="2" applyFont="1" applyBorder="1" applyAlignment="1">
      <alignment horizontal="center"/>
    </xf>
    <xf numFmtId="0" fontId="64" fillId="0" borderId="13" xfId="2" applyFont="1" applyFill="1" applyBorder="1" applyAlignment="1">
      <alignment horizontal="center"/>
    </xf>
    <xf numFmtId="0" fontId="64" fillId="0" borderId="14" xfId="2" applyFont="1" applyBorder="1" applyAlignment="1">
      <alignment horizontal="center"/>
    </xf>
    <xf numFmtId="0" fontId="64" fillId="0" borderId="14" xfId="2" applyFont="1" applyBorder="1"/>
    <xf numFmtId="173" fontId="67" fillId="0" borderId="14" xfId="4" applyNumberFormat="1" applyFont="1" applyBorder="1"/>
    <xf numFmtId="173" fontId="68" fillId="0" borderId="14" xfId="4" applyNumberFormat="1" applyFont="1" applyBorder="1"/>
    <xf numFmtId="173" fontId="64" fillId="0" borderId="14" xfId="4" applyNumberFormat="1" applyFont="1" applyBorder="1"/>
    <xf numFmtId="173" fontId="63" fillId="0" borderId="14" xfId="4" applyNumberFormat="1" applyFont="1" applyBorder="1"/>
    <xf numFmtId="174" fontId="67" fillId="0" borderId="14" xfId="3" applyNumberFormat="1" applyFont="1" applyBorder="1"/>
    <xf numFmtId="174" fontId="68" fillId="0" borderId="14" xfId="3" applyNumberFormat="1" applyFont="1" applyBorder="1"/>
    <xf numFmtId="174" fontId="67" fillId="0" borderId="14" xfId="3" applyNumberFormat="1" applyFont="1" applyFill="1" applyBorder="1"/>
    <xf numFmtId="174" fontId="68" fillId="0" borderId="14" xfId="3" applyNumberFormat="1" applyFont="1" applyFill="1" applyBorder="1"/>
    <xf numFmtId="0" fontId="64" fillId="0" borderId="0" xfId="2" applyFont="1" applyFill="1"/>
    <xf numFmtId="173" fontId="64" fillId="0" borderId="14" xfId="4" applyNumberFormat="1" applyFont="1" applyFill="1" applyBorder="1"/>
    <xf numFmtId="174" fontId="67" fillId="0" borderId="11" xfId="3" applyNumberFormat="1" applyFont="1" applyFill="1" applyBorder="1"/>
    <xf numFmtId="174" fontId="68" fillId="0" borderId="11" xfId="3" applyNumberFormat="1" applyFont="1" applyFill="1" applyBorder="1"/>
    <xf numFmtId="173" fontId="64" fillId="0" borderId="11" xfId="4" applyNumberFormat="1" applyFont="1" applyFill="1" applyBorder="1"/>
    <xf numFmtId="0" fontId="68" fillId="0" borderId="18" xfId="2" applyFont="1" applyBorder="1"/>
    <xf numFmtId="173" fontId="68" fillId="0" borderId="27" xfId="4" applyNumberFormat="1" applyFont="1" applyFill="1" applyBorder="1"/>
    <xf numFmtId="173" fontId="68" fillId="0" borderId="23" xfId="4" applyNumberFormat="1" applyFont="1" applyFill="1" applyBorder="1"/>
    <xf numFmtId="173" fontId="68" fillId="0" borderId="26" xfId="4" applyNumberFormat="1" applyFont="1" applyFill="1" applyBorder="1"/>
    <xf numFmtId="173" fontId="68" fillId="0" borderId="16" xfId="4" applyNumberFormat="1" applyFont="1" applyFill="1" applyBorder="1"/>
    <xf numFmtId="0" fontId="68" fillId="0" borderId="14" xfId="2" applyFont="1" applyBorder="1"/>
    <xf numFmtId="173" fontId="68" fillId="0" borderId="12" xfId="4" applyNumberFormat="1" applyFont="1" applyFill="1" applyBorder="1"/>
    <xf numFmtId="173" fontId="64" fillId="0" borderId="0" xfId="4" applyNumberFormat="1" applyFont="1" applyFill="1"/>
    <xf numFmtId="173" fontId="64" fillId="0" borderId="0" xfId="2" applyNumberFormat="1" applyFont="1"/>
    <xf numFmtId="173" fontId="64" fillId="0" borderId="12" xfId="4" applyNumberFormat="1" applyFont="1" applyFill="1" applyBorder="1"/>
    <xf numFmtId="37" fontId="68" fillId="0" borderId="12" xfId="2" applyNumberFormat="1" applyFont="1" applyFill="1" applyBorder="1"/>
    <xf numFmtId="37" fontId="64" fillId="0" borderId="0" xfId="2" applyNumberFormat="1" applyFont="1"/>
    <xf numFmtId="37" fontId="24" fillId="0" borderId="0" xfId="2" applyNumberFormat="1" applyFont="1" applyFill="1"/>
    <xf numFmtId="0" fontId="66" fillId="0" borderId="0" xfId="2" applyFont="1" applyBorder="1" applyAlignment="1">
      <alignment horizontal="left"/>
    </xf>
    <xf numFmtId="0" fontId="69" fillId="0" borderId="0" xfId="2" applyFont="1" applyAlignment="1">
      <alignment horizontal="left"/>
    </xf>
    <xf numFmtId="0" fontId="69" fillId="0" borderId="0" xfId="2" applyFont="1"/>
    <xf numFmtId="0" fontId="69" fillId="0" borderId="0" xfId="2" applyFont="1" applyFill="1" applyBorder="1"/>
    <xf numFmtId="0" fontId="69" fillId="0" borderId="0" xfId="2" applyFont="1" applyBorder="1"/>
    <xf numFmtId="37" fontId="69" fillId="0" borderId="0" xfId="2" applyNumberFormat="1" applyFont="1" applyBorder="1"/>
    <xf numFmtId="173" fontId="69" fillId="0" borderId="0" xfId="199" applyNumberFormat="1" applyFont="1" applyBorder="1"/>
    <xf numFmtId="0" fontId="71" fillId="0" borderId="0" xfId="204" applyFont="1"/>
    <xf numFmtId="0" fontId="72" fillId="0" borderId="0" xfId="204" applyFont="1"/>
    <xf numFmtId="0" fontId="11" fillId="0" borderId="0" xfId="204"/>
    <xf numFmtId="0" fontId="11" fillId="0" borderId="0" xfId="204" applyAlignment="1">
      <alignment vertical="center"/>
    </xf>
    <xf numFmtId="0" fontId="73" fillId="0" borderId="0" xfId="204" applyFont="1" applyAlignment="1">
      <alignment vertical="center"/>
    </xf>
    <xf numFmtId="0" fontId="73" fillId="0" borderId="0" xfId="204" applyFont="1" applyAlignment="1">
      <alignment horizontal="center" vertical="center"/>
    </xf>
    <xf numFmtId="0" fontId="73" fillId="0" borderId="0" xfId="204" applyFont="1" applyAlignment="1">
      <alignment horizontal="left" vertical="center"/>
    </xf>
    <xf numFmtId="0" fontId="70" fillId="0" borderId="4" xfId="204" applyFont="1" applyBorder="1" applyAlignment="1">
      <alignment horizontal="center" vertical="center" wrapText="1"/>
    </xf>
    <xf numFmtId="0" fontId="11" fillId="0" borderId="0" xfId="204" applyAlignment="1">
      <alignment horizontal="center" vertical="center" wrapText="1"/>
    </xf>
    <xf numFmtId="0" fontId="11" fillId="0" borderId="0" xfId="204" applyAlignment="1">
      <alignment horizontal="center" vertical="center"/>
    </xf>
    <xf numFmtId="0" fontId="11" fillId="0" borderId="0" xfId="204" applyFont="1" applyAlignment="1">
      <alignment horizontal="center" vertical="center"/>
    </xf>
    <xf numFmtId="0" fontId="74" fillId="0" borderId="0" xfId="204" applyFont="1" applyFill="1" applyAlignment="1">
      <alignment vertical="center" wrapText="1"/>
    </xf>
    <xf numFmtId="0" fontId="75" fillId="0" borderId="0" xfId="204" applyFont="1" applyAlignment="1">
      <alignment horizontal="center" vertical="center"/>
    </xf>
    <xf numFmtId="0" fontId="70" fillId="0" borderId="0" xfId="204" applyFont="1" applyAlignment="1">
      <alignment vertical="center"/>
    </xf>
    <xf numFmtId="174" fontId="77" fillId="0" borderId="0" xfId="204" applyNumberFormat="1" applyFont="1" applyAlignment="1">
      <alignment vertical="center"/>
    </xf>
    <xf numFmtId="0" fontId="11"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0" fontId="78" fillId="0" borderId="0" xfId="204" applyFont="1" applyAlignment="1">
      <alignment horizontal="center" vertical="center"/>
    </xf>
    <xf numFmtId="173" fontId="11" fillId="0" borderId="0" xfId="204" applyNumberFormat="1" applyAlignment="1">
      <alignment vertical="center"/>
    </xf>
    <xf numFmtId="173" fontId="11" fillId="0" borderId="0" xfId="206" applyNumberFormat="1" applyFont="1" applyBorder="1" applyAlignment="1">
      <alignment horizontal="center" vertical="center" wrapText="1"/>
    </xf>
    <xf numFmtId="0" fontId="70" fillId="0" borderId="0" xfId="204" applyFont="1" applyBorder="1" applyAlignment="1">
      <alignment horizontal="left" vertical="center" wrapText="1"/>
    </xf>
    <xf numFmtId="0" fontId="11" fillId="0" borderId="0" xfId="204" applyAlignment="1">
      <alignment horizontal="left" vertical="center"/>
    </xf>
    <xf numFmtId="173" fontId="11" fillId="0" borderId="4" xfId="206" applyNumberFormat="1" applyFont="1" applyBorder="1" applyAlignment="1">
      <alignment horizontal="center" vertical="center" wrapText="1"/>
    </xf>
    <xf numFmtId="173" fontId="70" fillId="0" borderId="0" xfId="206" applyNumberFormat="1" applyFont="1" applyAlignment="1">
      <alignment vertical="center"/>
    </xf>
    <xf numFmtId="0" fontId="81" fillId="0" borderId="0" xfId="204" applyFont="1" applyAlignment="1">
      <alignment horizontal="center"/>
    </xf>
    <xf numFmtId="0" fontId="70" fillId="0" borderId="0" xfId="204" applyFont="1"/>
    <xf numFmtId="0" fontId="82" fillId="0" borderId="0" xfId="204" applyFont="1"/>
    <xf numFmtId="0" fontId="81" fillId="0" borderId="0" xfId="204" applyFont="1" applyAlignment="1">
      <alignment horizontal="left"/>
    </xf>
    <xf numFmtId="0" fontId="71" fillId="0" borderId="0" xfId="204" applyFont="1" applyAlignment="1"/>
    <xf numFmtId="0" fontId="71" fillId="0" borderId="0" xfId="204" applyFont="1" applyAlignment="1">
      <alignment horizontal="left"/>
    </xf>
    <xf numFmtId="0" fontId="71" fillId="0" borderId="0" xfId="204" applyFont="1" applyAlignment="1">
      <alignment horizontal="right"/>
    </xf>
    <xf numFmtId="0" fontId="72" fillId="0" borderId="0" xfId="204" applyFont="1" applyAlignment="1"/>
    <xf numFmtId="0" fontId="83" fillId="0" borderId="0" xfId="204" applyFont="1" applyAlignment="1">
      <alignment horizontal="right"/>
    </xf>
    <xf numFmtId="0" fontId="83" fillId="0" borderId="0" xfId="204" applyFont="1" applyAlignment="1">
      <alignment horizontal="left"/>
    </xf>
    <xf numFmtId="0" fontId="83" fillId="0" borderId="0" xfId="204" applyFont="1" applyAlignment="1"/>
    <xf numFmtId="0" fontId="84" fillId="0" borderId="0" xfId="204" applyFont="1"/>
    <xf numFmtId="0" fontId="69" fillId="0" borderId="0" xfId="204" applyFont="1"/>
    <xf numFmtId="0" fontId="14" fillId="0" borderId="0" xfId="139" applyNumberFormat="1" applyFont="1" applyAlignment="1" applyProtection="1">
      <alignment horizontal="center"/>
      <protection locked="0"/>
    </xf>
    <xf numFmtId="173" fontId="64" fillId="0" borderId="11" xfId="199" applyNumberFormat="1" applyFont="1" applyFill="1" applyBorder="1"/>
    <xf numFmtId="173" fontId="68" fillId="0" borderId="16" xfId="199" applyNumberFormat="1" applyFont="1" applyFill="1" applyBorder="1"/>
    <xf numFmtId="173" fontId="64" fillId="0" borderId="14" xfId="199" applyNumberFormat="1" applyFont="1" applyFill="1" applyBorder="1"/>
    <xf numFmtId="173" fontId="64" fillId="0" borderId="12" xfId="199" applyNumberFormat="1" applyFont="1" applyFill="1" applyBorder="1"/>
    <xf numFmtId="0" fontId="10" fillId="0" borderId="0" xfId="204" applyFont="1"/>
    <xf numFmtId="0" fontId="79" fillId="0" borderId="0" xfId="204" applyFont="1" applyAlignment="1">
      <alignment horizontal="center"/>
    </xf>
    <xf numFmtId="0" fontId="75" fillId="0" borderId="0" xfId="204" applyFont="1" applyAlignment="1">
      <alignment horizontal="left" indent="1"/>
    </xf>
    <xf numFmtId="0" fontId="10" fillId="0" borderId="0" xfId="204" applyFont="1" applyAlignment="1"/>
    <xf numFmtId="0" fontId="75" fillId="0" borderId="0" xfId="204" applyFont="1" applyAlignment="1">
      <alignment horizontal="left" indent="2"/>
    </xf>
    <xf numFmtId="44" fontId="63" fillId="0" borderId="0" xfId="206" applyFont="1"/>
    <xf numFmtId="43" fontId="63" fillId="0" borderId="0" xfId="205" applyFont="1"/>
    <xf numFmtId="0" fontId="73" fillId="0" borderId="0" xfId="204" applyFont="1" applyAlignment="1">
      <alignment horizontal="left" indent="2"/>
    </xf>
    <xf numFmtId="0" fontId="10" fillId="0" borderId="0" xfId="204" applyFont="1" applyFill="1"/>
    <xf numFmtId="0" fontId="10" fillId="0" borderId="0" xfId="204" applyFont="1" applyAlignment="1">
      <alignment horizontal="left" indent="1"/>
    </xf>
    <xf numFmtId="0" fontId="10" fillId="0" borderId="0" xfId="204" applyFont="1" applyAlignment="1">
      <alignment horizontal="left" indent="2"/>
    </xf>
    <xf numFmtId="0" fontId="73" fillId="0" borderId="0" xfId="204" applyFont="1"/>
    <xf numFmtId="173" fontId="63" fillId="0" borderId="0" xfId="206" applyNumberFormat="1" applyFont="1"/>
    <xf numFmtId="0" fontId="75" fillId="0" borderId="0" xfId="204" applyFont="1"/>
    <xf numFmtId="0" fontId="75" fillId="0" borderId="0" xfId="204" applyFont="1" applyFill="1" applyAlignment="1">
      <alignment horizontal="center"/>
    </xf>
    <xf numFmtId="0" fontId="75" fillId="0" borderId="0" xfId="204" applyFont="1" applyFill="1"/>
    <xf numFmtId="0" fontId="73" fillId="0" borderId="0" xfId="204" applyFont="1" applyAlignment="1">
      <alignment horizontal="left" indent="1"/>
    </xf>
    <xf numFmtId="0" fontId="73" fillId="0" borderId="0" xfId="204" applyFont="1" applyAlignment="1"/>
    <xf numFmtId="173" fontId="63" fillId="0" borderId="0" xfId="205" applyNumberFormat="1" applyFont="1" applyFill="1" applyBorder="1"/>
    <xf numFmtId="174" fontId="63" fillId="0" borderId="0" xfId="1" applyNumberFormat="1" applyFont="1"/>
    <xf numFmtId="174" fontId="75" fillId="0" borderId="0" xfId="1" applyNumberFormat="1" applyFont="1"/>
    <xf numFmtId="174" fontId="63" fillId="0" borderId="0" xfId="1" applyNumberFormat="1" applyFont="1" applyFill="1" applyBorder="1"/>
    <xf numFmtId="174" fontId="75" fillId="0" borderId="0" xfId="1" applyNumberFormat="1" applyFont="1" applyFill="1" applyBorder="1"/>
    <xf numFmtId="174" fontId="63" fillId="0" borderId="0" xfId="205" applyNumberFormat="1" applyFont="1"/>
    <xf numFmtId="174" fontId="86" fillId="0" borderId="0" xfId="205" applyNumberFormat="1" applyFont="1"/>
    <xf numFmtId="174" fontId="75" fillId="0" borderId="0" xfId="205" applyNumberFormat="1" applyFont="1"/>
    <xf numFmtId="173" fontId="63" fillId="0" borderId="0" xfId="199" applyNumberFormat="1" applyFont="1"/>
    <xf numFmtId="173" fontId="63" fillId="0" borderId="4" xfId="199" applyNumberFormat="1" applyFont="1" applyBorder="1"/>
    <xf numFmtId="173" fontId="10" fillId="0" borderId="0" xfId="199" applyNumberFormat="1" applyFont="1"/>
    <xf numFmtId="0" fontId="66" fillId="0" borderId="0" xfId="204" applyFont="1"/>
    <xf numFmtId="0" fontId="63" fillId="0" borderId="0" xfId="2" applyFont="1"/>
    <xf numFmtId="177" fontId="65" fillId="0" borderId="0" xfId="208" applyFont="1" applyAlignment="1"/>
    <xf numFmtId="174" fontId="63" fillId="0" borderId="0" xfId="205" applyNumberFormat="1" applyFont="1" applyFill="1" applyBorder="1"/>
    <xf numFmtId="174" fontId="10" fillId="0" borderId="0" xfId="205" applyNumberFormat="1" applyFont="1"/>
    <xf numFmtId="0" fontId="10" fillId="0" borderId="0" xfId="204" applyFont="1" applyAlignment="1">
      <alignment horizontal="left"/>
    </xf>
    <xf numFmtId="174" fontId="10" fillId="0" borderId="0" xfId="1" applyNumberFormat="1" applyFont="1"/>
    <xf numFmtId="0" fontId="82" fillId="0" borderId="0" xfId="204" applyFont="1" applyAlignment="1">
      <alignment horizontal="right"/>
    </xf>
    <xf numFmtId="0" fontId="82" fillId="0" borderId="0" xfId="204" applyFont="1" applyAlignment="1">
      <alignment horizontal="left"/>
    </xf>
    <xf numFmtId="0" fontId="88" fillId="0" borderId="0" xfId="204" applyFont="1"/>
    <xf numFmtId="0" fontId="82" fillId="0" borderId="0" xfId="204" applyFont="1" applyAlignment="1">
      <alignment vertical="center"/>
    </xf>
    <xf numFmtId="0" fontId="82" fillId="0" borderId="0" xfId="204" applyFont="1" applyAlignment="1">
      <alignment horizontal="center" vertical="center"/>
    </xf>
    <xf numFmtId="0" fontId="82" fillId="0" borderId="0" xfId="204" applyFont="1" applyAlignment="1">
      <alignment horizontal="left" vertical="center"/>
    </xf>
    <xf numFmtId="0" fontId="82" fillId="0" borderId="0" xfId="204" applyFont="1" applyAlignment="1">
      <alignment horizontal="right" vertical="center"/>
    </xf>
    <xf numFmtId="0" fontId="73" fillId="0" borderId="0" xfId="204" applyFont="1" applyAlignment="1">
      <alignment horizontal="right" vertical="center"/>
    </xf>
    <xf numFmtId="0" fontId="89" fillId="0" borderId="0" xfId="204" applyNumberFormat="1" applyFont="1"/>
    <xf numFmtId="0" fontId="68" fillId="0" borderId="0" xfId="2" applyFont="1" applyAlignment="1">
      <alignment horizontal="center"/>
    </xf>
    <xf numFmtId="14" fontId="68" fillId="0" borderId="0" xfId="2" applyNumberFormat="1" applyFont="1" applyAlignment="1">
      <alignment horizontal="center"/>
    </xf>
    <xf numFmtId="0" fontId="64" fillId="0" borderId="8" xfId="2" applyFont="1" applyBorder="1"/>
    <xf numFmtId="0" fontId="64" fillId="0" borderId="9" xfId="2" applyFont="1" applyBorder="1"/>
    <xf numFmtId="0" fontId="64" fillId="0" borderId="10" xfId="2" applyFont="1" applyBorder="1"/>
    <xf numFmtId="0" fontId="64" fillId="0" borderId="0" xfId="2" applyFont="1" applyBorder="1"/>
    <xf numFmtId="0" fontId="64" fillId="0" borderId="0" xfId="2" applyFont="1" applyBorder="1" applyAlignment="1">
      <alignment horizontal="center"/>
    </xf>
    <xf numFmtId="0" fontId="64" fillId="0" borderId="0" xfId="2" applyFont="1" applyBorder="1" applyAlignment="1">
      <alignment horizontal="left"/>
    </xf>
    <xf numFmtId="0" fontId="64" fillId="6" borderId="14" xfId="2" applyFont="1" applyFill="1" applyBorder="1" applyAlignment="1">
      <alignment horizontal="center"/>
    </xf>
    <xf numFmtId="173" fontId="64" fillId="0" borderId="0" xfId="4" applyNumberFormat="1" applyFont="1"/>
    <xf numFmtId="173" fontId="64" fillId="0" borderId="0" xfId="4" applyNumberFormat="1" applyFont="1" applyBorder="1"/>
    <xf numFmtId="173" fontId="64" fillId="0" borderId="29" xfId="4" applyNumberFormat="1" applyFont="1" applyBorder="1"/>
    <xf numFmtId="173" fontId="90" fillId="0" borderId="0" xfId="4" applyNumberFormat="1" applyFont="1"/>
    <xf numFmtId="173" fontId="90" fillId="0" borderId="0" xfId="4" applyNumberFormat="1" applyFont="1" applyFill="1"/>
    <xf numFmtId="0" fontId="90" fillId="0" borderId="0" xfId="2" applyFont="1"/>
    <xf numFmtId="0" fontId="90" fillId="0" borderId="0" xfId="2" applyFont="1" applyFill="1"/>
    <xf numFmtId="0" fontId="91" fillId="0" borderId="0" xfId="2" applyFont="1"/>
    <xf numFmtId="3" fontId="69" fillId="0" borderId="0" xfId="0" applyNumberFormat="1" applyFont="1"/>
    <xf numFmtId="3" fontId="92" fillId="0" borderId="0" xfId="0" applyNumberFormat="1" applyFont="1"/>
    <xf numFmtId="173" fontId="63" fillId="0" borderId="0" xfId="205" applyNumberFormat="1" applyFont="1" applyFill="1"/>
    <xf numFmtId="173" fontId="63" fillId="0" borderId="1" xfId="205" applyNumberFormat="1" applyFont="1" applyFill="1" applyBorder="1"/>
    <xf numFmtId="173" fontId="86" fillId="0" borderId="0" xfId="205" applyNumberFormat="1" applyFont="1" applyFill="1"/>
    <xf numFmtId="173" fontId="75" fillId="0" borderId="0" xfId="204" applyNumberFormat="1" applyFont="1" applyFill="1"/>
    <xf numFmtId="173" fontId="75" fillId="0" borderId="14" xfId="204" applyNumberFormat="1" applyFont="1" applyFill="1" applyBorder="1"/>
    <xf numFmtId="173" fontId="63" fillId="0" borderId="14" xfId="206" applyNumberFormat="1" applyFont="1" applyFill="1" applyBorder="1"/>
    <xf numFmtId="173" fontId="63" fillId="0" borderId="0" xfId="206" applyNumberFormat="1" applyFont="1" applyFill="1"/>
    <xf numFmtId="174" fontId="63" fillId="0" borderId="0" xfId="205" applyNumberFormat="1" applyFont="1" applyFill="1"/>
    <xf numFmtId="174" fontId="63" fillId="0" borderId="4" xfId="205" applyNumberFormat="1" applyFont="1" applyFill="1" applyBorder="1"/>
    <xf numFmtId="173" fontId="10" fillId="0" borderId="14" xfId="204" applyNumberFormat="1" applyFont="1" applyFill="1" applyBorder="1"/>
    <xf numFmtId="173" fontId="11" fillId="0" borderId="0" xfId="206" applyNumberFormat="1" applyFont="1" applyFill="1" applyBorder="1" applyAlignment="1">
      <alignment horizontal="center" vertical="center" wrapText="1"/>
    </xf>
    <xf numFmtId="173" fontId="76" fillId="0" borderId="0" xfId="206" applyNumberFormat="1" applyFont="1" applyFill="1" applyBorder="1" applyAlignment="1">
      <alignment horizontal="center" vertical="center" wrapText="1"/>
    </xf>
    <xf numFmtId="0" fontId="11" fillId="0" borderId="0" xfId="204" applyFill="1" applyAlignment="1">
      <alignment vertical="center"/>
    </xf>
    <xf numFmtId="0" fontId="8" fillId="0" borderId="0" xfId="204" applyFont="1"/>
    <xf numFmtId="174" fontId="70" fillId="0" borderId="0" xfId="1" applyNumberFormat="1" applyFont="1"/>
    <xf numFmtId="0" fontId="8" fillId="0" borderId="0" xfId="204" applyFont="1" applyFill="1"/>
    <xf numFmtId="0" fontId="14" fillId="0" borderId="0" xfId="0" applyNumberFormat="1" applyFont="1" applyFill="1" applyProtection="1">
      <protection locked="0"/>
    </xf>
    <xf numFmtId="0" fontId="10" fillId="0" borderId="0" xfId="204" applyFont="1" applyFill="1" applyAlignment="1">
      <alignment vertical="center"/>
    </xf>
    <xf numFmtId="0" fontId="82" fillId="0" borderId="0" xfId="204" applyFont="1" applyAlignment="1">
      <alignment horizontal="right"/>
    </xf>
    <xf numFmtId="0" fontId="29" fillId="0" borderId="0" xfId="2" applyFont="1" applyFill="1"/>
    <xf numFmtId="173" fontId="69" fillId="0" borderId="0" xfId="2" applyNumberFormat="1" applyFont="1" applyFill="1"/>
    <xf numFmtId="37" fontId="11" fillId="0" borderId="0" xfId="204" applyNumberFormat="1" applyAlignment="1">
      <alignment vertical="center"/>
    </xf>
    <xf numFmtId="0" fontId="7" fillId="0" borderId="0" xfId="204" applyFont="1" applyAlignment="1">
      <alignment vertical="center"/>
    </xf>
    <xf numFmtId="0" fontId="7" fillId="0" borderId="0" xfId="204" applyFont="1"/>
    <xf numFmtId="0" fontId="71" fillId="0" borderId="0" xfId="204" applyFont="1" applyFill="1" applyAlignment="1">
      <alignment horizontal="left"/>
    </xf>
    <xf numFmtId="0" fontId="24" fillId="0" borderId="7" xfId="2" applyFont="1" applyFill="1" applyBorder="1"/>
    <xf numFmtId="174" fontId="24" fillId="0" borderId="0" xfId="2" applyNumberFormat="1" applyFill="1"/>
    <xf numFmtId="0" fontId="70" fillId="0" borderId="0" xfId="204" applyFont="1" applyFill="1"/>
    <xf numFmtId="0" fontId="69" fillId="0" borderId="0" xfId="2" applyFont="1" applyFill="1"/>
    <xf numFmtId="174" fontId="24" fillId="0" borderId="0" xfId="1" applyNumberFormat="1" applyFont="1" applyFill="1"/>
    <xf numFmtId="174" fontId="69" fillId="0" borderId="0" xfId="2" applyNumberFormat="1" applyFont="1" applyFill="1"/>
    <xf numFmtId="174" fontId="69" fillId="0" borderId="0" xfId="1" applyNumberFormat="1" applyFont="1" applyFill="1"/>
    <xf numFmtId="173" fontId="24" fillId="0" borderId="0" xfId="2" applyNumberFormat="1" applyFill="1"/>
    <xf numFmtId="173" fontId="24" fillId="0" borderId="0" xfId="199" applyNumberFormat="1" applyFont="1" applyFill="1"/>
    <xf numFmtId="0" fontId="10" fillId="0" borderId="0" xfId="204" applyFont="1" applyFill="1" applyAlignment="1"/>
    <xf numFmtId="0" fontId="70" fillId="0" borderId="0" xfId="204" applyFont="1" applyFill="1" applyAlignment="1"/>
    <xf numFmtId="173" fontId="63" fillId="0" borderId="0" xfId="206" applyNumberFormat="1" applyFont="1" applyFill="1" applyAlignment="1">
      <alignment vertical="center"/>
    </xf>
    <xf numFmtId="0" fontId="120" fillId="0" borderId="0" xfId="62487" quotePrefix="1" applyFont="1" applyAlignment="1">
      <alignment horizontal="center"/>
    </xf>
    <xf numFmtId="0" fontId="120" fillId="0" borderId="0" xfId="62487" applyFont="1" applyAlignment="1">
      <alignment horizontal="center"/>
    </xf>
    <xf numFmtId="0" fontId="120" fillId="0" borderId="0" xfId="62487" quotePrefix="1" applyFont="1"/>
    <xf numFmtId="0" fontId="120" fillId="0" borderId="0" xfId="62487" applyFont="1" applyAlignment="1">
      <alignment horizontal="right"/>
    </xf>
    <xf numFmtId="0" fontId="121" fillId="0" borderId="0" xfId="62487" quotePrefix="1" applyFont="1"/>
    <xf numFmtId="173" fontId="121" fillId="0" borderId="0" xfId="62443" applyNumberFormat="1" applyFont="1"/>
    <xf numFmtId="0" fontId="58" fillId="0" borderId="0" xfId="62487" applyFont="1"/>
    <xf numFmtId="0" fontId="121" fillId="0" borderId="0" xfId="62487" applyFont="1"/>
    <xf numFmtId="0" fontId="122" fillId="0" borderId="0" xfId="62489" quotePrefix="1" applyFont="1" applyAlignment="1"/>
    <xf numFmtId="0" fontId="121" fillId="0" borderId="0" xfId="62488" applyFont="1"/>
    <xf numFmtId="4" fontId="121" fillId="0" borderId="0" xfId="62488" applyNumberFormat="1" applyFont="1"/>
    <xf numFmtId="173" fontId="28" fillId="0" borderId="0" xfId="62443" quotePrefix="1" applyNumberFormat="1" applyFont="1" applyAlignment="1"/>
    <xf numFmtId="0" fontId="121" fillId="0" borderId="0" xfId="62489" applyFont="1" applyAlignment="1"/>
    <xf numFmtId="173" fontId="58" fillId="0" borderId="0" xfId="62443" applyNumberFormat="1" applyFont="1" applyFill="1" applyAlignment="1"/>
    <xf numFmtId="173" fontId="58" fillId="0" borderId="28" xfId="62443" applyNumberFormat="1" applyFont="1" applyBorder="1" applyAlignment="1"/>
    <xf numFmtId="173" fontId="58" fillId="0" borderId="0" xfId="62443" applyNumberFormat="1" applyFont="1" applyBorder="1" applyAlignment="1"/>
    <xf numFmtId="173" fontId="58" fillId="0" borderId="0" xfId="62443" applyNumberFormat="1" applyFont="1" applyAlignment="1"/>
    <xf numFmtId="0" fontId="58" fillId="0" borderId="0" xfId="62489" applyNumberFormat="1" applyFont="1" applyAlignment="1" applyProtection="1">
      <protection locked="0"/>
    </xf>
    <xf numFmtId="0" fontId="58" fillId="0" borderId="0" xfId="62489" applyNumberFormat="1" applyFont="1" applyBorder="1" applyAlignment="1" applyProtection="1">
      <protection locked="0"/>
    </xf>
    <xf numFmtId="0" fontId="58" fillId="0" borderId="0" xfId="62489" applyNumberFormat="1" applyFont="1" applyFill="1" applyBorder="1" applyAlignment="1" applyProtection="1">
      <protection locked="0"/>
    </xf>
    <xf numFmtId="173" fontId="58" fillId="0" borderId="9" xfId="62443" applyNumberFormat="1" applyFont="1" applyBorder="1" applyAlignment="1"/>
    <xf numFmtId="172" fontId="58" fillId="0" borderId="0" xfId="0" applyFont="1" applyAlignment="1"/>
    <xf numFmtId="0" fontId="58" fillId="0" borderId="0" xfId="62441" applyFont="1"/>
    <xf numFmtId="0" fontId="66" fillId="0" borderId="0" xfId="2" applyFont="1" applyFill="1"/>
    <xf numFmtId="174" fontId="29" fillId="0" borderId="25" xfId="3" applyNumberFormat="1" applyFont="1" applyFill="1" applyBorder="1"/>
    <xf numFmtId="174" fontId="29" fillId="0" borderId="16" xfId="3" applyNumberFormat="1" applyFont="1" applyFill="1" applyBorder="1"/>
    <xf numFmtId="174" fontId="29" fillId="0" borderId="41" xfId="3" applyNumberFormat="1" applyFont="1" applyFill="1" applyBorder="1"/>
    <xf numFmtId="173" fontId="29" fillId="0" borderId="40" xfId="4" applyNumberFormat="1" applyFont="1" applyFill="1" applyBorder="1"/>
    <xf numFmtId="0" fontId="26" fillId="0" borderId="3" xfId="2" applyFont="1" applyFill="1" applyBorder="1" applyAlignment="1">
      <alignment horizontal="center"/>
    </xf>
    <xf numFmtId="0" fontId="24" fillId="0" borderId="13" xfId="2" applyFill="1" applyBorder="1" applyAlignment="1">
      <alignment horizontal="left" indent="1"/>
    </xf>
    <xf numFmtId="37" fontId="29" fillId="0" borderId="16" xfId="3" applyNumberFormat="1" applyFont="1" applyFill="1" applyBorder="1"/>
    <xf numFmtId="0" fontId="24" fillId="0" borderId="6" xfId="2" applyFill="1" applyBorder="1"/>
    <xf numFmtId="37" fontId="30" fillId="0" borderId="12" xfId="3" applyNumberFormat="1" applyFont="1" applyFill="1" applyBorder="1"/>
    <xf numFmtId="0" fontId="24" fillId="0" borderId="9" xfId="2" applyFill="1" applyBorder="1" applyAlignment="1">
      <alignment horizontal="center"/>
    </xf>
    <xf numFmtId="0" fontId="29" fillId="0" borderId="11" xfId="2" applyFont="1" applyFill="1" applyBorder="1"/>
    <xf numFmtId="0" fontId="29" fillId="0" borderId="19" xfId="2" applyFont="1" applyFill="1" applyBorder="1"/>
    <xf numFmtId="0" fontId="29" fillId="0" borderId="6" xfId="2" applyFont="1" applyFill="1" applyBorder="1"/>
    <xf numFmtId="0" fontId="24" fillId="0" borderId="20" xfId="2" applyFill="1" applyBorder="1" applyAlignment="1">
      <alignment horizontal="center"/>
    </xf>
    <xf numFmtId="0" fontId="29" fillId="0" borderId="21" xfId="2" applyFont="1" applyFill="1" applyBorder="1" applyAlignment="1">
      <alignment wrapText="1"/>
    </xf>
    <xf numFmtId="37" fontId="26" fillId="0" borderId="0" xfId="2" applyNumberFormat="1" applyFont="1" applyFill="1" applyBorder="1"/>
    <xf numFmtId="173" fontId="64" fillId="0" borderId="0" xfId="199" applyNumberFormat="1" applyFont="1" applyFill="1"/>
    <xf numFmtId="173" fontId="64" fillId="0" borderId="0" xfId="2" applyNumberFormat="1" applyFont="1" applyFill="1"/>
    <xf numFmtId="0" fontId="64" fillId="0" borderId="0" xfId="2" applyFont="1" applyFill="1" applyAlignment="1">
      <alignment horizontal="right"/>
    </xf>
    <xf numFmtId="174" fontId="64" fillId="0" borderId="0" xfId="1" applyNumberFormat="1" applyFont="1" applyAlignment="1">
      <alignment horizontal="right"/>
    </xf>
    <xf numFmtId="0" fontId="64" fillId="0" borderId="0" xfId="2" applyFont="1" applyFill="1" applyAlignment="1">
      <alignment horizontal="left"/>
    </xf>
    <xf numFmtId="174" fontId="121" fillId="0" borderId="0" xfId="1" applyNumberFormat="1" applyFont="1" applyFill="1" applyAlignment="1">
      <alignment horizontal="right"/>
    </xf>
    <xf numFmtId="174" fontId="121" fillId="0" borderId="0" xfId="1" applyNumberFormat="1" applyFont="1"/>
    <xf numFmtId="174" fontId="121" fillId="0" borderId="0" xfId="1" applyNumberFormat="1" applyFont="1" applyFill="1"/>
    <xf numFmtId="174" fontId="121" fillId="0" borderId="28" xfId="1" applyNumberFormat="1" applyFont="1" applyBorder="1"/>
    <xf numFmtId="174" fontId="58" fillId="0" borderId="0" xfId="62441" applyNumberFormat="1" applyFont="1"/>
    <xf numFmtId="174" fontId="58" fillId="0" borderId="0" xfId="1" applyNumberFormat="1" applyFont="1" applyFill="1" applyAlignment="1"/>
    <xf numFmtId="172" fontId="58" fillId="0" borderId="0" xfId="0" applyFont="1" applyFill="1" applyAlignment="1"/>
    <xf numFmtId="174" fontId="26" fillId="0" borderId="17" xfId="3" applyNumberFormat="1" applyFont="1" applyFill="1" applyBorder="1"/>
    <xf numFmtId="173" fontId="29" fillId="0" borderId="27" xfId="4" applyNumberFormat="1" applyFont="1" applyFill="1" applyBorder="1"/>
    <xf numFmtId="173" fontId="29" fillId="0" borderId="24" xfId="4" applyNumberFormat="1" applyFont="1" applyFill="1" applyBorder="1"/>
    <xf numFmtId="173" fontId="29" fillId="0" borderId="25" xfId="4" applyNumberFormat="1" applyFont="1" applyFill="1" applyBorder="1"/>
    <xf numFmtId="174" fontId="61" fillId="0" borderId="5" xfId="3" applyNumberFormat="1" applyFont="1" applyFill="1" applyBorder="1"/>
    <xf numFmtId="0" fontId="68" fillId="0" borderId="0" xfId="2" applyFont="1" applyFill="1"/>
    <xf numFmtId="0" fontId="70" fillId="0" borderId="0" xfId="204" applyFont="1" applyFill="1" applyAlignment="1">
      <alignment vertical="center"/>
    </xf>
    <xf numFmtId="0" fontId="73" fillId="0" borderId="0" xfId="204" applyFont="1" applyFill="1" applyAlignment="1">
      <alignment vertical="center"/>
    </xf>
    <xf numFmtId="0" fontId="73" fillId="0" borderId="0" xfId="204" applyFont="1" applyFill="1" applyAlignment="1">
      <alignment horizontal="center" vertical="center"/>
    </xf>
    <xf numFmtId="0" fontId="73" fillId="0" borderId="0" xfId="204" applyFont="1" applyFill="1" applyAlignment="1">
      <alignment horizontal="right" vertical="center"/>
    </xf>
    <xf numFmtId="0" fontId="73" fillId="0" borderId="0" xfId="204" applyFont="1" applyFill="1" applyAlignment="1">
      <alignment horizontal="left" vertical="center"/>
    </xf>
    <xf numFmtId="0" fontId="70" fillId="0" borderId="4" xfId="204" applyFont="1" applyFill="1" applyBorder="1" applyAlignment="1">
      <alignment horizontal="center" vertical="center" wrapText="1"/>
    </xf>
    <xf numFmtId="0" fontId="10" fillId="0" borderId="0" xfId="204" applyFont="1" applyFill="1" applyAlignment="1">
      <alignment horizontal="center" vertical="center" wrapText="1"/>
    </xf>
    <xf numFmtId="0" fontId="10" fillId="0" borderId="0" xfId="204" applyFont="1" applyFill="1" applyAlignment="1">
      <alignment horizontal="center" vertical="center"/>
    </xf>
    <xf numFmtId="0" fontId="10" fillId="0" borderId="0" xfId="204" applyFont="1" applyFill="1" applyBorder="1" applyAlignment="1">
      <alignment horizontal="center" vertical="center" wrapText="1"/>
    </xf>
    <xf numFmtId="173" fontId="10" fillId="0" borderId="0" xfId="204" applyNumberFormat="1" applyFont="1" applyFill="1" applyBorder="1" applyAlignment="1">
      <alignment horizontal="center" vertical="center" wrapText="1"/>
    </xf>
    <xf numFmtId="173" fontId="10" fillId="0" borderId="0" xfId="204" applyNumberFormat="1" applyFont="1" applyFill="1" applyAlignment="1">
      <alignment horizontal="center" vertical="center" wrapText="1"/>
    </xf>
    <xf numFmtId="0" fontId="75" fillId="0" borderId="0" xfId="204" applyFont="1" applyFill="1" applyAlignment="1">
      <alignment horizontal="center" vertical="center"/>
    </xf>
    <xf numFmtId="173" fontId="77" fillId="0" borderId="0" xfId="206" applyNumberFormat="1" applyFont="1" applyFill="1" applyAlignment="1">
      <alignment vertical="center"/>
    </xf>
    <xf numFmtId="0" fontId="78" fillId="0" borderId="0" xfId="204" applyFont="1" applyFill="1" applyAlignment="1">
      <alignment horizontal="center" vertical="center"/>
    </xf>
    <xf numFmtId="173" fontId="10" fillId="0" borderId="0" xfId="204" applyNumberFormat="1" applyFont="1" applyFill="1" applyAlignment="1">
      <alignment vertical="center"/>
    </xf>
    <xf numFmtId="173" fontId="63" fillId="0" borderId="4" xfId="206" applyNumberFormat="1" applyFont="1" applyFill="1" applyBorder="1" applyAlignment="1">
      <alignment vertical="center"/>
    </xf>
    <xf numFmtId="174" fontId="77" fillId="0" borderId="0" xfId="1" applyNumberFormat="1" applyFont="1" applyFill="1" applyAlignment="1">
      <alignment vertical="center"/>
    </xf>
    <xf numFmtId="0" fontId="11" fillId="0" borderId="0" xfId="204" applyFill="1" applyAlignment="1">
      <alignment horizontal="center" vertical="center"/>
    </xf>
    <xf numFmtId="0" fontId="6" fillId="0" borderId="0" xfId="204" applyFont="1" applyFill="1" applyAlignment="1">
      <alignment vertical="center"/>
    </xf>
    <xf numFmtId="173" fontId="11" fillId="0" borderId="0" xfId="204" applyNumberFormat="1" applyFill="1" applyAlignment="1">
      <alignment vertical="center"/>
    </xf>
    <xf numFmtId="173" fontId="0" fillId="0" borderId="0" xfId="206" applyNumberFormat="1" applyFont="1" applyFill="1" applyAlignment="1">
      <alignment vertical="center"/>
    </xf>
    <xf numFmtId="0" fontId="5" fillId="0" borderId="0" xfId="204" applyFont="1" applyAlignment="1">
      <alignment horizontal="left" vertical="center"/>
    </xf>
    <xf numFmtId="174" fontId="11" fillId="0" borderId="0" xfId="1" applyNumberFormat="1" applyFont="1" applyAlignment="1">
      <alignment horizontal="center" vertical="center" wrapText="1"/>
    </xf>
    <xf numFmtId="174" fontId="11" fillId="0" borderId="0" xfId="1" applyNumberFormat="1" applyFont="1" applyAlignment="1">
      <alignment vertical="center"/>
    </xf>
    <xf numFmtId="174" fontId="11" fillId="0" borderId="0" xfId="1" applyNumberFormat="1" applyFont="1" applyFill="1" applyAlignment="1">
      <alignment vertical="center"/>
    </xf>
    <xf numFmtId="174" fontId="0" fillId="0" borderId="0" xfId="1" applyNumberFormat="1" applyFont="1" applyFill="1" applyAlignment="1">
      <alignment vertical="center"/>
    </xf>
    <xf numFmtId="173" fontId="29" fillId="0" borderId="0" xfId="2" applyNumberFormat="1" applyFont="1" applyFill="1"/>
    <xf numFmtId="174" fontId="123" fillId="0" borderId="0" xfId="1" applyNumberFormat="1" applyFont="1"/>
    <xf numFmtId="0" fontId="24" fillId="0" borderId="0" xfId="2" applyAlignment="1">
      <alignment horizontal="right"/>
    </xf>
    <xf numFmtId="174" fontId="124" fillId="0" borderId="0" xfId="1" applyNumberFormat="1" applyFont="1"/>
    <xf numFmtId="0" fontId="24" fillId="0" borderId="0" xfId="2" applyFill="1" applyAlignment="1">
      <alignment horizontal="right"/>
    </xf>
    <xf numFmtId="0" fontId="28" fillId="0" borderId="0" xfId="62441" applyFont="1"/>
    <xf numFmtId="0" fontId="58" fillId="0" borderId="0" xfId="62441" applyFont="1" applyFill="1"/>
    <xf numFmtId="0" fontId="121" fillId="0" borderId="0" xfId="62488" applyFont="1" applyFill="1"/>
    <xf numFmtId="0" fontId="14" fillId="0" borderId="0" xfId="0" applyNumberFormat="1" applyFont="1" applyFill="1" applyAlignment="1" applyProtection="1">
      <alignment vertical="top" wrapText="1"/>
      <protection locked="0"/>
    </xf>
    <xf numFmtId="0" fontId="14" fillId="0" borderId="0" xfId="0" applyNumberFormat="1" applyFont="1" applyAlignment="1" applyProtection="1">
      <alignment vertical="top" wrapText="1"/>
      <protection locked="0"/>
    </xf>
    <xf numFmtId="0" fontId="25" fillId="0" borderId="0" xfId="2" applyFont="1" applyAlignment="1">
      <alignment horizontal="center"/>
    </xf>
    <xf numFmtId="0" fontId="27" fillId="0" borderId="0" xfId="2" applyFont="1" applyAlignment="1">
      <alignment horizontal="center"/>
    </xf>
    <xf numFmtId="14" fontId="25" fillId="0" borderId="0" xfId="2" applyNumberFormat="1" applyFont="1" applyAlignment="1">
      <alignment horizontal="center"/>
    </xf>
    <xf numFmtId="0" fontId="29" fillId="0" borderId="4" xfId="2" applyFont="1" applyBorder="1" applyAlignment="1">
      <alignment horizontal="center"/>
    </xf>
    <xf numFmtId="173" fontId="24" fillId="0" borderId="0" xfId="2" applyNumberFormat="1"/>
    <xf numFmtId="174" fontId="64" fillId="0" borderId="0" xfId="2" applyNumberFormat="1" applyFont="1" applyFill="1"/>
    <xf numFmtId="173" fontId="26" fillId="0" borderId="0" xfId="4" applyNumberFormat="1" applyFont="1" applyBorder="1"/>
    <xf numFmtId="174" fontId="26" fillId="0" borderId="0" xfId="3" applyNumberFormat="1" applyFont="1" applyBorder="1"/>
    <xf numFmtId="174" fontId="26" fillId="0" borderId="0" xfId="3" applyNumberFormat="1" applyFont="1" applyFill="1" applyBorder="1"/>
    <xf numFmtId="173" fontId="29" fillId="0" borderId="0" xfId="4" applyNumberFormat="1" applyFont="1" applyFill="1" applyBorder="1"/>
    <xf numFmtId="0" fontId="24" fillId="0" borderId="3" xfId="2" applyFont="1" applyBorder="1" applyAlignment="1">
      <alignment horizontal="center"/>
    </xf>
    <xf numFmtId="0" fontId="24" fillId="0" borderId="5" xfId="2" applyFont="1" applyBorder="1" applyAlignment="1">
      <alignment horizontal="center"/>
    </xf>
    <xf numFmtId="0" fontId="68" fillId="0" borderId="0" xfId="2" applyFont="1"/>
    <xf numFmtId="9" fontId="64" fillId="0" borderId="0" xfId="2" applyNumberFormat="1" applyFont="1"/>
    <xf numFmtId="0" fontId="64" fillId="0" borderId="0" xfId="2" applyFont="1" applyAlignment="1">
      <alignment horizontal="center"/>
    </xf>
    <xf numFmtId="0" fontId="64" fillId="0" borderId="0" xfId="2" applyFont="1" applyFill="1" applyAlignment="1">
      <alignment horizontal="center"/>
    </xf>
    <xf numFmtId="37" fontId="64" fillId="0" borderId="0" xfId="2" applyNumberFormat="1" applyFont="1" applyFill="1"/>
    <xf numFmtId="3" fontId="64" fillId="0" borderId="0" xfId="2" applyNumberFormat="1" applyFont="1"/>
    <xf numFmtId="173" fontId="78" fillId="0" borderId="0" xfId="4" applyNumberFormat="1" applyFont="1" applyFill="1"/>
    <xf numFmtId="173" fontId="64" fillId="0" borderId="0" xfId="199" applyNumberFormat="1" applyFont="1"/>
    <xf numFmtId="173" fontId="64" fillId="0" borderId="29" xfId="199" applyNumberFormat="1" applyFont="1" applyBorder="1"/>
    <xf numFmtId="173" fontId="76" fillId="0" borderId="0" xfId="206" applyNumberFormat="1" applyFont="1" applyBorder="1" applyAlignment="1">
      <alignment horizontal="center" vertical="center" wrapText="1"/>
    </xf>
    <xf numFmtId="0" fontId="4" fillId="0" borderId="0" xfId="204" applyFont="1" applyAlignment="1">
      <alignment vertical="center"/>
    </xf>
    <xf numFmtId="0" fontId="4" fillId="0" borderId="0" xfId="204" applyFont="1"/>
    <xf numFmtId="172" fontId="58" fillId="0" borderId="0" xfId="0" applyFont="1" applyFill="1" applyBorder="1" applyAlignment="1"/>
    <xf numFmtId="0" fontId="28" fillId="0" borderId="0" xfId="62441" applyFont="1" applyFill="1" applyBorder="1" applyAlignment="1"/>
    <xf numFmtId="0" fontId="28" fillId="0" borderId="0" xfId="62441" applyFont="1" applyFill="1" applyBorder="1" applyAlignment="1">
      <alignment vertical="top"/>
    </xf>
    <xf numFmtId="174" fontId="16" fillId="0" borderId="0" xfId="1" applyNumberFormat="1" applyFont="1" applyAlignment="1">
      <alignment horizontal="left"/>
    </xf>
    <xf numFmtId="174" fontId="16" fillId="0" borderId="0" xfId="1" applyNumberFormat="1" applyFont="1" applyFill="1" applyAlignment="1" applyProtection="1">
      <alignment horizontal="left"/>
      <protection locked="0"/>
    </xf>
    <xf numFmtId="172" fontId="14" fillId="0" borderId="0" xfId="0" applyFont="1" applyAlignment="1" applyProtection="1">
      <protection locked="0"/>
    </xf>
    <xf numFmtId="0" fontId="14" fillId="0" borderId="0" xfId="0" applyNumberFormat="1" applyFont="1" applyAlignment="1" applyProtection="1">
      <alignment horizontal="right"/>
      <protection locked="0"/>
    </xf>
    <xf numFmtId="172" fontId="22" fillId="0" borderId="0" xfId="0" applyFont="1" applyBorder="1" applyAlignment="1" applyProtection="1">
      <alignment vertical="center" wrapText="1"/>
      <protection locked="0"/>
    </xf>
    <xf numFmtId="172" fontId="14" fillId="2" borderId="0" xfId="0" applyFont="1" applyFill="1" applyAlignment="1" applyProtection="1">
      <protection locked="0"/>
    </xf>
    <xf numFmtId="3" fontId="14" fillId="0" borderId="0" xfId="0" applyNumberFormat="1" applyFont="1" applyAlignment="1" applyProtection="1">
      <protection locked="0"/>
    </xf>
    <xf numFmtId="49" fontId="17" fillId="6" borderId="0" xfId="0" applyNumberFormat="1" applyFont="1" applyFill="1" applyProtection="1">
      <protection locked="0"/>
    </xf>
    <xf numFmtId="0" fontId="14" fillId="6" borderId="0" xfId="0" applyNumberFormat="1" applyFont="1" applyFill="1" applyProtection="1">
      <protection locked="0"/>
    </xf>
    <xf numFmtId="49" fontId="14" fillId="0" borderId="0" xfId="0" applyNumberFormat="1" applyFont="1" applyProtection="1">
      <protection locked="0"/>
    </xf>
    <xf numFmtId="42" fontId="14" fillId="0" borderId="0" xfId="0" applyNumberFormat="1" applyFont="1" applyProtection="1"/>
    <xf numFmtId="3" fontId="14" fillId="0" borderId="0" xfId="0" applyNumberFormat="1" applyFont="1" applyAlignment="1" applyProtection="1"/>
    <xf numFmtId="166" fontId="14" fillId="0" borderId="0" xfId="0" applyNumberFormat="1" applyFont="1" applyAlignment="1" applyProtection="1"/>
    <xf numFmtId="3" fontId="14" fillId="2" borderId="0" xfId="0" applyNumberFormat="1" applyFont="1" applyFill="1" applyProtection="1">
      <protection locked="0"/>
    </xf>
    <xf numFmtId="3" fontId="14" fillId="0" borderId="1" xfId="0" applyNumberFormat="1" applyFont="1" applyBorder="1" applyAlignment="1" applyProtection="1"/>
    <xf numFmtId="3" fontId="14" fillId="0" borderId="0" xfId="0" applyNumberFormat="1" applyFont="1" applyAlignment="1" applyProtection="1">
      <alignment horizontal="fill"/>
      <protection locked="0"/>
    </xf>
    <xf numFmtId="166" fontId="14" fillId="0" borderId="0" xfId="0" applyNumberFormat="1" applyFont="1" applyAlignment="1" applyProtection="1">
      <protection locked="0"/>
    </xf>
    <xf numFmtId="0" fontId="14" fillId="0" borderId="0" xfId="139" applyNumberFormat="1" applyFont="1" applyAlignment="1" applyProtection="1">
      <protection locked="0"/>
    </xf>
    <xf numFmtId="0" fontId="14" fillId="0" borderId="0" xfId="139" applyNumberFormat="1" applyFont="1" applyProtection="1">
      <protection locked="0"/>
    </xf>
    <xf numFmtId="39" fontId="14" fillId="0" borderId="0" xfId="139" applyFont="1" applyAlignment="1" applyProtection="1">
      <protection locked="0"/>
    </xf>
    <xf numFmtId="3" fontId="14" fillId="2" borderId="0" xfId="139" applyNumberFormat="1" applyFont="1" applyFill="1" applyProtection="1">
      <protection locked="0"/>
    </xf>
    <xf numFmtId="3" fontId="14" fillId="2" borderId="1" xfId="139" applyNumberFormat="1" applyFont="1" applyFill="1" applyBorder="1" applyProtection="1">
      <protection locked="0"/>
    </xf>
    <xf numFmtId="3" fontId="14" fillId="0" borderId="0" xfId="139" applyNumberFormat="1" applyFont="1" applyFill="1" applyProtection="1"/>
    <xf numFmtId="3" fontId="14" fillId="0" borderId="0" xfId="139" applyNumberFormat="1" applyFont="1" applyFill="1" applyProtection="1">
      <protection locked="0"/>
    </xf>
    <xf numFmtId="0" fontId="14" fillId="0" borderId="0" xfId="139" applyNumberFormat="1" applyFont="1" applyFill="1" applyProtection="1">
      <protection locked="0"/>
    </xf>
    <xf numFmtId="42" fontId="14" fillId="0" borderId="29" xfId="139" applyNumberFormat="1" applyFont="1" applyBorder="1" applyAlignment="1" applyProtection="1">
      <alignment horizontal="right"/>
    </xf>
    <xf numFmtId="174" fontId="14" fillId="0" borderId="0" xfId="1" applyNumberFormat="1" applyFont="1" applyAlignment="1" applyProtection="1">
      <protection locked="0"/>
    </xf>
    <xf numFmtId="3" fontId="14" fillId="0" borderId="0" xfId="0" applyNumberFormat="1" applyFont="1" applyFill="1" applyBorder="1" applyProtection="1">
      <protection locked="0"/>
    </xf>
    <xf numFmtId="3" fontId="14" fillId="2" borderId="0" xfId="0" applyNumberFormat="1" applyFont="1" applyFill="1" applyBorder="1" applyProtection="1">
      <protection locked="0"/>
    </xf>
    <xf numFmtId="3" fontId="14" fillId="2" borderId="1" xfId="0" applyNumberFormat="1" applyFont="1" applyFill="1" applyBorder="1" applyProtection="1">
      <protection locked="0"/>
    </xf>
    <xf numFmtId="3" fontId="14" fillId="0" borderId="0" xfId="0" applyNumberFormat="1" applyFont="1" applyProtection="1"/>
    <xf numFmtId="168" fontId="14" fillId="0" borderId="0" xfId="0" applyNumberFormat="1" applyFont="1" applyProtection="1"/>
    <xf numFmtId="168" fontId="14" fillId="0" borderId="0" xfId="0" applyNumberFormat="1" applyFont="1" applyProtection="1">
      <protection locked="0"/>
    </xf>
    <xf numFmtId="168" fontId="14" fillId="0" borderId="0" xfId="0" applyNumberFormat="1" applyFont="1" applyAlignment="1" applyProtection="1">
      <alignment horizontal="center"/>
      <protection locked="0"/>
    </xf>
    <xf numFmtId="172" fontId="14" fillId="0" borderId="0" xfId="0" applyFont="1" applyAlignment="1" applyProtection="1">
      <alignment horizontal="center"/>
      <protection locked="0"/>
    </xf>
    <xf numFmtId="171" fontId="14" fillId="0" borderId="0" xfId="0" applyNumberFormat="1" applyFont="1" applyAlignment="1" applyProtection="1"/>
    <xf numFmtId="171" fontId="14" fillId="0" borderId="0" xfId="0" applyNumberFormat="1" applyFont="1" applyProtection="1"/>
    <xf numFmtId="0" fontId="14" fillId="0" borderId="0" xfId="0" applyNumberFormat="1" applyFont="1" applyAlignment="1" applyProtection="1"/>
    <xf numFmtId="0" fontId="14" fillId="0" borderId="0" xfId="0" applyNumberFormat="1" applyFont="1" applyAlignment="1" applyProtection="1">
      <alignment horizontal="left"/>
    </xf>
    <xf numFmtId="0" fontId="14" fillId="0" borderId="0" xfId="0" applyNumberFormat="1" applyFont="1" applyAlignment="1" applyProtection="1">
      <alignment horizontal="right"/>
    </xf>
    <xf numFmtId="49" fontId="14" fillId="0" borderId="0" xfId="0" applyNumberFormat="1" applyFont="1" applyAlignment="1" applyProtection="1">
      <alignment horizontal="left"/>
      <protection locked="0"/>
    </xf>
    <xf numFmtId="49" fontId="14" fillId="0" borderId="0" xfId="0" applyNumberFormat="1" applyFont="1" applyAlignment="1" applyProtection="1">
      <alignment horizontal="center"/>
      <protection locked="0"/>
    </xf>
    <xf numFmtId="3" fontId="17" fillId="0" borderId="0" xfId="0" applyNumberFormat="1" applyFont="1" applyAlignment="1" applyProtection="1">
      <alignment horizontal="center"/>
      <protection locked="0"/>
    </xf>
    <xf numFmtId="0" fontId="17" fillId="0" borderId="0" xfId="0" applyNumberFormat="1" applyFont="1" applyFill="1" applyAlignment="1" applyProtection="1">
      <protection locked="0"/>
    </xf>
    <xf numFmtId="172" fontId="17" fillId="0" borderId="0" xfId="0" applyFont="1" applyAlignment="1" applyProtection="1">
      <alignment horizontal="center"/>
      <protection locked="0"/>
    </xf>
    <xf numFmtId="3" fontId="17" fillId="0" borderId="0" xfId="0" applyNumberFormat="1" applyFont="1" applyAlignment="1" applyProtection="1">
      <protection locked="0"/>
    </xf>
    <xf numFmtId="0" fontId="14" fillId="0" borderId="0" xfId="0" applyNumberFormat="1" applyFont="1" applyFill="1" applyAlignment="1" applyProtection="1">
      <protection locked="0"/>
    </xf>
    <xf numFmtId="165" fontId="14" fillId="0" borderId="0" xfId="0" applyNumberFormat="1" applyFont="1" applyAlignment="1" applyProtection="1">
      <protection locked="0"/>
    </xf>
    <xf numFmtId="165" fontId="14" fillId="0" borderId="0" xfId="0" applyNumberFormat="1" applyFont="1" applyAlignment="1" applyProtection="1"/>
    <xf numFmtId="3" fontId="14" fillId="2" borderId="1" xfId="0" applyNumberFormat="1" applyFont="1" applyFill="1" applyBorder="1" applyAlignment="1" applyProtection="1">
      <protection locked="0"/>
    </xf>
    <xf numFmtId="164" fontId="14" fillId="0" borderId="0" xfId="0" applyNumberFormat="1" applyFont="1" applyAlignment="1" applyProtection="1">
      <alignment horizontal="center"/>
    </xf>
    <xf numFmtId="164" fontId="14" fillId="0" borderId="0" xfId="0" applyNumberFormat="1" applyFont="1" applyAlignment="1" applyProtection="1">
      <alignment horizontal="center"/>
      <protection locked="0"/>
    </xf>
    <xf numFmtId="3" fontId="14" fillId="2" borderId="0" xfId="0" applyNumberFormat="1" applyFont="1" applyFill="1" applyAlignment="1" applyProtection="1">
      <protection locked="0"/>
    </xf>
    <xf numFmtId="0" fontId="14" fillId="0" borderId="0" xfId="0" applyNumberFormat="1" applyFont="1" applyAlignment="1" applyProtection="1">
      <alignment horizontal="fill"/>
      <protection locked="0"/>
    </xf>
    <xf numFmtId="165" fontId="14" fillId="0" borderId="0" xfId="0" applyNumberFormat="1" applyFont="1" applyAlignment="1" applyProtection="1">
      <alignment horizontal="right"/>
      <protection locked="0"/>
    </xf>
    <xf numFmtId="3" fontId="14" fillId="0" borderId="0" xfId="0" applyNumberFormat="1" applyFont="1" applyAlignment="1" applyProtection="1">
      <alignment horizontal="center"/>
      <protection locked="0"/>
    </xf>
    <xf numFmtId="172" fontId="14" fillId="0" borderId="1" xfId="0" applyFont="1" applyBorder="1" applyAlignment="1" applyProtection="1">
      <protection locked="0"/>
    </xf>
    <xf numFmtId="3" fontId="14" fillId="0" borderId="2" xfId="0" applyNumberFormat="1" applyFont="1" applyBorder="1" applyAlignment="1" applyProtection="1"/>
    <xf numFmtId="3" fontId="14" fillId="0" borderId="0" xfId="0" applyNumberFormat="1" applyFont="1" applyAlignment="1" applyProtection="1">
      <alignment horizontal="right"/>
    </xf>
    <xf numFmtId="172" fontId="14" fillId="0" borderId="0" xfId="0" applyFont="1" applyAlignment="1" applyProtection="1"/>
    <xf numFmtId="3" fontId="14" fillId="0" borderId="0" xfId="0" applyNumberFormat="1" applyFont="1" applyFill="1" applyAlignment="1" applyProtection="1">
      <protection locked="0"/>
    </xf>
    <xf numFmtId="172" fontId="14" fillId="0" borderId="0" xfId="0" applyFont="1" applyFill="1" applyAlignment="1" applyProtection="1">
      <protection locked="0"/>
    </xf>
    <xf numFmtId="3" fontId="21" fillId="0" borderId="0" xfId="0" applyNumberFormat="1" applyFont="1" applyAlignment="1" applyProtection="1">
      <protection locked="0"/>
    </xf>
    <xf numFmtId="0" fontId="14" fillId="0" borderId="0" xfId="0" applyNumberFormat="1" applyFont="1" applyFill="1" applyAlignment="1" applyProtection="1">
      <alignment horizontal="fill"/>
      <protection locked="0"/>
    </xf>
    <xf numFmtId="3" fontId="14" fillId="0" borderId="0" xfId="0" applyNumberFormat="1" applyFont="1" applyAlignment="1" applyProtection="1">
      <alignment horizontal="left"/>
      <protection locked="0"/>
    </xf>
    <xf numFmtId="166" fontId="14" fillId="0" borderId="0" xfId="0" applyNumberFormat="1" applyFont="1" applyAlignment="1" applyProtection="1">
      <alignment horizontal="right"/>
      <protection locked="0"/>
    </xf>
    <xf numFmtId="10" fontId="14" fillId="0" borderId="0" xfId="0" applyNumberFormat="1" applyFont="1" applyAlignment="1" applyProtection="1">
      <alignment horizontal="left"/>
      <protection locked="0"/>
    </xf>
    <xf numFmtId="10" fontId="14" fillId="0" borderId="0" xfId="0" applyNumberFormat="1" applyFont="1" applyFill="1" applyAlignment="1" applyProtection="1">
      <alignment horizontal="right"/>
    </xf>
    <xf numFmtId="169" fontId="14" fillId="0" borderId="0" xfId="0" applyNumberFormat="1" applyFont="1" applyFill="1" applyAlignment="1" applyProtection="1">
      <alignment horizontal="right"/>
    </xf>
    <xf numFmtId="3" fontId="14" fillId="0" borderId="0" xfId="0" applyNumberFormat="1" applyFont="1" applyFill="1" applyAlignment="1" applyProtection="1">
      <alignment horizontal="right"/>
    </xf>
    <xf numFmtId="167" fontId="14" fillId="0" borderId="0" xfId="0" applyNumberFormat="1" applyFont="1" applyAlignment="1" applyProtection="1">
      <protection locked="0"/>
    </xf>
    <xf numFmtId="3" fontId="14" fillId="0" borderId="0" xfId="0" applyNumberFormat="1" applyFont="1" applyBorder="1" applyAlignment="1" applyProtection="1">
      <protection locked="0"/>
    </xf>
    <xf numFmtId="3" fontId="14" fillId="0" borderId="0" xfId="0" applyNumberFormat="1" applyFont="1" applyBorder="1" applyAlignment="1" applyProtection="1"/>
    <xf numFmtId="0" fontId="14" fillId="2" borderId="0" xfId="0" applyNumberFormat="1" applyFont="1" applyFill="1" applyBorder="1" applyAlignment="1" applyProtection="1">
      <protection locked="0"/>
    </xf>
    <xf numFmtId="0" fontId="14" fillId="2" borderId="1" xfId="0" applyNumberFormat="1" applyFont="1" applyFill="1" applyBorder="1" applyAlignment="1" applyProtection="1">
      <protection locked="0"/>
    </xf>
    <xf numFmtId="3" fontId="14" fillId="0" borderId="2" xfId="0" applyNumberFormat="1" applyFont="1" applyFill="1" applyBorder="1" applyAlignment="1" applyProtection="1"/>
    <xf numFmtId="172" fontId="15" fillId="0" borderId="0" xfId="0" applyFont="1" applyAlignment="1" applyProtection="1">
      <protection locked="0"/>
    </xf>
    <xf numFmtId="3" fontId="15" fillId="0" borderId="0" xfId="0" applyNumberFormat="1" applyFont="1" applyAlignment="1" applyProtection="1">
      <protection locked="0"/>
    </xf>
    <xf numFmtId="172" fontId="14" fillId="0" borderId="0" xfId="0" applyFont="1" applyAlignment="1" applyProtection="1">
      <alignment horizontal="right"/>
    </xf>
    <xf numFmtId="0" fontId="17" fillId="0" borderId="0" xfId="0" applyNumberFormat="1" applyFont="1" applyAlignment="1" applyProtection="1">
      <protection locked="0"/>
    </xf>
    <xf numFmtId="49" fontId="14" fillId="0" borderId="0" xfId="0" applyNumberFormat="1" applyFont="1" applyAlignment="1" applyProtection="1">
      <protection locked="0"/>
    </xf>
    <xf numFmtId="165" fontId="14" fillId="0" borderId="0" xfId="0" applyNumberFormat="1" applyFont="1" applyAlignment="1" applyProtection="1">
      <alignment horizontal="right"/>
    </xf>
    <xf numFmtId="172" fontId="14" fillId="0" borderId="0" xfId="0" applyFont="1" applyFill="1" applyBorder="1" applyAlignment="1" applyProtection="1">
      <protection locked="0"/>
    </xf>
    <xf numFmtId="170" fontId="14" fillId="0" borderId="0" xfId="0" applyNumberFormat="1" applyFont="1" applyFill="1" applyBorder="1" applyAlignment="1" applyProtection="1">
      <protection locked="0"/>
    </xf>
    <xf numFmtId="3" fontId="14" fillId="0" borderId="0" xfId="0" applyNumberFormat="1" applyFont="1" applyFill="1" applyBorder="1" applyAlignment="1" applyProtection="1">
      <protection locked="0"/>
    </xf>
    <xf numFmtId="0" fontId="14" fillId="0" borderId="0" xfId="0" applyNumberFormat="1" applyFont="1" applyFill="1" applyBorder="1" applyAlignment="1" applyProtection="1">
      <alignment horizontal="center"/>
      <protection locked="0"/>
    </xf>
    <xf numFmtId="165" fontId="14" fillId="0" borderId="0" xfId="0" applyNumberFormat="1" applyFont="1" applyProtection="1"/>
    <xf numFmtId="166" fontId="14" fillId="0" borderId="0" xfId="0" applyNumberFormat="1" applyFont="1" applyProtection="1"/>
    <xf numFmtId="3" fontId="14" fillId="0" borderId="1" xfId="0" applyNumberFormat="1" applyFont="1" applyBorder="1" applyAlignment="1" applyProtection="1">
      <alignment horizontal="center"/>
      <protection locked="0"/>
    </xf>
    <xf numFmtId="4" fontId="14" fillId="0" borderId="0" xfId="0" applyNumberFormat="1" applyFont="1" applyAlignment="1" applyProtection="1">
      <protection locked="0"/>
    </xf>
    <xf numFmtId="3" fontId="14" fillId="0" borderId="0" xfId="0" applyNumberFormat="1" applyFont="1" applyBorder="1" applyAlignment="1" applyProtection="1">
      <alignment horizontal="center"/>
      <protection locked="0"/>
    </xf>
    <xf numFmtId="0" fontId="14" fillId="0" borderId="1" xfId="0" applyNumberFormat="1" applyFont="1" applyBorder="1" applyAlignment="1" applyProtection="1">
      <protection locked="0"/>
    </xf>
    <xf numFmtId="3" fontId="14" fillId="0" borderId="1" xfId="0" applyNumberFormat="1" applyFont="1" applyBorder="1" applyAlignment="1" applyProtection="1">
      <protection locked="0"/>
    </xf>
    <xf numFmtId="9" fontId="14" fillId="0" borderId="0" xfId="0" applyNumberFormat="1" applyFont="1" applyAlignment="1" applyProtection="1"/>
    <xf numFmtId="169" fontId="14" fillId="0" borderId="0" xfId="0" applyNumberFormat="1" applyFont="1" applyAlignment="1" applyProtection="1">
      <protection locked="0"/>
    </xf>
    <xf numFmtId="10" fontId="14" fillId="0" borderId="0" xfId="0" applyNumberFormat="1" applyFont="1" applyAlignment="1" applyProtection="1"/>
    <xf numFmtId="169" fontId="14" fillId="0" borderId="0" xfId="0" applyNumberFormat="1" applyFont="1" applyAlignment="1" applyProtection="1"/>
    <xf numFmtId="3" fontId="14" fillId="0" borderId="0" xfId="0" quotePrefix="1" applyNumberFormat="1" applyFont="1" applyAlignment="1" applyProtection="1">
      <protection locked="0"/>
    </xf>
    <xf numFmtId="9" fontId="14" fillId="0" borderId="1" xfId="0" applyNumberFormat="1" applyFont="1" applyBorder="1" applyAlignment="1" applyProtection="1"/>
    <xf numFmtId="169" fontId="22" fillId="0" borderId="0" xfId="0" applyNumberFormat="1" applyFont="1" applyAlignment="1" applyProtection="1"/>
    <xf numFmtId="169" fontId="14" fillId="0" borderId="1" xfId="0" applyNumberFormat="1" applyFont="1" applyBorder="1" applyAlignment="1" applyProtection="1"/>
    <xf numFmtId="9" fontId="14" fillId="0" borderId="0" xfId="198" applyFont="1" applyFill="1" applyAlignment="1" applyProtection="1"/>
    <xf numFmtId="3" fontId="14" fillId="0" borderId="0" xfId="0" applyNumberFormat="1" applyFont="1" applyAlignment="1" applyProtection="1">
      <alignment horizontal="right"/>
      <protection locked="0"/>
    </xf>
    <xf numFmtId="10" fontId="22" fillId="2" borderId="0" xfId="0" applyNumberFormat="1" applyFont="1" applyFill="1" applyAlignment="1" applyProtection="1">
      <protection locked="0"/>
    </xf>
    <xf numFmtId="0" fontId="127" fillId="0" borderId="0" xfId="0" applyNumberFormat="1" applyFont="1" applyAlignment="1" applyProtection="1">
      <alignment horizontal="center"/>
      <protection locked="0"/>
    </xf>
    <xf numFmtId="3" fontId="127" fillId="0" borderId="0" xfId="0" applyNumberFormat="1" applyFont="1" applyAlignment="1" applyProtection="1">
      <alignment horizontal="right"/>
      <protection locked="0"/>
    </xf>
    <xf numFmtId="172" fontId="14" fillId="0" borderId="0" xfId="0" applyFont="1" applyAlignment="1" applyProtection="1">
      <alignment horizontal="right"/>
      <protection locked="0"/>
    </xf>
    <xf numFmtId="4" fontId="14" fillId="0" borderId="0" xfId="0" applyNumberFormat="1" applyFont="1" applyAlignment="1" applyProtection="1"/>
    <xf numFmtId="172" fontId="14" fillId="0" borderId="0" xfId="0" applyFont="1" applyBorder="1" applyAlignment="1" applyProtection="1">
      <protection locked="0"/>
    </xf>
    <xf numFmtId="3" fontId="14" fillId="2" borderId="0" xfId="0" applyNumberFormat="1" applyFont="1" applyFill="1" applyAlignment="1" applyProtection="1"/>
    <xf numFmtId="170" fontId="14" fillId="0" borderId="0" xfId="0" applyNumberFormat="1" applyFont="1" applyFill="1" applyBorder="1" applyProtection="1">
      <protection locked="0"/>
    </xf>
    <xf numFmtId="170" fontId="14" fillId="2" borderId="0" xfId="0" applyNumberFormat="1" applyFont="1" applyFill="1" applyBorder="1" applyProtection="1">
      <protection locked="0"/>
    </xf>
    <xf numFmtId="172" fontId="14" fillId="0" borderId="0" xfId="0" applyNumberFormat="1" applyFont="1" applyAlignment="1" applyProtection="1"/>
    <xf numFmtId="170" fontId="14" fillId="0" borderId="0" xfId="0" applyNumberFormat="1" applyFont="1" applyAlignment="1" applyProtection="1">
      <alignment horizontal="right"/>
    </xf>
    <xf numFmtId="3" fontId="14" fillId="0" borderId="0" xfId="0" applyNumberFormat="1" applyFont="1" applyAlignment="1" applyProtection="1">
      <alignment vertical="top" wrapText="1"/>
      <protection locked="0"/>
    </xf>
    <xf numFmtId="172" fontId="14" fillId="0" borderId="0" xfId="0" applyFont="1" applyAlignment="1" applyProtection="1">
      <alignment horizontal="center" vertical="top" wrapText="1"/>
      <protection locked="0"/>
    </xf>
    <xf numFmtId="172" fontId="14" fillId="0" borderId="0" xfId="0" applyFont="1" applyFill="1" applyAlignment="1" applyProtection="1">
      <alignment horizontal="center" vertical="top" wrapText="1"/>
      <protection locked="0"/>
    </xf>
    <xf numFmtId="0" fontId="14" fillId="0" borderId="0" xfId="0" applyNumberFormat="1" applyFont="1" applyFill="1" applyAlignment="1" applyProtection="1">
      <alignment horizontal="left" vertical="top"/>
      <protection locked="0"/>
    </xf>
    <xf numFmtId="0" fontId="15" fillId="0" borderId="0" xfId="0" applyNumberFormat="1" applyFont="1" applyAlignment="1" applyProtection="1">
      <alignment vertical="top" wrapText="1"/>
      <protection locked="0"/>
    </xf>
    <xf numFmtId="0" fontId="14" fillId="0" borderId="0" xfId="0" applyNumberFormat="1" applyFont="1" applyFill="1" applyAlignment="1" applyProtection="1">
      <alignment vertical="top"/>
      <protection locked="0"/>
    </xf>
    <xf numFmtId="172" fontId="17" fillId="0" borderId="0" xfId="0" applyFont="1" applyAlignment="1" applyProtection="1">
      <protection locked="0"/>
    </xf>
    <xf numFmtId="0" fontId="17" fillId="0" borderId="0" xfId="0" applyNumberFormat="1" applyFont="1" applyProtection="1">
      <protection locked="0"/>
    </xf>
    <xf numFmtId="10" fontId="14" fillId="0" borderId="0" xfId="0" applyNumberFormat="1" applyFont="1" applyProtection="1">
      <protection locked="0"/>
    </xf>
    <xf numFmtId="42" fontId="14" fillId="0" borderId="0" xfId="0" applyNumberFormat="1" applyFont="1" applyFill="1" applyProtection="1">
      <protection locked="0"/>
    </xf>
    <xf numFmtId="174" fontId="14" fillId="0" borderId="0" xfId="1" applyNumberFormat="1" applyFont="1" applyProtection="1">
      <protection locked="0"/>
    </xf>
    <xf numFmtId="174" fontId="22" fillId="0" borderId="0" xfId="1" applyNumberFormat="1" applyFont="1" applyBorder="1" applyAlignment="1" applyProtection="1">
      <alignment vertical="center" wrapText="1"/>
      <protection locked="0"/>
    </xf>
    <xf numFmtId="174" fontId="128" fillId="0" borderId="0" xfId="1" applyNumberFormat="1" applyFont="1" applyAlignment="1" applyProtection="1">
      <protection locked="0"/>
    </xf>
    <xf numFmtId="174" fontId="14" fillId="0" borderId="0" xfId="1" applyNumberFormat="1" applyFont="1" applyFill="1" applyProtection="1">
      <protection locked="0"/>
    </xf>
    <xf numFmtId="174" fontId="14" fillId="0" borderId="0" xfId="1" applyNumberFormat="1" applyFont="1" applyAlignment="1" applyProtection="1">
      <alignment horizontal="right"/>
      <protection locked="0"/>
    </xf>
    <xf numFmtId="174" fontId="14" fillId="0" borderId="0" xfId="1" applyNumberFormat="1" applyFont="1" applyFill="1" applyAlignment="1" applyProtection="1">
      <protection locked="0"/>
    </xf>
    <xf numFmtId="174" fontId="15" fillId="0" borderId="0" xfId="1" applyNumberFormat="1" applyFont="1" applyProtection="1">
      <protection locked="0"/>
    </xf>
    <xf numFmtId="174" fontId="15" fillId="0" borderId="0" xfId="1" applyNumberFormat="1" applyFont="1" applyAlignment="1" applyProtection="1">
      <protection locked="0"/>
    </xf>
    <xf numFmtId="174" fontId="18" fillId="0" borderId="0" xfId="1" applyNumberFormat="1" applyFont="1" applyProtection="1">
      <protection locked="0"/>
    </xf>
    <xf numFmtId="174" fontId="14" fillId="0" borderId="0" xfId="1" applyNumberFormat="1" applyFont="1" applyFill="1" applyBorder="1" applyAlignment="1" applyProtection="1">
      <protection locked="0"/>
    </xf>
    <xf numFmtId="174" fontId="20" fillId="0" borderId="0" xfId="1" applyNumberFormat="1" applyFont="1" applyFill="1" applyBorder="1" applyAlignment="1" applyProtection="1">
      <protection locked="0"/>
    </xf>
    <xf numFmtId="174" fontId="16" fillId="0" borderId="0" xfId="1" applyNumberFormat="1" applyFont="1" applyFill="1" applyBorder="1" applyAlignment="1" applyProtection="1">
      <protection locked="0"/>
    </xf>
    <xf numFmtId="174" fontId="14" fillId="0" borderId="0" xfId="1" applyNumberFormat="1" applyFont="1" applyFill="1" applyBorder="1" applyAlignment="1" applyProtection="1">
      <alignment horizontal="center"/>
      <protection locked="0"/>
    </xf>
    <xf numFmtId="174" fontId="19" fillId="0" borderId="0" xfId="1" applyNumberFormat="1" applyFont="1" applyFill="1" applyBorder="1" applyProtection="1">
      <protection locked="0"/>
    </xf>
    <xf numFmtId="174" fontId="16" fillId="0" borderId="0" xfId="1" applyNumberFormat="1" applyFont="1" applyFill="1" applyBorder="1" applyProtection="1">
      <protection locked="0"/>
    </xf>
    <xf numFmtId="174" fontId="14" fillId="0" borderId="0" xfId="1" applyNumberFormat="1" applyFont="1" applyFill="1" applyAlignment="1" applyProtection="1">
      <alignment horizontal="left"/>
      <protection locked="0"/>
    </xf>
    <xf numFmtId="174" fontId="14" fillId="0" borderId="0" xfId="1" applyNumberFormat="1" applyFont="1" applyFill="1" applyAlignment="1" applyProtection="1">
      <alignment horizontal="center"/>
      <protection locked="0"/>
    </xf>
    <xf numFmtId="174" fontId="14" fillId="0" borderId="0" xfId="1" applyNumberFormat="1" applyFont="1" applyAlignment="1" applyProtection="1">
      <alignment horizontal="center"/>
      <protection locked="0"/>
    </xf>
    <xf numFmtId="174" fontId="16" fillId="0" borderId="0" xfId="1" applyNumberFormat="1" applyFont="1" applyAlignment="1" applyProtection="1">
      <alignment horizontal="left"/>
      <protection locked="0"/>
    </xf>
    <xf numFmtId="174" fontId="70" fillId="0" borderId="0" xfId="1" applyNumberFormat="1" applyFont="1" applyFill="1"/>
    <xf numFmtId="174" fontId="10" fillId="0" borderId="0" xfId="1" applyNumberFormat="1" applyFont="1" applyFill="1"/>
    <xf numFmtId="173" fontId="3" fillId="0" borderId="0" xfId="204" applyNumberFormat="1" applyFont="1" applyFill="1" applyAlignment="1">
      <alignment vertical="center"/>
    </xf>
    <xf numFmtId="174" fontId="24" fillId="0" borderId="0" xfId="2" applyNumberFormat="1"/>
    <xf numFmtId="173" fontId="30" fillId="0" borderId="5" xfId="4" applyNumberFormat="1" applyFont="1" applyFill="1" applyBorder="1"/>
    <xf numFmtId="173" fontId="29" fillId="0" borderId="26" xfId="4" applyNumberFormat="1" applyFont="1" applyFill="1" applyBorder="1"/>
    <xf numFmtId="173" fontId="26" fillId="0" borderId="0" xfId="2" applyNumberFormat="1" applyFont="1" applyFill="1"/>
    <xf numFmtId="174" fontId="4" fillId="0" borderId="0" xfId="1" applyNumberFormat="1" applyFont="1" applyFill="1"/>
    <xf numFmtId="174" fontId="11" fillId="0" borderId="0" xfId="1" applyNumberFormat="1" applyFont="1" applyFill="1" applyAlignment="1">
      <alignment horizontal="center" vertical="center" wrapText="1"/>
    </xf>
    <xf numFmtId="174" fontId="76" fillId="0" borderId="0" xfId="1" applyNumberFormat="1" applyFont="1" applyFill="1" applyBorder="1" applyAlignment="1">
      <alignment vertical="center"/>
    </xf>
    <xf numFmtId="174" fontId="128" fillId="0" borderId="0" xfId="1" applyNumberFormat="1" applyFont="1" applyBorder="1" applyProtection="1">
      <protection locked="0"/>
    </xf>
    <xf numFmtId="174" fontId="14" fillId="0" borderId="0" xfId="1" applyNumberFormat="1" applyFont="1" applyBorder="1" applyProtection="1">
      <protection locked="0"/>
    </xf>
    <xf numFmtId="174" fontId="14" fillId="0" borderId="0" xfId="1" applyNumberFormat="1" applyFont="1" applyBorder="1" applyAlignment="1" applyProtection="1">
      <protection locked="0"/>
    </xf>
    <xf numFmtId="174" fontId="14" fillId="0" borderId="0" xfId="1" applyNumberFormat="1" applyFont="1" applyFill="1" applyBorder="1" applyProtection="1"/>
    <xf numFmtId="174" fontId="14" fillId="0" borderId="0" xfId="1" applyNumberFormat="1" applyFont="1" applyFill="1" applyBorder="1" applyProtection="1">
      <protection locked="0"/>
    </xf>
    <xf numFmtId="174" fontId="128" fillId="0" borderId="0" xfId="1" applyNumberFormat="1" applyFont="1" applyFill="1" applyBorder="1" applyProtection="1">
      <protection locked="0"/>
    </xf>
    <xf numFmtId="174" fontId="14" fillId="0" borderId="0" xfId="1" applyNumberFormat="1" applyFont="1" applyFill="1" applyBorder="1" applyAlignment="1" applyProtection="1"/>
    <xf numFmtId="174" fontId="14" fillId="0" borderId="0" xfId="1" applyNumberFormat="1" applyFont="1" applyFill="1" applyBorder="1" applyAlignment="1" applyProtection="1">
      <alignment horizontal="right"/>
    </xf>
    <xf numFmtId="174" fontId="14" fillId="0" borderId="0" xfId="1" applyNumberFormat="1" applyFont="1" applyFill="1" applyBorder="1"/>
    <xf numFmtId="3" fontId="14" fillId="0" borderId="0" xfId="0" applyNumberFormat="1" applyFont="1" applyFill="1" applyBorder="1" applyAlignment="1" applyProtection="1"/>
    <xf numFmtId="3" fontId="14" fillId="0" borderId="0" xfId="0" applyNumberFormat="1" applyFont="1" applyFill="1" applyBorder="1" applyAlignment="1" applyProtection="1">
      <alignment horizontal="right"/>
    </xf>
    <xf numFmtId="174" fontId="15" fillId="0" borderId="0" xfId="1" applyNumberFormat="1" applyFont="1" applyFill="1" applyBorder="1" applyProtection="1">
      <protection locked="0"/>
    </xf>
    <xf numFmtId="0" fontId="14" fillId="0" borderId="0" xfId="0" applyNumberFormat="1" applyFont="1" applyFill="1" applyAlignment="1" applyProtection="1">
      <alignment vertical="top" wrapText="1"/>
      <protection locked="0"/>
    </xf>
    <xf numFmtId="0" fontId="14" fillId="0" borderId="0" xfId="0" applyNumberFormat="1" applyFont="1" applyFill="1" applyBorder="1" applyAlignment="1" applyProtection="1">
      <alignment horizontal="center"/>
      <protection locked="0"/>
    </xf>
    <xf numFmtId="3" fontId="14" fillId="0" borderId="0" xfId="0" applyNumberFormat="1" applyFont="1" applyAlignment="1" applyProtection="1">
      <alignment horizontal="right"/>
    </xf>
    <xf numFmtId="0" fontId="14" fillId="0" borderId="0" xfId="0" applyNumberFormat="1" applyFont="1" applyAlignment="1" applyProtection="1">
      <alignment vertical="top" wrapText="1"/>
      <protection locked="0"/>
    </xf>
    <xf numFmtId="0" fontId="14" fillId="0" borderId="0" xfId="0" applyNumberFormat="1" applyFont="1" applyFill="1" applyAlignment="1" applyProtection="1">
      <alignment vertical="top"/>
      <protection locked="0"/>
    </xf>
    <xf numFmtId="0" fontId="14" fillId="0" borderId="0" xfId="0" applyNumberFormat="1" applyFont="1" applyFill="1" applyAlignment="1" applyProtection="1">
      <alignment horizontal="left" vertical="top" wrapText="1"/>
      <protection locked="0"/>
    </xf>
    <xf numFmtId="0" fontId="25" fillId="0" borderId="0" xfId="2" applyFont="1" applyAlignment="1">
      <alignment horizontal="center"/>
    </xf>
    <xf numFmtId="0" fontId="27" fillId="0" borderId="0" xfId="2" applyFont="1" applyFill="1" applyAlignment="1">
      <alignment horizontal="center"/>
    </xf>
    <xf numFmtId="14" fontId="25" fillId="0" borderId="0" xfId="2" applyNumberFormat="1" applyFont="1" applyFill="1" applyAlignment="1">
      <alignment horizontal="center"/>
    </xf>
    <xf numFmtId="0" fontId="28" fillId="0" borderId="4" xfId="2" applyFont="1" applyFill="1" applyBorder="1" applyAlignment="1">
      <alignment horizontal="center"/>
    </xf>
    <xf numFmtId="0" fontId="27" fillId="0" borderId="0" xfId="2" applyFont="1" applyAlignment="1">
      <alignment horizontal="center"/>
    </xf>
    <xf numFmtId="14" fontId="25" fillId="0" borderId="0" xfId="2" applyNumberFormat="1" applyFont="1" applyAlignment="1">
      <alignment horizontal="center"/>
    </xf>
    <xf numFmtId="0" fontId="65" fillId="0" borderId="0" xfId="2" applyFont="1" applyAlignment="1">
      <alignment horizontal="center"/>
    </xf>
    <xf numFmtId="0" fontId="63" fillId="0" borderId="0" xfId="2" applyFont="1" applyAlignment="1">
      <alignment horizontal="center"/>
    </xf>
    <xf numFmtId="14" fontId="65" fillId="0" borderId="0" xfId="2" applyNumberFormat="1" applyFont="1" applyAlignment="1">
      <alignment horizontal="center"/>
    </xf>
    <xf numFmtId="0" fontId="66" fillId="0" borderId="4" xfId="2" applyFont="1" applyBorder="1" applyAlignment="1">
      <alignment horizontal="center"/>
    </xf>
    <xf numFmtId="0" fontId="68" fillId="0" borderId="0" xfId="2" applyFont="1" applyAlignment="1">
      <alignment horizontal="center"/>
    </xf>
    <xf numFmtId="0" fontId="64" fillId="0" borderId="0" xfId="2" applyFont="1" applyAlignment="1">
      <alignment horizontal="center"/>
    </xf>
    <xf numFmtId="14" fontId="68" fillId="0" borderId="0" xfId="2" applyNumberFormat="1" applyFont="1" applyAlignment="1">
      <alignment horizontal="center"/>
    </xf>
    <xf numFmtId="0" fontId="125" fillId="0" borderId="0" xfId="2" applyFont="1" applyAlignment="1">
      <alignment horizontal="center"/>
    </xf>
    <xf numFmtId="0" fontId="24" fillId="0" borderId="8" xfId="2" applyFill="1" applyBorder="1" applyAlignment="1">
      <alignment horizontal="left"/>
    </xf>
    <xf numFmtId="0" fontId="24" fillId="0" borderId="9" xfId="2" applyFill="1" applyBorder="1" applyAlignment="1">
      <alignment horizontal="left"/>
    </xf>
    <xf numFmtId="0" fontId="29" fillId="0" borderId="4" xfId="2" applyFont="1" applyBorder="1" applyAlignment="1">
      <alignment horizontal="center"/>
    </xf>
    <xf numFmtId="0" fontId="64" fillId="0" borderId="7" xfId="2" applyFont="1" applyBorder="1" applyAlignment="1">
      <alignment horizontal="left"/>
    </xf>
    <xf numFmtId="0" fontId="64" fillId="0" borderId="4" xfId="2" applyFont="1" applyBorder="1" applyAlignment="1">
      <alignment horizontal="left"/>
    </xf>
    <xf numFmtId="0" fontId="64" fillId="0" borderId="5" xfId="2" applyFont="1" applyBorder="1" applyAlignment="1">
      <alignment horizontal="left"/>
    </xf>
    <xf numFmtId="0" fontId="64" fillId="6" borderId="14" xfId="2" applyFont="1" applyFill="1" applyBorder="1" applyAlignment="1">
      <alignment horizontal="center"/>
    </xf>
    <xf numFmtId="0" fontId="73" fillId="0" borderId="0" xfId="204" applyFont="1" applyAlignment="1">
      <alignment horizontal="center" vertical="center"/>
    </xf>
    <xf numFmtId="0" fontId="82" fillId="0" borderId="0" xfId="204" applyFont="1" applyAlignment="1">
      <alignment horizontal="center" vertical="center"/>
    </xf>
    <xf numFmtId="0" fontId="82" fillId="0" borderId="0" xfId="204" applyFont="1" applyAlignment="1">
      <alignment horizontal="center"/>
    </xf>
    <xf numFmtId="0" fontId="82" fillId="0" borderId="0" xfId="204" applyFont="1" applyAlignment="1">
      <alignment horizontal="right"/>
    </xf>
    <xf numFmtId="49" fontId="119" fillId="0" borderId="0" xfId="62487" applyNumberFormat="1" applyFont="1" applyAlignment="1">
      <alignment horizontal="center"/>
    </xf>
    <xf numFmtId="14" fontId="119" fillId="0" borderId="0" xfId="62487" applyNumberFormat="1" applyFont="1" applyAlignment="1">
      <alignment horizontal="center"/>
    </xf>
    <xf numFmtId="0" fontId="119" fillId="0" borderId="0" xfId="62487" applyFont="1" applyAlignment="1">
      <alignment horizontal="center"/>
    </xf>
    <xf numFmtId="0" fontId="70" fillId="0" borderId="0" xfId="204" applyFont="1" applyFill="1" applyAlignment="1">
      <alignment horizontal="center"/>
    </xf>
    <xf numFmtId="0" fontId="81" fillId="0" borderId="0" xfId="204" applyFont="1" applyFill="1" applyAlignment="1">
      <alignment horizontal="center"/>
    </xf>
    <xf numFmtId="0" fontId="10" fillId="0" borderId="0" xfId="204" applyFont="1" applyFill="1" applyAlignment="1">
      <alignment horizontal="left" indent="1"/>
    </xf>
    <xf numFmtId="174" fontId="63" fillId="0" borderId="0" xfId="1" applyNumberFormat="1" applyFont="1" applyFill="1"/>
    <xf numFmtId="173" fontId="63" fillId="0" borderId="0" xfId="199" applyNumberFormat="1" applyFont="1" applyFill="1"/>
    <xf numFmtId="174" fontId="76" fillId="0" borderId="0" xfId="1" applyNumberFormat="1" applyFont="1" applyFill="1"/>
    <xf numFmtId="173" fontId="76" fillId="0" borderId="0" xfId="199" applyNumberFormat="1" applyFont="1" applyFill="1"/>
    <xf numFmtId="173" fontId="10" fillId="0" borderId="0" xfId="204" applyNumberFormat="1" applyFont="1" applyFill="1"/>
    <xf numFmtId="0" fontId="69" fillId="0" borderId="0" xfId="204" applyFont="1" applyFill="1"/>
    <xf numFmtId="0" fontId="1" fillId="0" borderId="0" xfId="204" applyFont="1" applyFill="1" applyAlignment="1">
      <alignment horizontal="left" indent="1"/>
    </xf>
    <xf numFmtId="0" fontId="2" fillId="0" borderId="0" xfId="204" applyFont="1" applyFill="1" applyAlignment="1">
      <alignment horizontal="left" indent="1"/>
    </xf>
  </cellXfs>
  <cellStyles count="6249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2 2" xfId="62478"/>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B 2" xfId="62450"/>
    <cellStyle name="C01H" xfId="12"/>
    <cellStyle name="C01L" xfId="13"/>
    <cellStyle name="C02A" xfId="14"/>
    <cellStyle name="C02B" xfId="15"/>
    <cellStyle name="C02B 2" xfId="62451"/>
    <cellStyle name="C02H" xfId="16"/>
    <cellStyle name="C02L" xfId="17"/>
    <cellStyle name="C03A" xfId="18"/>
    <cellStyle name="C03B" xfId="19"/>
    <cellStyle name="C03H" xfId="20"/>
    <cellStyle name="C03L" xfId="21"/>
    <cellStyle name="C04A" xfId="22"/>
    <cellStyle name="C04A 2" xfId="62452"/>
    <cellStyle name="C04B" xfId="23"/>
    <cellStyle name="C04H" xfId="24"/>
    <cellStyle name="C04L" xfId="25"/>
    <cellStyle name="C05A" xfId="26"/>
    <cellStyle name="C05B" xfId="27"/>
    <cellStyle name="C05H" xfId="28"/>
    <cellStyle name="C05L" xfId="29"/>
    <cellStyle name="C05L 2" xfId="62453"/>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2] 2" xfId="62454"/>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30" xfId="62444"/>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2 2" xfId="62476"/>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62455"/>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62457"/>
    <cellStyle name="Comma 6 3" xfId="62456"/>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8" xfId="62442"/>
    <cellStyle name="Comma 9" xfId="123"/>
    <cellStyle name="Comma 9 2" xfId="4200"/>
    <cellStyle name="Comma 9 2 2" xfId="4201"/>
    <cellStyle name="Comma0" xfId="124"/>
    <cellStyle name="Comma0 2" xfId="4202"/>
    <cellStyle name="Currency" xfId="199" builtinId="4"/>
    <cellStyle name="Currency [2]" xfId="125"/>
    <cellStyle name="Currency [2] 2" xfId="62458"/>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2 2" xfId="62459"/>
    <cellStyle name="Currency 3 3" xfId="209"/>
    <cellStyle name="Currency 3 3 2" xfId="62477"/>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 2 2" xfId="62479"/>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7 2 2" xfId="62490"/>
    <cellStyle name="Currency 7 3" xfId="62480"/>
    <cellStyle name="Currency 70" xfId="62443"/>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Date 3" xfId="62460"/>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15" xfId="62475"/>
    <cellStyle name="Normal 10 2" xfId="8208"/>
    <cellStyle name="Normal 10 2 2" xfId="8209"/>
    <cellStyle name="Normal 10 2 3" xfId="8210"/>
    <cellStyle name="Normal 10 2 4" xfId="8211"/>
    <cellStyle name="Normal 10 2 5" xfId="8212"/>
    <cellStyle name="Normal 10 2 6" xfId="62489"/>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2 6" xfId="62487"/>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18" xfId="62488"/>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2 8" xfId="62481"/>
    <cellStyle name="Normal 3 3" xfId="51317"/>
    <cellStyle name="Normal 3 3 2" xfId="51318"/>
    <cellStyle name="Normal 3 3 3" xfId="62482"/>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37" xfId="62441"/>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30" xfId="62461"/>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30" xfId="6248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30" xfId="62484"/>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48" xfId="62445"/>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47" xfId="62446"/>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15" xfId="62462"/>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15" xfId="6248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41" xfId="62449"/>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31" xfId="62463"/>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2" xfId="62464"/>
    <cellStyle name="Percent 10" xfId="62486"/>
    <cellStyle name="Percent 2" xfId="149"/>
    <cellStyle name="Percent 2 2" xfId="62424"/>
    <cellStyle name="Percent 2 2 2" xfId="214"/>
    <cellStyle name="Percent 2 2 2 2" xfId="62425"/>
    <cellStyle name="Percent 2 3" xfId="62426"/>
    <cellStyle name="Percent 3" xfId="150"/>
    <cellStyle name="Percent 3 2" xfId="151"/>
    <cellStyle name="Percent 3 2 2" xfId="62465"/>
    <cellStyle name="Percent 3 3" xfId="62447"/>
    <cellStyle name="Percent 4" xfId="152"/>
    <cellStyle name="Percent 4 2" xfId="62427"/>
    <cellStyle name="Percent 4 3" xfId="62448"/>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desc 2" xfId="62466"/>
    <cellStyle name="PSHeading" xfId="159"/>
    <cellStyle name="PSInt" xfId="160"/>
    <cellStyle name="PSSpacer" xfId="161"/>
    <cellStyle name="PStest" xfId="162"/>
    <cellStyle name="PStest 2" xfId="62467"/>
    <cellStyle name="R00A" xfId="163"/>
    <cellStyle name="R00B" xfId="164"/>
    <cellStyle name="R00L" xfId="165"/>
    <cellStyle name="R01A" xfId="166"/>
    <cellStyle name="R01B" xfId="167"/>
    <cellStyle name="R01H" xfId="168"/>
    <cellStyle name="R01L" xfId="169"/>
    <cellStyle name="R02A" xfId="170"/>
    <cellStyle name="R02B" xfId="171"/>
    <cellStyle name="R02B 2" xfId="62468"/>
    <cellStyle name="R02H" xfId="172"/>
    <cellStyle name="R02L" xfId="173"/>
    <cellStyle name="R03A" xfId="174"/>
    <cellStyle name="R03B" xfId="175"/>
    <cellStyle name="R03B 2" xfId="62469"/>
    <cellStyle name="R03H" xfId="176"/>
    <cellStyle name="R03L" xfId="177"/>
    <cellStyle name="R04A" xfId="178"/>
    <cellStyle name="R04B" xfId="179"/>
    <cellStyle name="R04B 2" xfId="62470"/>
    <cellStyle name="R04H" xfId="180"/>
    <cellStyle name="R04L" xfId="181"/>
    <cellStyle name="R05A" xfId="182"/>
    <cellStyle name="R05B" xfId="183"/>
    <cellStyle name="R05B 2" xfId="62471"/>
    <cellStyle name="R05H" xfId="184"/>
    <cellStyle name="R05L" xfId="185"/>
    <cellStyle name="R05L 2" xfId="62472"/>
    <cellStyle name="R06A" xfId="186"/>
    <cellStyle name="R06B" xfId="187"/>
    <cellStyle name="R06B 2" xfId="62473"/>
    <cellStyle name="R06H" xfId="188"/>
    <cellStyle name="R06L" xfId="189"/>
    <cellStyle name="R07A" xfId="190"/>
    <cellStyle name="R07B" xfId="191"/>
    <cellStyle name="R07B 2" xfId="62474"/>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75ABFB"/>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5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F%25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520Financing%2520Model%2520Slower%25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D3" sqref="D3"/>
    </sheetView>
  </sheetViews>
  <sheetFormatPr defaultColWidth="8.90625" defaultRowHeight="14.4"/>
  <cols>
    <col min="1" max="3" width="8.90625" style="210"/>
    <col min="4" max="4" width="40.81640625" style="210" customWidth="1"/>
    <col min="5" max="5" width="7.453125" style="210" customWidth="1"/>
    <col min="6" max="16384" width="8.90625" style="210"/>
  </cols>
  <sheetData>
    <row r="3" spans="4:5" ht="18">
      <c r="D3" s="208" t="s">
        <v>486</v>
      </c>
      <c r="E3" s="209"/>
    </row>
    <row r="4" spans="4:5" ht="18">
      <c r="D4" s="208" t="s">
        <v>514</v>
      </c>
      <c r="E4" s="209"/>
    </row>
    <row r="5" spans="4:5" ht="18">
      <c r="D5" s="239" t="s">
        <v>725</v>
      </c>
      <c r="E5" s="339">
        <v>2016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S62"/>
  <sheetViews>
    <sheetView zoomScale="80" zoomScaleNormal="80" workbookViewId="0">
      <selection activeCell="M18" sqref="M18"/>
    </sheetView>
  </sheetViews>
  <sheetFormatPr defaultColWidth="8.90625" defaultRowHeight="14.4"/>
  <cols>
    <col min="1" max="1" width="8.90625" style="332"/>
    <col min="2" max="3" width="1.08984375" style="332" customWidth="1"/>
    <col min="4" max="4" width="8.90625" style="332"/>
    <col min="5" max="5" width="21.6328125" style="332" customWidth="1"/>
    <col min="6" max="6" width="6.1796875" style="332" customWidth="1"/>
    <col min="7" max="7" width="14.08984375" style="332" customWidth="1"/>
    <col min="8" max="12" width="12.453125" style="332" customWidth="1"/>
    <col min="13" max="13" width="14.54296875" style="332" customWidth="1"/>
    <col min="14" max="14" width="10.1796875" style="332" bestFit="1" customWidth="1"/>
    <col min="15" max="16" width="1.453125" style="332" customWidth="1"/>
    <col min="17" max="16384" width="8.90625" style="332"/>
  </cols>
  <sheetData>
    <row r="2" spans="4:19">
      <c r="K2" s="410"/>
    </row>
    <row r="3" spans="4:19" ht="6.75" customHeight="1"/>
    <row r="4" spans="4:19" ht="6.75" customHeight="1"/>
    <row r="5" spans="4:19" ht="15.6">
      <c r="D5" s="411" t="str">
        <f>Coversheet!D3</f>
        <v>Marshall (Minnesota) Municipal Utilities</v>
      </c>
      <c r="E5" s="411"/>
      <c r="F5" s="411"/>
      <c r="G5" s="411"/>
      <c r="H5" s="411"/>
      <c r="I5" s="411"/>
      <c r="J5" s="411"/>
      <c r="K5" s="411"/>
      <c r="L5" s="411"/>
      <c r="M5" s="411"/>
    </row>
    <row r="6" spans="4:19" ht="15.6">
      <c r="D6" s="412">
        <f>Coversheet!E5</f>
        <v>2016</v>
      </c>
      <c r="E6" s="411" t="s">
        <v>521</v>
      </c>
      <c r="F6" s="411"/>
      <c r="G6" s="411"/>
      <c r="H6" s="411"/>
      <c r="I6" s="411"/>
      <c r="J6" s="411"/>
      <c r="K6" s="411"/>
      <c r="L6" s="411"/>
      <c r="M6" s="411"/>
    </row>
    <row r="7" spans="4:19" ht="15.6">
      <c r="D7" s="411"/>
      <c r="E7" s="411"/>
      <c r="F7" s="413" t="str">
        <f>+Coversheet!D5</f>
        <v>12 Months Ended December 31,</v>
      </c>
      <c r="G7" s="414">
        <f>Coversheet!E5</f>
        <v>2016</v>
      </c>
      <c r="M7" s="411"/>
    </row>
    <row r="8" spans="4:19" ht="17.25" customHeight="1">
      <c r="D8" s="411"/>
      <c r="E8" s="411"/>
      <c r="F8" s="411"/>
      <c r="G8" s="414"/>
      <c r="M8" s="411"/>
    </row>
    <row r="9" spans="4:19" s="416" customFormat="1" ht="30" customHeight="1">
      <c r="D9" s="415" t="s">
        <v>516</v>
      </c>
      <c r="E9" s="415" t="s">
        <v>522</v>
      </c>
      <c r="F9" s="415" t="s">
        <v>518</v>
      </c>
      <c r="G9" s="415" t="s">
        <v>523</v>
      </c>
      <c r="H9" s="415" t="s">
        <v>45</v>
      </c>
      <c r="I9" s="415" t="s">
        <v>484</v>
      </c>
      <c r="J9" s="415" t="s">
        <v>524</v>
      </c>
      <c r="K9" s="415" t="s">
        <v>525</v>
      </c>
      <c r="L9" s="415" t="s">
        <v>526</v>
      </c>
      <c r="M9" s="415" t="s">
        <v>527</v>
      </c>
    </row>
    <row r="10" spans="4:19" s="416" customFormat="1" ht="15.6">
      <c r="D10" s="417">
        <v>1</v>
      </c>
      <c r="E10" s="418" t="s">
        <v>512</v>
      </c>
      <c r="F10" s="418">
        <f>$G$7-1</f>
        <v>2015</v>
      </c>
      <c r="G10" s="351">
        <v>2820515</v>
      </c>
      <c r="H10" s="351">
        <v>16404370</v>
      </c>
      <c r="I10" s="351">
        <v>52756665</v>
      </c>
      <c r="J10" s="351">
        <v>7211835</v>
      </c>
      <c r="K10" s="351">
        <v>0</v>
      </c>
      <c r="L10" s="351">
        <v>0</v>
      </c>
      <c r="M10" s="419">
        <f>SUM(G10:L10)</f>
        <v>79193385</v>
      </c>
      <c r="N10" s="420"/>
      <c r="O10" s="420"/>
    </row>
    <row r="11" spans="4:19" ht="15.6">
      <c r="D11" s="417">
        <v>2</v>
      </c>
      <c r="E11" s="417" t="s">
        <v>501</v>
      </c>
      <c r="F11" s="417">
        <f>$G$7</f>
        <v>2016</v>
      </c>
      <c r="G11" s="351">
        <v>2820515</v>
      </c>
      <c r="H11" s="351">
        <v>16404370</v>
      </c>
      <c r="I11" s="351">
        <v>52756665</v>
      </c>
      <c r="J11" s="351">
        <v>7211835</v>
      </c>
      <c r="K11" s="351">
        <v>0</v>
      </c>
      <c r="L11" s="351">
        <v>0</v>
      </c>
      <c r="M11" s="419">
        <f t="shared" ref="M11:M22" si="0">SUM(G11:L11)</f>
        <v>79193385</v>
      </c>
      <c r="O11" s="420"/>
      <c r="Q11" s="410"/>
    </row>
    <row r="12" spans="4:19" ht="15.6">
      <c r="D12" s="417">
        <v>3</v>
      </c>
      <c r="E12" s="421" t="s">
        <v>502</v>
      </c>
      <c r="F12" s="417">
        <f t="shared" ref="F12:F22" si="1">$G$7</f>
        <v>2016</v>
      </c>
      <c r="G12" s="351">
        <v>2820515</v>
      </c>
      <c r="H12" s="351">
        <v>16404370</v>
      </c>
      <c r="I12" s="351">
        <v>52756665</v>
      </c>
      <c r="J12" s="351">
        <v>7211835</v>
      </c>
      <c r="K12" s="351">
        <v>0</v>
      </c>
      <c r="L12" s="351">
        <v>0</v>
      </c>
      <c r="M12" s="419">
        <f t="shared" si="0"/>
        <v>79193385</v>
      </c>
      <c r="O12" s="420"/>
    </row>
    <row r="13" spans="4:19" ht="15.6">
      <c r="D13" s="417">
        <v>4</v>
      </c>
      <c r="E13" s="421" t="s">
        <v>503</v>
      </c>
      <c r="F13" s="417">
        <f t="shared" si="1"/>
        <v>2016</v>
      </c>
      <c r="G13" s="351">
        <v>2820515</v>
      </c>
      <c r="H13" s="351">
        <v>16404370</v>
      </c>
      <c r="I13" s="351">
        <v>52756665</v>
      </c>
      <c r="J13" s="351">
        <v>7211835</v>
      </c>
      <c r="K13" s="351">
        <v>0</v>
      </c>
      <c r="L13" s="351">
        <v>0</v>
      </c>
      <c r="M13" s="419">
        <f t="shared" si="0"/>
        <v>79193385</v>
      </c>
      <c r="O13" s="420"/>
      <c r="Q13" s="410"/>
      <c r="R13" s="410"/>
      <c r="S13" s="410"/>
    </row>
    <row r="14" spans="4:19" ht="15.6">
      <c r="D14" s="417">
        <v>5</v>
      </c>
      <c r="E14" s="421" t="s">
        <v>504</v>
      </c>
      <c r="F14" s="417">
        <f t="shared" si="1"/>
        <v>2016</v>
      </c>
      <c r="G14" s="351">
        <v>2820515</v>
      </c>
      <c r="H14" s="351">
        <v>16404370</v>
      </c>
      <c r="I14" s="351">
        <v>52756665</v>
      </c>
      <c r="J14" s="351">
        <v>7211835</v>
      </c>
      <c r="K14" s="351">
        <v>0</v>
      </c>
      <c r="L14" s="351">
        <v>0</v>
      </c>
      <c r="M14" s="419">
        <f t="shared" si="0"/>
        <v>79193385</v>
      </c>
      <c r="O14" s="420"/>
    </row>
    <row r="15" spans="4:19" ht="15.6">
      <c r="D15" s="417">
        <v>6</v>
      </c>
      <c r="E15" s="421" t="s">
        <v>505</v>
      </c>
      <c r="F15" s="417">
        <f t="shared" si="1"/>
        <v>2016</v>
      </c>
      <c r="G15" s="351">
        <v>2820515</v>
      </c>
      <c r="H15" s="351">
        <v>16404370</v>
      </c>
      <c r="I15" s="351">
        <v>52756665</v>
      </c>
      <c r="J15" s="351">
        <v>7211835</v>
      </c>
      <c r="K15" s="351">
        <v>0</v>
      </c>
      <c r="L15" s="351">
        <v>0</v>
      </c>
      <c r="M15" s="419">
        <f t="shared" si="0"/>
        <v>79193385</v>
      </c>
      <c r="O15" s="420"/>
    </row>
    <row r="16" spans="4:19" ht="15.6">
      <c r="D16" s="417">
        <v>7</v>
      </c>
      <c r="E16" s="421" t="s">
        <v>506</v>
      </c>
      <c r="F16" s="417">
        <f t="shared" si="1"/>
        <v>2016</v>
      </c>
      <c r="G16" s="351">
        <v>2820515</v>
      </c>
      <c r="H16" s="351">
        <v>16404370</v>
      </c>
      <c r="I16" s="351">
        <v>52756665</v>
      </c>
      <c r="J16" s="351">
        <v>7211835</v>
      </c>
      <c r="K16" s="351">
        <v>0</v>
      </c>
      <c r="L16" s="351">
        <v>0</v>
      </c>
      <c r="M16" s="419">
        <f t="shared" si="0"/>
        <v>79193385</v>
      </c>
      <c r="O16" s="420"/>
    </row>
    <row r="17" spans="4:15" ht="15.6">
      <c r="D17" s="417">
        <v>8</v>
      </c>
      <c r="E17" s="421" t="s">
        <v>507</v>
      </c>
      <c r="F17" s="417">
        <f t="shared" si="1"/>
        <v>2016</v>
      </c>
      <c r="G17" s="351">
        <v>2820515</v>
      </c>
      <c r="H17" s="351">
        <v>16404370</v>
      </c>
      <c r="I17" s="351">
        <v>52756665</v>
      </c>
      <c r="J17" s="351">
        <v>7211835</v>
      </c>
      <c r="K17" s="351">
        <v>0</v>
      </c>
      <c r="L17" s="351">
        <v>0</v>
      </c>
      <c r="M17" s="419">
        <f t="shared" si="0"/>
        <v>79193385</v>
      </c>
      <c r="O17" s="420"/>
    </row>
    <row r="18" spans="4:15" ht="15.6">
      <c r="D18" s="417">
        <v>9</v>
      </c>
      <c r="E18" s="421" t="s">
        <v>508</v>
      </c>
      <c r="F18" s="417">
        <f t="shared" si="1"/>
        <v>2016</v>
      </c>
      <c r="G18" s="351">
        <v>2820515</v>
      </c>
      <c r="H18" s="351">
        <v>16404370</v>
      </c>
      <c r="I18" s="351">
        <v>52756665</v>
      </c>
      <c r="J18" s="351">
        <v>7211835</v>
      </c>
      <c r="K18" s="351">
        <v>0</v>
      </c>
      <c r="L18" s="351">
        <v>0</v>
      </c>
      <c r="M18" s="419">
        <f t="shared" si="0"/>
        <v>79193385</v>
      </c>
      <c r="O18" s="420"/>
    </row>
    <row r="19" spans="4:15" ht="15.6">
      <c r="D19" s="417">
        <v>10</v>
      </c>
      <c r="E19" s="421" t="s">
        <v>509</v>
      </c>
      <c r="F19" s="417">
        <f t="shared" si="1"/>
        <v>2016</v>
      </c>
      <c r="G19" s="351">
        <v>2820515</v>
      </c>
      <c r="H19" s="351">
        <v>16404370</v>
      </c>
      <c r="I19" s="351">
        <v>52756665</v>
      </c>
      <c r="J19" s="351">
        <v>7211835</v>
      </c>
      <c r="K19" s="351">
        <v>0</v>
      </c>
      <c r="L19" s="351">
        <v>0</v>
      </c>
      <c r="M19" s="419">
        <f t="shared" si="0"/>
        <v>79193385</v>
      </c>
      <c r="O19" s="420"/>
    </row>
    <row r="20" spans="4:15" ht="15.6">
      <c r="D20" s="417">
        <v>11</v>
      </c>
      <c r="E20" s="421" t="s">
        <v>510</v>
      </c>
      <c r="F20" s="417">
        <f t="shared" si="1"/>
        <v>2016</v>
      </c>
      <c r="G20" s="351">
        <v>2820515</v>
      </c>
      <c r="H20" s="351">
        <v>16404370</v>
      </c>
      <c r="I20" s="351">
        <v>52756665</v>
      </c>
      <c r="J20" s="351">
        <v>7211835</v>
      </c>
      <c r="K20" s="351">
        <v>0</v>
      </c>
      <c r="L20" s="351">
        <v>0</v>
      </c>
      <c r="M20" s="419">
        <f t="shared" si="0"/>
        <v>79193385</v>
      </c>
      <c r="O20" s="420"/>
    </row>
    <row r="21" spans="4:15" ht="15.6">
      <c r="D21" s="417">
        <v>12</v>
      </c>
      <c r="E21" s="421" t="s">
        <v>511</v>
      </c>
      <c r="F21" s="417">
        <f t="shared" si="1"/>
        <v>2016</v>
      </c>
      <c r="G21" s="351">
        <v>2820515</v>
      </c>
      <c r="H21" s="351">
        <v>16404370</v>
      </c>
      <c r="I21" s="351">
        <v>52756665</v>
      </c>
      <c r="J21" s="351">
        <v>7211835</v>
      </c>
      <c r="K21" s="351">
        <v>0</v>
      </c>
      <c r="L21" s="351">
        <v>0</v>
      </c>
      <c r="M21" s="419">
        <f t="shared" si="0"/>
        <v>79193385</v>
      </c>
      <c r="O21" s="420"/>
    </row>
    <row r="22" spans="4:15" ht="15.6">
      <c r="D22" s="417">
        <v>13</v>
      </c>
      <c r="E22" s="421" t="s">
        <v>512</v>
      </c>
      <c r="F22" s="417">
        <f t="shared" si="1"/>
        <v>2016</v>
      </c>
      <c r="G22" s="351">
        <v>2823673</v>
      </c>
      <c r="H22" s="351">
        <v>16404370</v>
      </c>
      <c r="I22" s="351">
        <v>54417882</v>
      </c>
      <c r="J22" s="351">
        <v>7328556</v>
      </c>
      <c r="K22" s="351">
        <v>0</v>
      </c>
      <c r="L22" s="351">
        <v>0</v>
      </c>
      <c r="M22" s="419">
        <f t="shared" si="0"/>
        <v>80974481</v>
      </c>
      <c r="O22" s="420"/>
    </row>
    <row r="23" spans="4:15">
      <c r="D23" s="417">
        <v>14</v>
      </c>
      <c r="O23" s="420"/>
    </row>
    <row r="24" spans="4:15" ht="16.2">
      <c r="D24" s="417">
        <v>15</v>
      </c>
      <c r="E24" s="412" t="s">
        <v>528</v>
      </c>
      <c r="F24" s="410"/>
      <c r="G24" s="422">
        <f>SUM(G10:G22)/13</f>
        <v>2820757.923076923</v>
      </c>
      <c r="H24" s="422">
        <f t="shared" ref="H24:M24" si="2">SUM(H10:H22)/13</f>
        <v>16404370</v>
      </c>
      <c r="I24" s="422">
        <f t="shared" si="2"/>
        <v>52884450.92307692</v>
      </c>
      <c r="J24" s="422">
        <f t="shared" si="2"/>
        <v>7220813.538461538</v>
      </c>
      <c r="K24" s="422">
        <f t="shared" ref="K24" si="3">SUM(K10:K22)/13</f>
        <v>0</v>
      </c>
      <c r="L24" s="422">
        <f t="shared" si="2"/>
        <v>0</v>
      </c>
      <c r="M24" s="422">
        <f t="shared" si="2"/>
        <v>79330392.384615391</v>
      </c>
      <c r="O24" s="420"/>
    </row>
    <row r="25" spans="4:15">
      <c r="E25" s="423" t="s">
        <v>529</v>
      </c>
      <c r="F25" s="423"/>
      <c r="G25" s="423" t="s">
        <v>530</v>
      </c>
      <c r="H25" s="423" t="s">
        <v>531</v>
      </c>
      <c r="I25" s="423" t="s">
        <v>532</v>
      </c>
      <c r="J25" s="423" t="s">
        <v>533</v>
      </c>
      <c r="K25" s="423" t="s">
        <v>533</v>
      </c>
      <c r="L25" s="423" t="s">
        <v>534</v>
      </c>
      <c r="M25" s="423"/>
    </row>
    <row r="27" spans="4:15" ht="28.8">
      <c r="D27" s="415" t="s">
        <v>516</v>
      </c>
      <c r="E27" s="415" t="s">
        <v>535</v>
      </c>
      <c r="F27" s="415" t="s">
        <v>518</v>
      </c>
      <c r="G27" s="415" t="s">
        <v>523</v>
      </c>
      <c r="H27" s="415" t="s">
        <v>45</v>
      </c>
      <c r="I27" s="415" t="s">
        <v>484</v>
      </c>
      <c r="J27" s="415" t="str">
        <f>J9</f>
        <v xml:space="preserve">General </v>
      </c>
      <c r="K27" s="415" t="str">
        <f>K9</f>
        <v>Intangible</v>
      </c>
      <c r="L27" s="415" t="s">
        <v>526</v>
      </c>
      <c r="M27" s="415" t="s">
        <v>536</v>
      </c>
    </row>
    <row r="28" spans="4:15" ht="15.6">
      <c r="D28" s="417">
        <v>16</v>
      </c>
      <c r="E28" s="418" t="s">
        <v>512</v>
      </c>
      <c r="F28" s="418">
        <f>$G$7-1</f>
        <v>2015</v>
      </c>
      <c r="G28" s="351">
        <v>2482344.9999999981</v>
      </c>
      <c r="H28" s="351">
        <v>8447465.9999999981</v>
      </c>
      <c r="I28" s="351">
        <v>20417240.999999985</v>
      </c>
      <c r="J28" s="351">
        <v>5254154.9999999963</v>
      </c>
      <c r="K28" s="351">
        <v>0</v>
      </c>
      <c r="L28" s="351">
        <v>0</v>
      </c>
      <c r="M28" s="419">
        <f>SUM(G28:L28)</f>
        <v>36601206.999999978</v>
      </c>
      <c r="N28" s="424"/>
    </row>
    <row r="29" spans="4:15" ht="15.6">
      <c r="D29" s="417">
        <v>17</v>
      </c>
      <c r="E29" s="417" t="s">
        <v>501</v>
      </c>
      <c r="F29" s="417">
        <f>$G$7</f>
        <v>2016</v>
      </c>
      <c r="G29" s="351">
        <f t="shared" ref="G29:G39" si="4">G28+4380</f>
        <v>2486724.9999999981</v>
      </c>
      <c r="H29" s="351">
        <f t="shared" ref="H29:H39" si="5">H28+43472</f>
        <v>8490937.9999999981</v>
      </c>
      <c r="I29" s="351">
        <f t="shared" ref="I29:I39" si="6">I28+166932</f>
        <v>20584172.999999985</v>
      </c>
      <c r="J29" s="351">
        <f t="shared" ref="J29:J39" si="7">J28+25578</f>
        <v>5279732.9999999963</v>
      </c>
      <c r="K29" s="351">
        <v>0</v>
      </c>
      <c r="L29" s="351">
        <v>0</v>
      </c>
      <c r="M29" s="419">
        <f t="shared" ref="M29:M40" si="8">SUM(G29:L29)</f>
        <v>36841568.999999978</v>
      </c>
    </row>
    <row r="30" spans="4:15" ht="15.6">
      <c r="D30" s="417">
        <v>18</v>
      </c>
      <c r="E30" s="421" t="s">
        <v>502</v>
      </c>
      <c r="F30" s="417">
        <f t="shared" ref="F30:F40" si="9">$G$7</f>
        <v>2016</v>
      </c>
      <c r="G30" s="351">
        <f t="shared" si="4"/>
        <v>2491104.9999999981</v>
      </c>
      <c r="H30" s="351">
        <f t="shared" si="5"/>
        <v>8534409.9999999981</v>
      </c>
      <c r="I30" s="351">
        <f t="shared" si="6"/>
        <v>20751104.999999985</v>
      </c>
      <c r="J30" s="351">
        <f t="shared" si="7"/>
        <v>5305310.9999999963</v>
      </c>
      <c r="K30" s="351">
        <v>0</v>
      </c>
      <c r="L30" s="351">
        <v>0</v>
      </c>
      <c r="M30" s="419">
        <f t="shared" si="8"/>
        <v>37081930.999999978</v>
      </c>
    </row>
    <row r="31" spans="4:15" ht="15.6">
      <c r="D31" s="417">
        <v>19</v>
      </c>
      <c r="E31" s="421" t="s">
        <v>503</v>
      </c>
      <c r="F31" s="417">
        <f t="shared" si="9"/>
        <v>2016</v>
      </c>
      <c r="G31" s="351">
        <f t="shared" si="4"/>
        <v>2495484.9999999981</v>
      </c>
      <c r="H31" s="351">
        <f t="shared" si="5"/>
        <v>8577881.9999999981</v>
      </c>
      <c r="I31" s="351">
        <f t="shared" si="6"/>
        <v>20918036.999999985</v>
      </c>
      <c r="J31" s="351">
        <f t="shared" si="7"/>
        <v>5330888.9999999963</v>
      </c>
      <c r="K31" s="351">
        <v>0</v>
      </c>
      <c r="L31" s="351">
        <v>0</v>
      </c>
      <c r="M31" s="419">
        <f t="shared" si="8"/>
        <v>37322292.999999978</v>
      </c>
    </row>
    <row r="32" spans="4:15" ht="15.6">
      <c r="D32" s="417">
        <v>20</v>
      </c>
      <c r="E32" s="421" t="s">
        <v>504</v>
      </c>
      <c r="F32" s="417">
        <f t="shared" si="9"/>
        <v>2016</v>
      </c>
      <c r="G32" s="351">
        <f t="shared" si="4"/>
        <v>2499864.9999999981</v>
      </c>
      <c r="H32" s="351">
        <f t="shared" si="5"/>
        <v>8621353.9999999981</v>
      </c>
      <c r="I32" s="351">
        <f t="shared" si="6"/>
        <v>21084968.999999985</v>
      </c>
      <c r="J32" s="351">
        <f t="shared" si="7"/>
        <v>5356466.9999999963</v>
      </c>
      <c r="K32" s="351">
        <v>0</v>
      </c>
      <c r="L32" s="351">
        <v>0</v>
      </c>
      <c r="M32" s="419">
        <f t="shared" si="8"/>
        <v>37562654.999999978</v>
      </c>
    </row>
    <row r="33" spans="4:13" ht="15.6">
      <c r="D33" s="417">
        <v>21</v>
      </c>
      <c r="E33" s="421" t="s">
        <v>505</v>
      </c>
      <c r="F33" s="417">
        <f t="shared" si="9"/>
        <v>2016</v>
      </c>
      <c r="G33" s="351">
        <f t="shared" si="4"/>
        <v>2504244.9999999981</v>
      </c>
      <c r="H33" s="351">
        <f t="shared" si="5"/>
        <v>8664825.9999999981</v>
      </c>
      <c r="I33" s="351">
        <f t="shared" si="6"/>
        <v>21251900.999999985</v>
      </c>
      <c r="J33" s="351">
        <f t="shared" si="7"/>
        <v>5382044.9999999963</v>
      </c>
      <c r="K33" s="351">
        <v>0</v>
      </c>
      <c r="L33" s="351">
        <v>0</v>
      </c>
      <c r="M33" s="419">
        <f t="shared" si="8"/>
        <v>37803016.999999978</v>
      </c>
    </row>
    <row r="34" spans="4:13" ht="15.6">
      <c r="D34" s="417">
        <v>22</v>
      </c>
      <c r="E34" s="421" t="s">
        <v>506</v>
      </c>
      <c r="F34" s="417">
        <f t="shared" si="9"/>
        <v>2016</v>
      </c>
      <c r="G34" s="351">
        <f t="shared" si="4"/>
        <v>2508624.9999999981</v>
      </c>
      <c r="H34" s="351">
        <f t="shared" si="5"/>
        <v>8708297.9999999981</v>
      </c>
      <c r="I34" s="351">
        <f t="shared" si="6"/>
        <v>21418832.999999985</v>
      </c>
      <c r="J34" s="351">
        <f t="shared" si="7"/>
        <v>5407622.9999999963</v>
      </c>
      <c r="K34" s="351">
        <v>0</v>
      </c>
      <c r="L34" s="351">
        <v>0</v>
      </c>
      <c r="M34" s="419">
        <f t="shared" si="8"/>
        <v>38043378.999999978</v>
      </c>
    </row>
    <row r="35" spans="4:13" ht="15.6">
      <c r="D35" s="417">
        <v>23</v>
      </c>
      <c r="E35" s="421" t="s">
        <v>507</v>
      </c>
      <c r="F35" s="417">
        <f t="shared" si="9"/>
        <v>2016</v>
      </c>
      <c r="G35" s="351">
        <f t="shared" si="4"/>
        <v>2513004.9999999981</v>
      </c>
      <c r="H35" s="351">
        <f t="shared" si="5"/>
        <v>8751769.9999999981</v>
      </c>
      <c r="I35" s="351">
        <f t="shared" si="6"/>
        <v>21585764.999999985</v>
      </c>
      <c r="J35" s="351">
        <f t="shared" si="7"/>
        <v>5433200.9999999963</v>
      </c>
      <c r="K35" s="351">
        <v>0</v>
      </c>
      <c r="L35" s="351">
        <v>0</v>
      </c>
      <c r="M35" s="419">
        <f t="shared" si="8"/>
        <v>38283740.999999978</v>
      </c>
    </row>
    <row r="36" spans="4:13" ht="15.6">
      <c r="D36" s="417">
        <v>24</v>
      </c>
      <c r="E36" s="421" t="s">
        <v>508</v>
      </c>
      <c r="F36" s="417">
        <f t="shared" si="9"/>
        <v>2016</v>
      </c>
      <c r="G36" s="351">
        <f t="shared" si="4"/>
        <v>2517384.9999999981</v>
      </c>
      <c r="H36" s="351">
        <f t="shared" si="5"/>
        <v>8795241.9999999981</v>
      </c>
      <c r="I36" s="351">
        <f t="shared" si="6"/>
        <v>21752696.999999985</v>
      </c>
      <c r="J36" s="351">
        <f t="shared" si="7"/>
        <v>5458778.9999999963</v>
      </c>
      <c r="K36" s="351">
        <v>0</v>
      </c>
      <c r="L36" s="351">
        <v>0</v>
      </c>
      <c r="M36" s="419">
        <f t="shared" si="8"/>
        <v>38524102.999999978</v>
      </c>
    </row>
    <row r="37" spans="4:13" ht="15.6">
      <c r="D37" s="417">
        <v>25</v>
      </c>
      <c r="E37" s="421" t="s">
        <v>509</v>
      </c>
      <c r="F37" s="417">
        <f t="shared" si="9"/>
        <v>2016</v>
      </c>
      <c r="G37" s="351">
        <f t="shared" si="4"/>
        <v>2521764.9999999981</v>
      </c>
      <c r="H37" s="351">
        <f t="shared" si="5"/>
        <v>8838713.9999999981</v>
      </c>
      <c r="I37" s="351">
        <f t="shared" si="6"/>
        <v>21919628.999999985</v>
      </c>
      <c r="J37" s="351">
        <f t="shared" si="7"/>
        <v>5484356.9999999963</v>
      </c>
      <c r="K37" s="351">
        <v>0</v>
      </c>
      <c r="L37" s="351">
        <v>0</v>
      </c>
      <c r="M37" s="419">
        <f t="shared" si="8"/>
        <v>38764464.999999978</v>
      </c>
    </row>
    <row r="38" spans="4:13" ht="15.6">
      <c r="D38" s="417">
        <v>26</v>
      </c>
      <c r="E38" s="421" t="s">
        <v>510</v>
      </c>
      <c r="F38" s="417">
        <f t="shared" si="9"/>
        <v>2016</v>
      </c>
      <c r="G38" s="351">
        <f t="shared" si="4"/>
        <v>2526144.9999999981</v>
      </c>
      <c r="H38" s="351">
        <f t="shared" si="5"/>
        <v>8882185.9999999981</v>
      </c>
      <c r="I38" s="351">
        <f t="shared" si="6"/>
        <v>22086560.999999985</v>
      </c>
      <c r="J38" s="351">
        <f t="shared" si="7"/>
        <v>5509934.9999999963</v>
      </c>
      <c r="K38" s="351">
        <v>0</v>
      </c>
      <c r="L38" s="351">
        <v>0</v>
      </c>
      <c r="M38" s="419">
        <f t="shared" si="8"/>
        <v>39004826.999999978</v>
      </c>
    </row>
    <row r="39" spans="4:13" ht="15.6">
      <c r="D39" s="417">
        <v>27</v>
      </c>
      <c r="E39" s="421" t="s">
        <v>511</v>
      </c>
      <c r="F39" s="417">
        <f t="shared" si="9"/>
        <v>2016</v>
      </c>
      <c r="G39" s="351">
        <f t="shared" si="4"/>
        <v>2530524.9999999981</v>
      </c>
      <c r="H39" s="351">
        <f t="shared" si="5"/>
        <v>8925657.9999999981</v>
      </c>
      <c r="I39" s="351">
        <f t="shared" si="6"/>
        <v>22253492.999999985</v>
      </c>
      <c r="J39" s="351">
        <f t="shared" si="7"/>
        <v>5535512.9999999963</v>
      </c>
      <c r="K39" s="351">
        <v>0</v>
      </c>
      <c r="L39" s="351">
        <v>0</v>
      </c>
      <c r="M39" s="419">
        <f t="shared" si="8"/>
        <v>39245188.999999985</v>
      </c>
    </row>
    <row r="40" spans="4:13" ht="15.6">
      <c r="D40" s="417">
        <v>28</v>
      </c>
      <c r="E40" s="421" t="s">
        <v>512</v>
      </c>
      <c r="F40" s="417">
        <f t="shared" si="9"/>
        <v>2016</v>
      </c>
      <c r="G40" s="351">
        <v>2534900</v>
      </c>
      <c r="H40" s="351">
        <v>8969130</v>
      </c>
      <c r="I40" s="351">
        <v>22420422</v>
      </c>
      <c r="J40" s="351">
        <v>5561085</v>
      </c>
      <c r="K40" s="351">
        <v>0</v>
      </c>
      <c r="L40" s="351">
        <v>0</v>
      </c>
      <c r="M40" s="419">
        <f t="shared" si="8"/>
        <v>39485537</v>
      </c>
    </row>
    <row r="41" spans="4:13">
      <c r="D41" s="417">
        <v>29</v>
      </c>
    </row>
    <row r="42" spans="4:13" ht="16.2">
      <c r="D42" s="417">
        <v>30</v>
      </c>
      <c r="E42" s="412" t="s">
        <v>528</v>
      </c>
      <c r="F42" s="410"/>
      <c r="G42" s="422">
        <f>SUM(G28:G40)/13</f>
        <v>2508624.6153846141</v>
      </c>
      <c r="H42" s="422">
        <f t="shared" ref="H42:M42" si="10">SUM(H28:H40)/13</f>
        <v>8708297.9999999981</v>
      </c>
      <c r="I42" s="422">
        <f t="shared" si="10"/>
        <v>21418832.769230761</v>
      </c>
      <c r="J42" s="422">
        <f t="shared" si="10"/>
        <v>5407622.5384615362</v>
      </c>
      <c r="K42" s="422">
        <f t="shared" ref="K42" si="11">SUM(K28:K40)/13</f>
        <v>0</v>
      </c>
      <c r="L42" s="422">
        <f t="shared" si="10"/>
        <v>0</v>
      </c>
      <c r="M42" s="422">
        <f t="shared" si="10"/>
        <v>38043377.923076913</v>
      </c>
    </row>
    <row r="43" spans="4:13">
      <c r="E43" s="423" t="s">
        <v>529</v>
      </c>
      <c r="F43" s="423"/>
      <c r="G43" s="423" t="s">
        <v>537</v>
      </c>
      <c r="H43" s="423" t="s">
        <v>538</v>
      </c>
      <c r="I43" s="423" t="s">
        <v>539</v>
      </c>
      <c r="J43" s="423" t="s">
        <v>540</v>
      </c>
      <c r="K43" s="423" t="s">
        <v>540</v>
      </c>
      <c r="L43" s="423" t="s">
        <v>541</v>
      </c>
    </row>
    <row r="44" spans="4:13" ht="28.8">
      <c r="D44" s="415" t="s">
        <v>516</v>
      </c>
      <c r="E44" s="415" t="s">
        <v>542</v>
      </c>
      <c r="F44" s="415" t="s">
        <v>518</v>
      </c>
      <c r="G44" s="415" t="s">
        <v>523</v>
      </c>
      <c r="H44" s="415" t="s">
        <v>45</v>
      </c>
      <c r="I44" s="415" t="s">
        <v>484</v>
      </c>
      <c r="J44" s="415" t="str">
        <f>J27</f>
        <v xml:space="preserve">General </v>
      </c>
      <c r="K44" s="415" t="str">
        <f>K27</f>
        <v>Intangible</v>
      </c>
      <c r="L44" s="415" t="s">
        <v>526</v>
      </c>
      <c r="M44" s="415" t="s">
        <v>543</v>
      </c>
    </row>
    <row r="45" spans="4:13" ht="15.6">
      <c r="D45" s="417">
        <v>31</v>
      </c>
      <c r="E45" s="418" t="s">
        <v>512</v>
      </c>
      <c r="F45" s="418">
        <f>$G$7-1</f>
        <v>2015</v>
      </c>
      <c r="G45" s="351">
        <f>G10-G28</f>
        <v>338170.00000000186</v>
      </c>
      <c r="H45" s="351">
        <f t="shared" ref="H45:M57" si="12">H10-H28</f>
        <v>7956904.0000000019</v>
      </c>
      <c r="I45" s="351">
        <f t="shared" si="12"/>
        <v>32339424.000000015</v>
      </c>
      <c r="J45" s="351">
        <f t="shared" si="12"/>
        <v>1957680.0000000037</v>
      </c>
      <c r="K45" s="351">
        <f t="shared" si="12"/>
        <v>0</v>
      </c>
      <c r="L45" s="351">
        <f t="shared" si="12"/>
        <v>0</v>
      </c>
      <c r="M45" s="351">
        <f t="shared" si="12"/>
        <v>42592178.000000022</v>
      </c>
    </row>
    <row r="46" spans="4:13" ht="15.6">
      <c r="D46" s="417">
        <v>32</v>
      </c>
      <c r="E46" s="417" t="s">
        <v>501</v>
      </c>
      <c r="F46" s="417">
        <f>$G$7</f>
        <v>2016</v>
      </c>
      <c r="G46" s="351">
        <f t="shared" ref="G46:M57" si="13">G11-G29</f>
        <v>333790.00000000186</v>
      </c>
      <c r="H46" s="351">
        <f t="shared" si="13"/>
        <v>7913432.0000000019</v>
      </c>
      <c r="I46" s="351">
        <f t="shared" si="13"/>
        <v>32172492.000000015</v>
      </c>
      <c r="J46" s="351">
        <f t="shared" si="13"/>
        <v>1932102.0000000037</v>
      </c>
      <c r="K46" s="351">
        <f t="shared" si="12"/>
        <v>0</v>
      </c>
      <c r="L46" s="351">
        <f t="shared" si="13"/>
        <v>0</v>
      </c>
      <c r="M46" s="351">
        <f t="shared" si="13"/>
        <v>42351816.000000022</v>
      </c>
    </row>
    <row r="47" spans="4:13" ht="15.6">
      <c r="D47" s="417">
        <v>33</v>
      </c>
      <c r="E47" s="421" t="s">
        <v>502</v>
      </c>
      <c r="F47" s="417">
        <f t="shared" ref="F47:F57" si="14">$G$7</f>
        <v>2016</v>
      </c>
      <c r="G47" s="351">
        <f t="shared" si="13"/>
        <v>329410.00000000186</v>
      </c>
      <c r="H47" s="351">
        <f t="shared" si="13"/>
        <v>7869960.0000000019</v>
      </c>
      <c r="I47" s="351">
        <f t="shared" si="13"/>
        <v>32005560.000000015</v>
      </c>
      <c r="J47" s="351">
        <f t="shared" si="13"/>
        <v>1906524.0000000037</v>
      </c>
      <c r="K47" s="351">
        <f t="shared" si="12"/>
        <v>0</v>
      </c>
      <c r="L47" s="351">
        <f t="shared" si="13"/>
        <v>0</v>
      </c>
      <c r="M47" s="351">
        <f t="shared" si="13"/>
        <v>42111454.000000022</v>
      </c>
    </row>
    <row r="48" spans="4:13" ht="15.6">
      <c r="D48" s="417">
        <v>34</v>
      </c>
      <c r="E48" s="421" t="s">
        <v>503</v>
      </c>
      <c r="F48" s="417">
        <f t="shared" si="14"/>
        <v>2016</v>
      </c>
      <c r="G48" s="351">
        <f t="shared" si="13"/>
        <v>325030.00000000186</v>
      </c>
      <c r="H48" s="351">
        <f t="shared" si="13"/>
        <v>7826488.0000000019</v>
      </c>
      <c r="I48" s="351">
        <f t="shared" si="13"/>
        <v>31838628.000000015</v>
      </c>
      <c r="J48" s="351">
        <f t="shared" si="13"/>
        <v>1880946.0000000037</v>
      </c>
      <c r="K48" s="351">
        <f t="shared" si="12"/>
        <v>0</v>
      </c>
      <c r="L48" s="351">
        <f t="shared" si="13"/>
        <v>0</v>
      </c>
      <c r="M48" s="351">
        <f t="shared" si="13"/>
        <v>41871092.000000022</v>
      </c>
    </row>
    <row r="49" spans="4:13" ht="15.6">
      <c r="D49" s="417">
        <v>35</v>
      </c>
      <c r="E49" s="421" t="s">
        <v>504</v>
      </c>
      <c r="F49" s="417">
        <f t="shared" si="14"/>
        <v>2016</v>
      </c>
      <c r="G49" s="351">
        <f t="shared" si="13"/>
        <v>320650.00000000186</v>
      </c>
      <c r="H49" s="351">
        <f t="shared" si="13"/>
        <v>7783016.0000000019</v>
      </c>
      <c r="I49" s="351">
        <f t="shared" si="13"/>
        <v>31671696.000000015</v>
      </c>
      <c r="J49" s="351">
        <f t="shared" si="13"/>
        <v>1855368.0000000037</v>
      </c>
      <c r="K49" s="351">
        <f t="shared" si="12"/>
        <v>0</v>
      </c>
      <c r="L49" s="351">
        <f t="shared" si="13"/>
        <v>0</v>
      </c>
      <c r="M49" s="351">
        <f t="shared" si="13"/>
        <v>41630730.000000022</v>
      </c>
    </row>
    <row r="50" spans="4:13" ht="15.6">
      <c r="D50" s="417">
        <v>36</v>
      </c>
      <c r="E50" s="421" t="s">
        <v>505</v>
      </c>
      <c r="F50" s="417">
        <f t="shared" si="14"/>
        <v>2016</v>
      </c>
      <c r="G50" s="351">
        <f>G15-G33</f>
        <v>316270.00000000186</v>
      </c>
      <c r="H50" s="351">
        <f t="shared" si="13"/>
        <v>7739544.0000000019</v>
      </c>
      <c r="I50" s="351">
        <f t="shared" si="13"/>
        <v>31504764.000000015</v>
      </c>
      <c r="J50" s="351">
        <f t="shared" si="13"/>
        <v>1829790.0000000037</v>
      </c>
      <c r="K50" s="351">
        <f t="shared" si="12"/>
        <v>0</v>
      </c>
      <c r="L50" s="351">
        <f t="shared" si="13"/>
        <v>0</v>
      </c>
      <c r="M50" s="351">
        <f t="shared" si="13"/>
        <v>41390368.000000022</v>
      </c>
    </row>
    <row r="51" spans="4:13" ht="15.6">
      <c r="D51" s="417">
        <v>37</v>
      </c>
      <c r="E51" s="421" t="s">
        <v>506</v>
      </c>
      <c r="F51" s="417">
        <f t="shared" si="14"/>
        <v>2016</v>
      </c>
      <c r="G51" s="351">
        <f t="shared" si="13"/>
        <v>311890.00000000186</v>
      </c>
      <c r="H51" s="351">
        <f t="shared" si="13"/>
        <v>7696072.0000000019</v>
      </c>
      <c r="I51" s="351">
        <f t="shared" si="13"/>
        <v>31337832.000000015</v>
      </c>
      <c r="J51" s="351">
        <f t="shared" si="13"/>
        <v>1804212.0000000037</v>
      </c>
      <c r="K51" s="351">
        <f t="shared" si="12"/>
        <v>0</v>
      </c>
      <c r="L51" s="351">
        <f t="shared" si="13"/>
        <v>0</v>
      </c>
      <c r="M51" s="351">
        <f t="shared" si="13"/>
        <v>41150006.000000022</v>
      </c>
    </row>
    <row r="52" spans="4:13" ht="15.6">
      <c r="D52" s="417">
        <v>38</v>
      </c>
      <c r="E52" s="421" t="s">
        <v>507</v>
      </c>
      <c r="F52" s="417">
        <f t="shared" si="14"/>
        <v>2016</v>
      </c>
      <c r="G52" s="351">
        <f t="shared" si="13"/>
        <v>307510.00000000186</v>
      </c>
      <c r="H52" s="351">
        <f t="shared" si="13"/>
        <v>7652600.0000000019</v>
      </c>
      <c r="I52" s="351">
        <f t="shared" si="13"/>
        <v>31170900.000000015</v>
      </c>
      <c r="J52" s="351">
        <f t="shared" si="13"/>
        <v>1778634.0000000037</v>
      </c>
      <c r="K52" s="351">
        <f t="shared" si="12"/>
        <v>0</v>
      </c>
      <c r="L52" s="351">
        <f t="shared" si="13"/>
        <v>0</v>
      </c>
      <c r="M52" s="351">
        <f t="shared" si="13"/>
        <v>40909644.000000022</v>
      </c>
    </row>
    <row r="53" spans="4:13" ht="15.6">
      <c r="D53" s="417">
        <v>39</v>
      </c>
      <c r="E53" s="421" t="s">
        <v>508</v>
      </c>
      <c r="F53" s="417">
        <f t="shared" si="14"/>
        <v>2016</v>
      </c>
      <c r="G53" s="351">
        <f t="shared" si="13"/>
        <v>303130.00000000186</v>
      </c>
      <c r="H53" s="351">
        <f t="shared" si="13"/>
        <v>7609128.0000000019</v>
      </c>
      <c r="I53" s="351">
        <f t="shared" si="13"/>
        <v>31003968.000000015</v>
      </c>
      <c r="J53" s="351">
        <f t="shared" si="13"/>
        <v>1753056.0000000037</v>
      </c>
      <c r="K53" s="351">
        <f t="shared" si="12"/>
        <v>0</v>
      </c>
      <c r="L53" s="351">
        <f t="shared" si="13"/>
        <v>0</v>
      </c>
      <c r="M53" s="351">
        <f t="shared" si="13"/>
        <v>40669282.000000022</v>
      </c>
    </row>
    <row r="54" spans="4:13" ht="15.6">
      <c r="D54" s="417">
        <v>40</v>
      </c>
      <c r="E54" s="421" t="s">
        <v>509</v>
      </c>
      <c r="F54" s="417">
        <f t="shared" si="14"/>
        <v>2016</v>
      </c>
      <c r="G54" s="351">
        <f t="shared" si="13"/>
        <v>298750.00000000186</v>
      </c>
      <c r="H54" s="351">
        <f t="shared" si="13"/>
        <v>7565656.0000000019</v>
      </c>
      <c r="I54" s="351">
        <f t="shared" si="13"/>
        <v>30837036.000000015</v>
      </c>
      <c r="J54" s="351">
        <f t="shared" si="13"/>
        <v>1727478.0000000037</v>
      </c>
      <c r="K54" s="351">
        <f t="shared" si="12"/>
        <v>0</v>
      </c>
      <c r="L54" s="351">
        <f t="shared" si="13"/>
        <v>0</v>
      </c>
      <c r="M54" s="351">
        <f t="shared" si="13"/>
        <v>40428920.000000022</v>
      </c>
    </row>
    <row r="55" spans="4:13" ht="15.6">
      <c r="D55" s="417">
        <v>41</v>
      </c>
      <c r="E55" s="421" t="s">
        <v>510</v>
      </c>
      <c r="F55" s="417">
        <f t="shared" si="14"/>
        <v>2016</v>
      </c>
      <c r="G55" s="351">
        <f t="shared" si="13"/>
        <v>294370.00000000186</v>
      </c>
      <c r="H55" s="351">
        <f t="shared" si="13"/>
        <v>7522184.0000000019</v>
      </c>
      <c r="I55" s="351">
        <f t="shared" si="13"/>
        <v>30670104.000000015</v>
      </c>
      <c r="J55" s="351">
        <f t="shared" si="13"/>
        <v>1701900.0000000037</v>
      </c>
      <c r="K55" s="351">
        <f t="shared" si="12"/>
        <v>0</v>
      </c>
      <c r="L55" s="351">
        <f t="shared" si="13"/>
        <v>0</v>
      </c>
      <c r="M55" s="351">
        <f t="shared" si="13"/>
        <v>40188558.000000022</v>
      </c>
    </row>
    <row r="56" spans="4:13" ht="15.6">
      <c r="D56" s="417">
        <v>42</v>
      </c>
      <c r="E56" s="421" t="s">
        <v>511</v>
      </c>
      <c r="F56" s="417">
        <f t="shared" si="14"/>
        <v>2016</v>
      </c>
      <c r="G56" s="351">
        <f t="shared" si="13"/>
        <v>289990.00000000186</v>
      </c>
      <c r="H56" s="351">
        <f t="shared" si="13"/>
        <v>7478712.0000000019</v>
      </c>
      <c r="I56" s="351">
        <f t="shared" si="13"/>
        <v>30503172.000000015</v>
      </c>
      <c r="J56" s="351">
        <f t="shared" si="13"/>
        <v>1676322.0000000037</v>
      </c>
      <c r="K56" s="351">
        <f t="shared" si="12"/>
        <v>0</v>
      </c>
      <c r="L56" s="351">
        <f t="shared" si="13"/>
        <v>0</v>
      </c>
      <c r="M56" s="351">
        <f t="shared" si="13"/>
        <v>39948196.000000015</v>
      </c>
    </row>
    <row r="57" spans="4:13" ht="15.6">
      <c r="D57" s="417">
        <v>43</v>
      </c>
      <c r="E57" s="421" t="s">
        <v>512</v>
      </c>
      <c r="F57" s="417">
        <f t="shared" si="14"/>
        <v>2016</v>
      </c>
      <c r="G57" s="425">
        <f t="shared" si="13"/>
        <v>288773</v>
      </c>
      <c r="H57" s="425">
        <f t="shared" si="13"/>
        <v>7435240</v>
      </c>
      <c r="I57" s="425">
        <f t="shared" si="13"/>
        <v>31997460</v>
      </c>
      <c r="J57" s="425">
        <f t="shared" si="13"/>
        <v>1767471</v>
      </c>
      <c r="K57" s="425">
        <f t="shared" si="12"/>
        <v>0</v>
      </c>
      <c r="L57" s="425">
        <f t="shared" si="13"/>
        <v>0</v>
      </c>
      <c r="M57" s="425">
        <f t="shared" si="13"/>
        <v>41488944</v>
      </c>
    </row>
    <row r="58" spans="4:13">
      <c r="D58" s="417">
        <v>44</v>
      </c>
    </row>
    <row r="59" spans="4:13" ht="16.2">
      <c r="D59" s="417">
        <v>45</v>
      </c>
      <c r="E59" s="412" t="s">
        <v>528</v>
      </c>
      <c r="F59" s="410"/>
      <c r="G59" s="422">
        <f>SUM(G45:G57)/13</f>
        <v>312133.30769230943</v>
      </c>
      <c r="H59" s="422">
        <f t="shared" ref="H59:M59" si="15">SUM(H45:H57)/13</f>
        <v>7696072.0000000009</v>
      </c>
      <c r="I59" s="422">
        <f t="shared" si="15"/>
        <v>31465618.15384616</v>
      </c>
      <c r="J59" s="422">
        <f t="shared" si="15"/>
        <v>1813191.0000000035</v>
      </c>
      <c r="K59" s="422">
        <f t="shared" si="15"/>
        <v>0</v>
      </c>
      <c r="L59" s="422">
        <f t="shared" si="15"/>
        <v>0</v>
      </c>
      <c r="M59" s="422">
        <f t="shared" si="15"/>
        <v>41287014.461538479</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zoomScale="80" zoomScaleNormal="80" workbookViewId="0">
      <selection activeCell="G20" sqref="G20"/>
    </sheetView>
  </sheetViews>
  <sheetFormatPr defaultColWidth="8.90625" defaultRowHeight="14.4"/>
  <cols>
    <col min="1" max="2" width="8.90625" style="211"/>
    <col min="3" max="4" width="1.453125" style="211" customWidth="1"/>
    <col min="5" max="5" width="8.90625" style="211"/>
    <col min="6" max="6" width="26.90625" style="211" customWidth="1"/>
    <col min="7" max="7" width="15.1796875" style="211" customWidth="1"/>
    <col min="8" max="9" width="0.90625" style="211" customWidth="1"/>
    <col min="10" max="16384" width="8.90625" style="211"/>
  </cols>
  <sheetData>
    <row r="3" spans="5:8" ht="6" customHeight="1"/>
    <row r="4" spans="5:8" ht="6" customHeight="1"/>
    <row r="5" spans="5:8" ht="15.6">
      <c r="E5" s="665" t="str">
        <f>Plant!D5</f>
        <v>Marshall (Minnesota) Municipal Utilities</v>
      </c>
      <c r="F5" s="665"/>
      <c r="G5" s="665"/>
      <c r="H5" s="212"/>
    </row>
    <row r="6" spans="5:8" ht="15.6">
      <c r="E6" s="213">
        <f>Coversheet!E5</f>
        <v>2016</v>
      </c>
      <c r="F6" s="212" t="s">
        <v>544</v>
      </c>
      <c r="G6" s="212"/>
      <c r="H6" s="212"/>
    </row>
    <row r="7" spans="5:8" ht="15.6">
      <c r="F7" s="294" t="str">
        <f>+Coversheet!D5</f>
        <v>12 Months Ended December 31,</v>
      </c>
      <c r="G7" s="214">
        <f>Coversheet!E5</f>
        <v>2016</v>
      </c>
      <c r="H7" s="214"/>
    </row>
    <row r="10" spans="5:8" ht="18.75" customHeight="1">
      <c r="F10" s="229" t="s">
        <v>545</v>
      </c>
    </row>
    <row r="11" spans="5:8" ht="15">
      <c r="F11" s="230" t="s">
        <v>546</v>
      </c>
      <c r="G11" s="224">
        <v>0</v>
      </c>
    </row>
    <row r="12" spans="5:8" ht="15">
      <c r="F12" s="230" t="s">
        <v>547</v>
      </c>
      <c r="G12" s="224">
        <v>0</v>
      </c>
    </row>
    <row r="13" spans="5:8" ht="15">
      <c r="F13" s="230" t="s">
        <v>548</v>
      </c>
      <c r="G13" s="224">
        <v>0</v>
      </c>
    </row>
    <row r="14" spans="5:8" ht="15">
      <c r="F14" s="230" t="s">
        <v>549</v>
      </c>
      <c r="G14" s="224">
        <v>0</v>
      </c>
    </row>
    <row r="15" spans="5:8" ht="15">
      <c r="F15" s="230" t="s">
        <v>550</v>
      </c>
      <c r="G15" s="225">
        <v>0</v>
      </c>
    </row>
    <row r="16" spans="5:8" ht="15">
      <c r="G16" s="224"/>
    </row>
    <row r="17" spans="6:7" ht="15">
      <c r="F17" s="230" t="s">
        <v>551</v>
      </c>
      <c r="G17" s="224">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2"/>
  <sheetViews>
    <sheetView zoomScaleNormal="100" workbookViewId="0">
      <selection activeCell="G10" sqref="G10:J10"/>
    </sheetView>
  </sheetViews>
  <sheetFormatPr defaultColWidth="8.90625" defaultRowHeight="14.4"/>
  <cols>
    <col min="1" max="2" width="8.90625" style="211"/>
    <col min="3" max="3" width="21.6328125" style="211" customWidth="1"/>
    <col min="4" max="4" width="6.1796875" style="211" customWidth="1"/>
    <col min="5" max="5" width="19.36328125" style="211" customWidth="1"/>
    <col min="6" max="6" width="10.90625" style="211" customWidth="1"/>
    <col min="7" max="16384" width="8.90625" style="211"/>
  </cols>
  <sheetData>
    <row r="3" spans="2:10" ht="15.6">
      <c r="B3" s="665" t="str">
        <f>'Adj to Rate Base'!E5</f>
        <v>Marshall (Minnesota) Municipal Utilities</v>
      </c>
      <c r="C3" s="665"/>
      <c r="D3" s="665"/>
      <c r="E3" s="665"/>
    </row>
    <row r="4" spans="2:10" ht="15.6">
      <c r="B4" s="213">
        <f>Coversheet!E5</f>
        <v>2016</v>
      </c>
      <c r="C4" s="212" t="s">
        <v>552</v>
      </c>
      <c r="D4" s="212"/>
      <c r="E4" s="212"/>
    </row>
    <row r="5" spans="2:10" ht="15.6">
      <c r="C5" s="212"/>
      <c r="D5" s="294" t="str">
        <f>+Coversheet!D5</f>
        <v>12 Months Ended December 31,</v>
      </c>
      <c r="E5" s="214">
        <f>Coversheet!E5</f>
        <v>2016</v>
      </c>
    </row>
    <row r="6" spans="2:10" ht="15.6">
      <c r="B6" s="212"/>
      <c r="C6" s="212"/>
      <c r="D6" s="212"/>
      <c r="E6" s="214"/>
    </row>
    <row r="7" spans="2:10" s="216" customFormat="1" ht="35.25" customHeight="1">
      <c r="B7" s="215" t="s">
        <v>516</v>
      </c>
      <c r="C7" s="215" t="s">
        <v>517</v>
      </c>
      <c r="D7" s="215" t="s">
        <v>518</v>
      </c>
      <c r="E7" s="215" t="s">
        <v>553</v>
      </c>
    </row>
    <row r="8" spans="2:10" s="216" customFormat="1">
      <c r="B8" s="223">
        <v>1</v>
      </c>
      <c r="C8" s="223" t="s">
        <v>512</v>
      </c>
      <c r="D8" s="223">
        <f>$E$5-1</f>
        <v>2015</v>
      </c>
      <c r="E8" s="228">
        <v>0</v>
      </c>
    </row>
    <row r="9" spans="2:10">
      <c r="B9" s="217">
        <v>2</v>
      </c>
      <c r="C9" s="218" t="s">
        <v>501</v>
      </c>
      <c r="D9" s="217">
        <f t="shared" ref="D9:D20" si="0">$E$5</f>
        <v>2016</v>
      </c>
      <c r="E9" s="228">
        <v>0</v>
      </c>
    </row>
    <row r="10" spans="2:10" ht="15.6">
      <c r="B10" s="217">
        <v>3</v>
      </c>
      <c r="C10" s="220" t="s">
        <v>502</v>
      </c>
      <c r="D10" s="217">
        <f t="shared" si="0"/>
        <v>2016</v>
      </c>
      <c r="E10" s="228">
        <v>0</v>
      </c>
      <c r="G10" s="410"/>
      <c r="H10" s="332"/>
      <c r="I10" s="332"/>
      <c r="J10" s="327"/>
    </row>
    <row r="11" spans="2:10" ht="15.6">
      <c r="B11" s="217">
        <v>4</v>
      </c>
      <c r="C11" s="220" t="s">
        <v>503</v>
      </c>
      <c r="D11" s="217">
        <f t="shared" si="0"/>
        <v>2016</v>
      </c>
      <c r="E11" s="228">
        <v>0</v>
      </c>
    </row>
    <row r="12" spans="2:10" ht="15.6">
      <c r="B12" s="217">
        <v>5</v>
      </c>
      <c r="C12" s="220" t="s">
        <v>504</v>
      </c>
      <c r="D12" s="217">
        <f t="shared" si="0"/>
        <v>2016</v>
      </c>
      <c r="E12" s="228">
        <v>0</v>
      </c>
    </row>
    <row r="13" spans="2:10" ht="15.6">
      <c r="B13" s="217">
        <v>6</v>
      </c>
      <c r="C13" s="220" t="s">
        <v>505</v>
      </c>
      <c r="D13" s="217">
        <f t="shared" si="0"/>
        <v>2016</v>
      </c>
      <c r="E13" s="228">
        <v>0</v>
      </c>
    </row>
    <row r="14" spans="2:10" ht="15.6">
      <c r="B14" s="217">
        <v>7</v>
      </c>
      <c r="C14" s="220" t="s">
        <v>506</v>
      </c>
      <c r="D14" s="217">
        <f t="shared" si="0"/>
        <v>2016</v>
      </c>
      <c r="E14" s="228">
        <v>0</v>
      </c>
    </row>
    <row r="15" spans="2:10" ht="15.6">
      <c r="B15" s="217">
        <v>8</v>
      </c>
      <c r="C15" s="220" t="s">
        <v>507</v>
      </c>
      <c r="D15" s="217">
        <f t="shared" si="0"/>
        <v>2016</v>
      </c>
      <c r="E15" s="228">
        <v>0</v>
      </c>
    </row>
    <row r="16" spans="2:10" ht="15.6">
      <c r="B16" s="217">
        <v>9</v>
      </c>
      <c r="C16" s="220" t="s">
        <v>508</v>
      </c>
      <c r="D16" s="217">
        <f t="shared" si="0"/>
        <v>2016</v>
      </c>
      <c r="E16" s="228">
        <v>0</v>
      </c>
    </row>
    <row r="17" spans="2:5" ht="15.6">
      <c r="B17" s="217">
        <v>10</v>
      </c>
      <c r="C17" s="220" t="s">
        <v>509</v>
      </c>
      <c r="D17" s="217">
        <f t="shared" si="0"/>
        <v>2016</v>
      </c>
      <c r="E17" s="228">
        <v>0</v>
      </c>
    </row>
    <row r="18" spans="2:5" ht="15.6">
      <c r="B18" s="217">
        <v>11</v>
      </c>
      <c r="C18" s="220" t="s">
        <v>510</v>
      </c>
      <c r="D18" s="217">
        <f t="shared" si="0"/>
        <v>2016</v>
      </c>
      <c r="E18" s="228">
        <v>0</v>
      </c>
    </row>
    <row r="19" spans="2:5" ht="15.6">
      <c r="B19" s="217">
        <v>12</v>
      </c>
      <c r="C19" s="220" t="s">
        <v>511</v>
      </c>
      <c r="D19" s="217">
        <f t="shared" si="0"/>
        <v>2016</v>
      </c>
      <c r="E19" s="228">
        <v>0</v>
      </c>
    </row>
    <row r="20" spans="2:5" ht="15.6">
      <c r="B20" s="217">
        <v>13</v>
      </c>
      <c r="C20" s="220" t="s">
        <v>512</v>
      </c>
      <c r="D20" s="217">
        <f t="shared" si="0"/>
        <v>2016</v>
      </c>
      <c r="E20" s="231">
        <v>0</v>
      </c>
    </row>
    <row r="21" spans="2:5">
      <c r="B21" s="217">
        <v>14</v>
      </c>
    </row>
    <row r="22" spans="2:5" ht="15.6">
      <c r="B22" s="217">
        <v>15</v>
      </c>
      <c r="C22" s="213" t="s">
        <v>528</v>
      </c>
      <c r="D22" s="221"/>
      <c r="E22" s="232">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8"/>
  <sheetViews>
    <sheetView topLeftCell="A7" zoomScaleNormal="100" workbookViewId="0">
      <selection activeCell="G9" sqref="G9:J13"/>
    </sheetView>
  </sheetViews>
  <sheetFormatPr defaultColWidth="8.90625" defaultRowHeight="14.4"/>
  <cols>
    <col min="1" max="1" width="8.90625" style="211"/>
    <col min="2" max="2" width="21.6328125" style="211" customWidth="1"/>
    <col min="3" max="3" width="9.36328125" style="211" customWidth="1"/>
    <col min="4" max="5" width="15.453125" style="211" customWidth="1"/>
    <col min="6" max="16384" width="8.90625" style="211"/>
  </cols>
  <sheetData>
    <row r="3" spans="1:10" ht="15.6">
      <c r="A3" s="665" t="str">
        <f>'Land Held for Future Use'!B3</f>
        <v>Marshall (Minnesota) Municipal Utilities</v>
      </c>
      <c r="B3" s="665"/>
      <c r="C3" s="665"/>
      <c r="D3" s="665"/>
      <c r="E3" s="665"/>
    </row>
    <row r="4" spans="1:10" ht="15.6">
      <c r="A4" s="213">
        <f>Coversheet!E5</f>
        <v>2016</v>
      </c>
      <c r="B4" s="212" t="s">
        <v>604</v>
      </c>
      <c r="C4" s="212"/>
      <c r="D4" s="212"/>
      <c r="E4" s="212"/>
    </row>
    <row r="5" spans="1:10" ht="15.6">
      <c r="B5" s="212"/>
      <c r="C5" s="212"/>
      <c r="D5" s="294" t="str">
        <f>+Coversheet!D5</f>
        <v>12 Months Ended December 31,</v>
      </c>
      <c r="E5" s="214">
        <f>Coversheet!E5</f>
        <v>2016</v>
      </c>
    </row>
    <row r="6" spans="1:10" ht="15.6">
      <c r="A6" s="212"/>
      <c r="B6" s="212"/>
      <c r="C6" s="212"/>
      <c r="D6" s="214"/>
    </row>
    <row r="7" spans="1:10" s="216" customFormat="1" ht="46.5" customHeight="1">
      <c r="A7" s="215" t="s">
        <v>516</v>
      </c>
      <c r="B7" s="215" t="s">
        <v>517</v>
      </c>
      <c r="C7" s="215" t="s">
        <v>518</v>
      </c>
      <c r="D7" s="215" t="s">
        <v>605</v>
      </c>
      <c r="E7" s="215" t="s">
        <v>606</v>
      </c>
    </row>
    <row r="8" spans="1:10" s="216" customFormat="1">
      <c r="A8" s="223">
        <v>1</v>
      </c>
      <c r="B8" s="223" t="s">
        <v>512</v>
      </c>
      <c r="C8" s="223">
        <f>$E$5-1</f>
        <v>2015</v>
      </c>
      <c r="D8" s="228">
        <v>5683</v>
      </c>
      <c r="E8" s="325">
        <v>86596</v>
      </c>
    </row>
    <row r="9" spans="1:10">
      <c r="A9" s="217">
        <v>2</v>
      </c>
      <c r="B9" s="218" t="s">
        <v>501</v>
      </c>
      <c r="C9" s="217">
        <f t="shared" ref="C9:C20" si="0">$E$5</f>
        <v>2016</v>
      </c>
      <c r="D9" s="228">
        <v>5683</v>
      </c>
      <c r="E9" s="325">
        <v>73458</v>
      </c>
      <c r="G9" s="410"/>
      <c r="H9" s="332"/>
      <c r="I9" s="332"/>
      <c r="J9" s="327"/>
    </row>
    <row r="10" spans="1:10" ht="15.6">
      <c r="A10" s="217">
        <v>3</v>
      </c>
      <c r="B10" s="220" t="s">
        <v>502</v>
      </c>
      <c r="C10" s="217">
        <f t="shared" si="0"/>
        <v>2016</v>
      </c>
      <c r="D10" s="228">
        <v>5683</v>
      </c>
      <c r="E10" s="325">
        <v>61364</v>
      </c>
      <c r="G10" s="327"/>
      <c r="H10" s="327"/>
      <c r="I10" s="327"/>
      <c r="J10" s="327"/>
    </row>
    <row r="11" spans="1:10" ht="15.6">
      <c r="A11" s="217">
        <v>4</v>
      </c>
      <c r="B11" s="220" t="s">
        <v>503</v>
      </c>
      <c r="C11" s="217">
        <f t="shared" si="0"/>
        <v>2016</v>
      </c>
      <c r="D11" s="228">
        <v>5683</v>
      </c>
      <c r="E11" s="325">
        <v>51141</v>
      </c>
      <c r="G11" s="410"/>
      <c r="H11" s="410"/>
      <c r="I11" s="410"/>
      <c r="J11" s="327"/>
    </row>
    <row r="12" spans="1:10" ht="15.6">
      <c r="A12" s="217">
        <v>5</v>
      </c>
      <c r="B12" s="220" t="s">
        <v>504</v>
      </c>
      <c r="C12" s="217">
        <f t="shared" si="0"/>
        <v>2016</v>
      </c>
      <c r="D12" s="228">
        <v>5683</v>
      </c>
      <c r="E12" s="325">
        <v>38056</v>
      </c>
      <c r="G12" s="327"/>
      <c r="H12" s="327"/>
      <c r="I12" s="327"/>
      <c r="J12" s="327"/>
    </row>
    <row r="13" spans="1:10" ht="15.6">
      <c r="A13" s="217">
        <v>6</v>
      </c>
      <c r="B13" s="220" t="s">
        <v>505</v>
      </c>
      <c r="C13" s="217">
        <f t="shared" si="0"/>
        <v>2016</v>
      </c>
      <c r="D13" s="228">
        <v>5683</v>
      </c>
      <c r="E13" s="325">
        <v>24222</v>
      </c>
      <c r="G13" s="327"/>
      <c r="H13" s="327"/>
      <c r="I13" s="327"/>
      <c r="J13" s="327"/>
    </row>
    <row r="14" spans="1:10" ht="15.6">
      <c r="A14" s="217">
        <v>7</v>
      </c>
      <c r="B14" s="220" t="s">
        <v>506</v>
      </c>
      <c r="C14" s="217">
        <f t="shared" si="0"/>
        <v>2016</v>
      </c>
      <c r="D14" s="228">
        <v>5683</v>
      </c>
      <c r="E14" s="325">
        <v>16182</v>
      </c>
    </row>
    <row r="15" spans="1:10" ht="15.6">
      <c r="A15" s="217">
        <v>8</v>
      </c>
      <c r="B15" s="220" t="s">
        <v>507</v>
      </c>
      <c r="C15" s="217">
        <f t="shared" si="0"/>
        <v>2016</v>
      </c>
      <c r="D15" s="228">
        <v>5683</v>
      </c>
      <c r="E15" s="325">
        <v>241</v>
      </c>
    </row>
    <row r="16" spans="1:10" ht="15.6">
      <c r="A16" s="217">
        <v>9</v>
      </c>
      <c r="B16" s="220" t="s">
        <v>508</v>
      </c>
      <c r="C16" s="217">
        <f t="shared" si="0"/>
        <v>2016</v>
      </c>
      <c r="D16" s="228">
        <v>5683</v>
      </c>
      <c r="E16" s="325">
        <v>-9234</v>
      </c>
    </row>
    <row r="17" spans="1:7" ht="15.6">
      <c r="A17" s="217">
        <v>10</v>
      </c>
      <c r="B17" s="220" t="s">
        <v>509</v>
      </c>
      <c r="C17" s="217">
        <f t="shared" si="0"/>
        <v>2016</v>
      </c>
      <c r="D17" s="228">
        <v>5683</v>
      </c>
      <c r="E17" s="325">
        <v>-19510</v>
      </c>
    </row>
    <row r="18" spans="1:7" ht="15.6">
      <c r="A18" s="217">
        <v>11</v>
      </c>
      <c r="B18" s="220" t="s">
        <v>510</v>
      </c>
      <c r="C18" s="217">
        <f t="shared" si="0"/>
        <v>2016</v>
      </c>
      <c r="D18" s="228">
        <v>5683</v>
      </c>
      <c r="E18" s="325">
        <v>-32542</v>
      </c>
      <c r="F18" s="327"/>
      <c r="G18" s="327"/>
    </row>
    <row r="19" spans="1:7" ht="15.6">
      <c r="A19" s="217">
        <v>12</v>
      </c>
      <c r="B19" s="220" t="s">
        <v>511</v>
      </c>
      <c r="C19" s="217">
        <f t="shared" si="0"/>
        <v>2016</v>
      </c>
      <c r="D19" s="228">
        <v>5683</v>
      </c>
      <c r="E19" s="325">
        <v>-44868</v>
      </c>
      <c r="F19" s="327"/>
      <c r="G19" s="327"/>
    </row>
    <row r="20" spans="1:7" ht="16.2">
      <c r="A20" s="217">
        <v>13</v>
      </c>
      <c r="B20" s="220" t="s">
        <v>512</v>
      </c>
      <c r="C20" s="217">
        <f t="shared" si="0"/>
        <v>2016</v>
      </c>
      <c r="D20" s="467">
        <v>5683</v>
      </c>
      <c r="E20" s="326">
        <v>77172</v>
      </c>
      <c r="F20" s="327"/>
      <c r="G20" s="327"/>
    </row>
    <row r="21" spans="1:7">
      <c r="A21" s="217">
        <v>14</v>
      </c>
      <c r="D21" s="327"/>
      <c r="E21" s="327"/>
      <c r="F21" s="327"/>
      <c r="G21" s="327"/>
    </row>
    <row r="22" spans="1:7" ht="16.2">
      <c r="A22" s="217">
        <v>15</v>
      </c>
      <c r="B22" s="213" t="s">
        <v>528</v>
      </c>
      <c r="C22" s="221"/>
      <c r="D22" s="426">
        <f>+AVERAGE(D8:D20)</f>
        <v>5683</v>
      </c>
      <c r="E22" s="426">
        <f>+AVERAGE(E8:E20)</f>
        <v>24790.615384615383</v>
      </c>
      <c r="F22" s="327"/>
      <c r="G22" s="327"/>
    </row>
    <row r="23" spans="1:7">
      <c r="D23" s="327"/>
      <c r="E23" s="327"/>
      <c r="F23" s="327"/>
      <c r="G23" s="327"/>
    </row>
    <row r="24" spans="1:7">
      <c r="B24" s="226" t="s">
        <v>529</v>
      </c>
      <c r="C24" s="226"/>
      <c r="D24" s="423" t="s">
        <v>554</v>
      </c>
      <c r="E24" s="423" t="s">
        <v>555</v>
      </c>
      <c r="F24" s="327"/>
      <c r="G24" s="327"/>
    </row>
    <row r="25" spans="1:7">
      <c r="D25" s="327"/>
      <c r="E25" s="327"/>
      <c r="F25" s="327"/>
      <c r="G25" s="327"/>
    </row>
    <row r="26" spans="1:7">
      <c r="D26" s="327"/>
      <c r="E26" s="327"/>
      <c r="F26" s="327"/>
      <c r="G26" s="327"/>
    </row>
    <row r="28" spans="1:7">
      <c r="D28" s="227"/>
    </row>
  </sheetData>
  <mergeCells count="1">
    <mergeCell ref="A3:E3"/>
  </mergeCells>
  <pageMargins left="0.7" right="0.7" top="0.75" bottom="0.75" header="0.3" footer="0.3"/>
  <pageSetup scale="71"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1"/>
  <sheetViews>
    <sheetView zoomScaleNormal="100" workbookViewId="0">
      <selection activeCell="F16" sqref="F16"/>
    </sheetView>
  </sheetViews>
  <sheetFormatPr defaultColWidth="8.90625" defaultRowHeight="14.4"/>
  <cols>
    <col min="1" max="2" width="1.36328125" style="211" customWidth="1"/>
    <col min="3" max="3" width="8.90625" style="211"/>
    <col min="4" max="4" width="21.6328125" style="211" customWidth="1"/>
    <col min="5" max="5" width="12.54296875" style="211" customWidth="1"/>
    <col min="6" max="8" width="15.453125" style="211" customWidth="1"/>
    <col min="9" max="10" width="1.1796875" style="211" customWidth="1"/>
    <col min="11" max="13" width="11.08984375" style="211" bestFit="1" customWidth="1"/>
    <col min="14" max="14" width="10.453125" style="211" bestFit="1" customWidth="1"/>
    <col min="15" max="16" width="11.08984375" style="211" bestFit="1" customWidth="1"/>
    <col min="17" max="17" width="11.90625" style="211" bestFit="1" customWidth="1"/>
    <col min="18" max="16384" width="8.90625" style="211"/>
  </cols>
  <sheetData>
    <row r="3" spans="3:14" ht="5.25" customHeight="1"/>
    <row r="4" spans="3:14" ht="5.25" customHeight="1"/>
    <row r="5" spans="3:14" ht="21">
      <c r="C5" s="666" t="str">
        <f>'Materials and Prepayments'!A3</f>
        <v>Marshall (Minnesota) Municipal Utilities</v>
      </c>
      <c r="D5" s="666"/>
      <c r="E5" s="666"/>
      <c r="F5" s="666"/>
      <c r="G5" s="666"/>
      <c r="H5" s="666"/>
    </row>
    <row r="6" spans="3:14" ht="21">
      <c r="C6" s="291"/>
      <c r="D6" s="666" t="s">
        <v>718</v>
      </c>
      <c r="E6" s="666"/>
      <c r="F6" s="666"/>
      <c r="G6" s="666"/>
      <c r="H6" s="666"/>
    </row>
    <row r="7" spans="3:14" ht="21">
      <c r="D7" s="290"/>
      <c r="F7" s="293" t="str">
        <f>+Coversheet!D5</f>
        <v>12 Months Ended December 31,</v>
      </c>
      <c r="G7" s="292">
        <f>Coversheet!E5</f>
        <v>2016</v>
      </c>
    </row>
    <row r="8" spans="3:14" ht="15.6">
      <c r="C8" s="212"/>
      <c r="D8" s="212"/>
      <c r="E8" s="212"/>
      <c r="F8" s="214"/>
      <c r="G8" s="214"/>
    </row>
    <row r="9" spans="3:14" s="216" customFormat="1" ht="46.5" customHeight="1">
      <c r="C9" s="215" t="s">
        <v>516</v>
      </c>
      <c r="D9" s="215" t="s">
        <v>517</v>
      </c>
      <c r="E9" s="215" t="s">
        <v>518</v>
      </c>
      <c r="F9" s="215" t="s">
        <v>556</v>
      </c>
      <c r="G9" s="215" t="s">
        <v>696</v>
      </c>
      <c r="H9" s="215" t="s">
        <v>705</v>
      </c>
      <c r="M9" s="432"/>
    </row>
    <row r="10" spans="3:14" s="216" customFormat="1">
      <c r="C10" s="223">
        <v>1</v>
      </c>
      <c r="D10" s="223" t="s">
        <v>512</v>
      </c>
      <c r="E10" s="223">
        <f>$G$7-1</f>
        <v>2015</v>
      </c>
      <c r="F10" s="325">
        <v>20275250</v>
      </c>
      <c r="G10" s="624">
        <v>0</v>
      </c>
      <c r="H10" s="325">
        <v>45239652</v>
      </c>
      <c r="K10" s="431"/>
      <c r="L10" s="410"/>
      <c r="M10" s="332"/>
      <c r="N10" s="332"/>
    </row>
    <row r="11" spans="3:14">
      <c r="C11" s="217">
        <v>2</v>
      </c>
      <c r="D11" s="218" t="s">
        <v>501</v>
      </c>
      <c r="E11" s="217">
        <f t="shared" ref="E11:E22" si="0">$G$7</f>
        <v>2016</v>
      </c>
      <c r="F11" s="325">
        <v>20275250</v>
      </c>
      <c r="G11" s="434">
        <v>0</v>
      </c>
      <c r="H11" s="325">
        <f t="shared" ref="H11:H21" si="1">H10+165711</f>
        <v>45405363</v>
      </c>
      <c r="L11" s="410"/>
      <c r="M11" s="434"/>
      <c r="N11" s="327"/>
    </row>
    <row r="12" spans="3:14" ht="15.6">
      <c r="C12" s="217">
        <v>3</v>
      </c>
      <c r="D12" s="220" t="s">
        <v>502</v>
      </c>
      <c r="E12" s="217">
        <f t="shared" si="0"/>
        <v>2016</v>
      </c>
      <c r="F12" s="325">
        <v>20275250</v>
      </c>
      <c r="G12" s="434">
        <v>0</v>
      </c>
      <c r="H12" s="325">
        <f t="shared" si="1"/>
        <v>45571074</v>
      </c>
      <c r="M12" s="433"/>
    </row>
    <row r="13" spans="3:14" ht="15.6">
      <c r="C13" s="217">
        <v>4</v>
      </c>
      <c r="D13" s="220" t="s">
        <v>503</v>
      </c>
      <c r="E13" s="217">
        <f t="shared" si="0"/>
        <v>2016</v>
      </c>
      <c r="F13" s="325">
        <v>20275250</v>
      </c>
      <c r="G13" s="434">
        <v>0</v>
      </c>
      <c r="H13" s="325">
        <f t="shared" si="1"/>
        <v>45736785</v>
      </c>
      <c r="M13" s="433"/>
    </row>
    <row r="14" spans="3:14" ht="15.6">
      <c r="C14" s="217">
        <v>5</v>
      </c>
      <c r="D14" s="220" t="s">
        <v>504</v>
      </c>
      <c r="E14" s="217">
        <f t="shared" si="0"/>
        <v>2016</v>
      </c>
      <c r="F14" s="325">
        <f>20275250+4285000</f>
        <v>24560250</v>
      </c>
      <c r="G14" s="434">
        <v>4509</v>
      </c>
      <c r="H14" s="325">
        <f t="shared" si="1"/>
        <v>45902496</v>
      </c>
      <c r="K14" s="468" t="s">
        <v>744</v>
      </c>
      <c r="M14" s="433"/>
    </row>
    <row r="15" spans="3:14" ht="15.6">
      <c r="C15" s="217">
        <v>6</v>
      </c>
      <c r="D15" s="220" t="s">
        <v>505</v>
      </c>
      <c r="E15" s="217">
        <f t="shared" si="0"/>
        <v>2016</v>
      </c>
      <c r="F15" s="325">
        <f>24560250-3030000</f>
        <v>21530250</v>
      </c>
      <c r="G15" s="434">
        <v>4413</v>
      </c>
      <c r="H15" s="325">
        <f t="shared" si="1"/>
        <v>46068207</v>
      </c>
      <c r="L15" s="337"/>
      <c r="M15" s="433"/>
    </row>
    <row r="16" spans="3:14" ht="15.6">
      <c r="C16" s="217">
        <v>7</v>
      </c>
      <c r="D16" s="220" t="s">
        <v>506</v>
      </c>
      <c r="E16" s="427">
        <f t="shared" si="0"/>
        <v>2016</v>
      </c>
      <c r="F16" s="325">
        <v>21530250</v>
      </c>
      <c r="G16" s="434">
        <v>4317</v>
      </c>
      <c r="H16" s="325">
        <f t="shared" si="1"/>
        <v>46233918</v>
      </c>
      <c r="I16" s="327"/>
      <c r="J16" s="327"/>
      <c r="K16" s="327"/>
      <c r="L16" s="327"/>
      <c r="M16" s="433"/>
      <c r="N16" s="327"/>
    </row>
    <row r="17" spans="3:17" ht="15.6">
      <c r="C17" s="217">
        <v>8</v>
      </c>
      <c r="D17" s="220" t="s">
        <v>507</v>
      </c>
      <c r="E17" s="427">
        <f t="shared" si="0"/>
        <v>2016</v>
      </c>
      <c r="F17" s="325">
        <v>17764400</v>
      </c>
      <c r="G17" s="434">
        <v>4221</v>
      </c>
      <c r="H17" s="325">
        <f t="shared" si="1"/>
        <v>46399629</v>
      </c>
      <c r="I17" s="327"/>
      <c r="J17" s="327"/>
      <c r="K17" s="327"/>
      <c r="L17" s="327"/>
      <c r="M17" s="433"/>
      <c r="N17" s="327"/>
    </row>
    <row r="18" spans="3:17" ht="15.6">
      <c r="C18" s="217">
        <v>9</v>
      </c>
      <c r="D18" s="220" t="s">
        <v>508</v>
      </c>
      <c r="E18" s="427">
        <f t="shared" si="0"/>
        <v>2016</v>
      </c>
      <c r="F18" s="325">
        <v>17764400</v>
      </c>
      <c r="G18" s="434">
        <v>4125</v>
      </c>
      <c r="H18" s="325">
        <f t="shared" si="1"/>
        <v>46565340</v>
      </c>
      <c r="I18" s="327"/>
      <c r="J18" s="327"/>
      <c r="K18" s="327"/>
      <c r="L18" s="327"/>
      <c r="M18" s="433"/>
      <c r="N18" s="327"/>
    </row>
    <row r="19" spans="3:17" ht="15.6">
      <c r="C19" s="217">
        <v>10</v>
      </c>
      <c r="D19" s="220" t="s">
        <v>509</v>
      </c>
      <c r="E19" s="427">
        <f t="shared" si="0"/>
        <v>2016</v>
      </c>
      <c r="F19" s="325">
        <v>17764400</v>
      </c>
      <c r="G19" s="434">
        <v>4029</v>
      </c>
      <c r="H19" s="325">
        <f t="shared" si="1"/>
        <v>46731051</v>
      </c>
      <c r="I19" s="327"/>
      <c r="J19" s="327"/>
      <c r="K19" s="327"/>
      <c r="L19" s="327"/>
      <c r="M19" s="433"/>
      <c r="N19" s="327"/>
    </row>
    <row r="20" spans="3:17" ht="15.6">
      <c r="C20" s="217">
        <v>11</v>
      </c>
      <c r="D20" s="220" t="s">
        <v>510</v>
      </c>
      <c r="E20" s="427">
        <f t="shared" si="0"/>
        <v>2016</v>
      </c>
      <c r="F20" s="325">
        <v>17764400</v>
      </c>
      <c r="G20" s="434">
        <v>3933</v>
      </c>
      <c r="H20" s="325">
        <f t="shared" si="1"/>
        <v>46896762</v>
      </c>
      <c r="I20" s="327"/>
      <c r="J20" s="327"/>
      <c r="K20" s="327"/>
      <c r="L20" s="327"/>
      <c r="M20" s="433"/>
      <c r="N20" s="327"/>
    </row>
    <row r="21" spans="3:17" ht="15.6">
      <c r="C21" s="217">
        <v>12</v>
      </c>
      <c r="D21" s="220" t="s">
        <v>511</v>
      </c>
      <c r="E21" s="427">
        <f t="shared" si="0"/>
        <v>2016</v>
      </c>
      <c r="F21" s="325">
        <v>17764400</v>
      </c>
      <c r="G21" s="434">
        <v>3837</v>
      </c>
      <c r="H21" s="325">
        <f t="shared" si="1"/>
        <v>47062473</v>
      </c>
      <c r="I21" s="327"/>
      <c r="J21" s="327"/>
      <c r="K21" s="327"/>
      <c r="L21" s="327"/>
      <c r="M21" s="433"/>
      <c r="N21" s="327"/>
    </row>
    <row r="22" spans="3:17" ht="16.2">
      <c r="C22" s="217">
        <v>13</v>
      </c>
      <c r="D22" s="220" t="s">
        <v>512</v>
      </c>
      <c r="E22" s="427">
        <f t="shared" si="0"/>
        <v>2016</v>
      </c>
      <c r="F22" s="326">
        <v>17764400</v>
      </c>
      <c r="G22" s="625">
        <v>3742</v>
      </c>
      <c r="H22" s="326">
        <v>47228189</v>
      </c>
      <c r="I22" s="327"/>
      <c r="J22" s="327"/>
      <c r="K22" s="428"/>
      <c r="L22" s="618"/>
      <c r="M22" s="433"/>
      <c r="N22" s="327"/>
    </row>
    <row r="23" spans="3:17">
      <c r="C23" s="217">
        <v>14</v>
      </c>
      <c r="E23" s="327"/>
      <c r="F23" s="327"/>
      <c r="G23" s="327"/>
      <c r="H23" s="327"/>
      <c r="I23" s="327"/>
      <c r="J23" s="327"/>
      <c r="K23" s="327"/>
      <c r="L23" s="327"/>
      <c r="M23" s="434"/>
      <c r="N23" s="327"/>
    </row>
    <row r="24" spans="3:17" ht="16.2">
      <c r="C24" s="217">
        <v>15</v>
      </c>
      <c r="D24" s="213" t="s">
        <v>528</v>
      </c>
      <c r="E24" s="410"/>
      <c r="F24" s="422">
        <f>SUM(F10:F22)/13</f>
        <v>19639088.46153846</v>
      </c>
      <c r="G24" s="422">
        <f>SUM(G10:G22)/13</f>
        <v>2855.8461538461538</v>
      </c>
      <c r="H24" s="422">
        <f t="shared" ref="H24" si="2">SUM(H10:H22)/13</f>
        <v>46233918.384615384</v>
      </c>
      <c r="I24" s="327"/>
      <c r="J24" s="327"/>
      <c r="K24" s="327"/>
      <c r="L24" s="327"/>
      <c r="M24" s="434"/>
      <c r="N24" s="327"/>
    </row>
    <row r="25" spans="3:17">
      <c r="E25" s="327"/>
      <c r="F25" s="327"/>
      <c r="G25" s="327"/>
      <c r="H25" s="429"/>
      <c r="I25" s="327"/>
      <c r="J25" s="327"/>
      <c r="K25" s="327"/>
      <c r="L25" s="327"/>
      <c r="M25" s="434"/>
      <c r="N25" s="327"/>
    </row>
    <row r="26" spans="3:17" ht="15">
      <c r="D26" s="226" t="s">
        <v>693</v>
      </c>
      <c r="E26" s="423"/>
      <c r="F26" s="423" t="s">
        <v>695</v>
      </c>
      <c r="G26" s="423" t="s">
        <v>734</v>
      </c>
      <c r="H26" s="423" t="s">
        <v>694</v>
      </c>
      <c r="I26" s="430"/>
      <c r="J26" s="430"/>
      <c r="K26" s="430"/>
      <c r="L26" s="430"/>
      <c r="M26" s="435"/>
      <c r="N26" s="430"/>
      <c r="O26" s="224"/>
      <c r="P26" s="224"/>
      <c r="Q26" s="224"/>
    </row>
    <row r="27" spans="3:17" ht="7.5" customHeight="1">
      <c r="D27" s="227"/>
      <c r="E27" s="327"/>
      <c r="F27" s="327"/>
      <c r="G27" s="327"/>
      <c r="H27" s="429"/>
      <c r="I27" s="327"/>
      <c r="J27" s="327"/>
      <c r="K27" s="327"/>
      <c r="L27" s="327"/>
      <c r="M27" s="327"/>
      <c r="N27" s="327"/>
    </row>
    <row r="28" spans="3:17" ht="7.5" customHeight="1">
      <c r="D28" s="227"/>
      <c r="E28" s="429"/>
      <c r="F28" s="429"/>
      <c r="G28" s="429"/>
      <c r="H28" s="429"/>
      <c r="I28" s="429"/>
      <c r="J28" s="429"/>
      <c r="K28" s="429"/>
      <c r="L28" s="429"/>
      <c r="M28" s="429"/>
      <c r="N28" s="429"/>
      <c r="O28" s="227"/>
      <c r="P28" s="227"/>
    </row>
    <row r="31" spans="3:17">
      <c r="F31" s="336"/>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19" zoomScale="90" zoomScaleNormal="90" zoomScaleSheetLayoutView="100" workbookViewId="0">
      <selection activeCell="F22" sqref="F22:L26"/>
    </sheetView>
  </sheetViews>
  <sheetFormatPr defaultColWidth="8.90625" defaultRowHeight="14.4"/>
  <cols>
    <col min="1" max="1" width="61.81640625" style="251" customWidth="1"/>
    <col min="2" max="2" width="7.90625" style="251" customWidth="1"/>
    <col min="3" max="3" width="13.54296875" style="251" customWidth="1"/>
    <col min="4" max="5" width="8.90625" style="251"/>
    <col min="6" max="6" width="11.26953125" style="251" bestFit="1" customWidth="1"/>
    <col min="7" max="7" width="8.90625" style="286"/>
    <col min="8" max="16384" width="8.90625" style="251"/>
  </cols>
  <sheetData>
    <row r="1" spans="1:7" ht="23.4">
      <c r="A1" s="241" t="str">
        <f>'Capital Structure'!C5</f>
        <v>Marshall (Minnesota) Municipal Utilities</v>
      </c>
      <c r="B1" s="243"/>
      <c r="C1" s="237"/>
      <c r="D1" s="237"/>
    </row>
    <row r="2" spans="1:7" ht="23.4">
      <c r="A2" s="241" t="str">
        <f>'Capital Structure'!F7</f>
        <v>12 Months Ended December 31,</v>
      </c>
      <c r="B2" s="242">
        <f>'Capital Structure'!G7</f>
        <v>2016</v>
      </c>
      <c r="C2" s="237"/>
      <c r="D2" s="237"/>
    </row>
    <row r="4" spans="1:7" ht="15.6">
      <c r="A4" s="252" t="s">
        <v>557</v>
      </c>
      <c r="C4" s="252" t="s">
        <v>7</v>
      </c>
      <c r="D4" s="264"/>
    </row>
    <row r="5" spans="1:7" ht="15.6">
      <c r="A5" s="253" t="s">
        <v>440</v>
      </c>
      <c r="B5" s="254"/>
      <c r="C5" s="264"/>
      <c r="D5" s="264"/>
      <c r="G5" s="329"/>
    </row>
    <row r="6" spans="1:7" ht="15.6">
      <c r="A6" s="255" t="s">
        <v>558</v>
      </c>
      <c r="B6" s="254"/>
      <c r="C6" s="263">
        <f>10530+127208</f>
        <v>137738</v>
      </c>
      <c r="D6" s="264"/>
    </row>
    <row r="7" spans="1:7" ht="15.6">
      <c r="A7" s="255" t="s">
        <v>559</v>
      </c>
      <c r="B7" s="254"/>
      <c r="C7" s="315"/>
      <c r="D7" s="264"/>
    </row>
    <row r="8" spans="1:7" ht="15.6">
      <c r="A8" s="255" t="s">
        <v>560</v>
      </c>
      <c r="B8" s="254"/>
      <c r="C8" s="315">
        <v>0</v>
      </c>
      <c r="D8" s="264" t="s">
        <v>561</v>
      </c>
    </row>
    <row r="9" spans="1:7" ht="15.6">
      <c r="A9" s="255" t="s">
        <v>562</v>
      </c>
      <c r="B9" s="254"/>
      <c r="C9" s="315">
        <v>0</v>
      </c>
      <c r="D9" s="264" t="s">
        <v>561</v>
      </c>
    </row>
    <row r="10" spans="1:7" ht="15.6">
      <c r="A10" s="255" t="s">
        <v>563</v>
      </c>
      <c r="B10" s="254"/>
      <c r="C10" s="315">
        <v>0</v>
      </c>
      <c r="D10" s="264" t="s">
        <v>561</v>
      </c>
    </row>
    <row r="11" spans="1:7" ht="15.6">
      <c r="A11" s="255" t="s">
        <v>564</v>
      </c>
      <c r="B11" s="254"/>
      <c r="C11" s="315">
        <v>0</v>
      </c>
      <c r="D11" s="264" t="s">
        <v>565</v>
      </c>
    </row>
    <row r="12" spans="1:7" ht="15.6">
      <c r="A12" s="255" t="s">
        <v>566</v>
      </c>
      <c r="B12" s="254"/>
      <c r="C12" s="315">
        <v>0</v>
      </c>
      <c r="D12" s="264"/>
    </row>
    <row r="13" spans="1:7" ht="15.6">
      <c r="A13" s="255" t="s">
        <v>567</v>
      </c>
      <c r="B13" s="254"/>
      <c r="C13" s="315">
        <v>0</v>
      </c>
      <c r="D13" s="264"/>
    </row>
    <row r="14" spans="1:7" ht="15.6">
      <c r="A14" s="255" t="s">
        <v>568</v>
      </c>
      <c r="B14" s="254"/>
      <c r="C14" s="315">
        <v>0</v>
      </c>
      <c r="D14" s="264"/>
    </row>
    <row r="15" spans="1:7" ht="15.6">
      <c r="A15" s="255" t="s">
        <v>569</v>
      </c>
      <c r="B15" s="254"/>
      <c r="C15" s="315">
        <v>0</v>
      </c>
      <c r="D15" s="264" t="s">
        <v>565</v>
      </c>
    </row>
    <row r="16" spans="1:7" ht="15.6">
      <c r="A16" s="255" t="s">
        <v>570</v>
      </c>
      <c r="B16" s="254"/>
      <c r="C16" s="315">
        <v>0</v>
      </c>
      <c r="D16" s="264"/>
    </row>
    <row r="17" spans="1:12" ht="15.6">
      <c r="A17" s="255" t="s">
        <v>571</v>
      </c>
      <c r="B17" s="254"/>
      <c r="C17" s="315">
        <v>0</v>
      </c>
      <c r="D17" s="264"/>
    </row>
    <row r="18" spans="1:12" ht="15.6">
      <c r="A18" s="255" t="s">
        <v>572</v>
      </c>
      <c r="B18" s="254"/>
      <c r="C18" s="315">
        <v>0</v>
      </c>
      <c r="D18" s="264"/>
    </row>
    <row r="19" spans="1:12" ht="15.6">
      <c r="A19" s="255" t="s">
        <v>573</v>
      </c>
      <c r="B19" s="254"/>
      <c r="C19" s="269">
        <f>6443652</f>
        <v>6443652</v>
      </c>
      <c r="D19" s="264" t="s">
        <v>574</v>
      </c>
      <c r="G19" s="616"/>
      <c r="H19" s="259"/>
      <c r="I19" s="259"/>
      <c r="J19" s="259"/>
      <c r="K19" s="259"/>
      <c r="L19" s="259"/>
    </row>
    <row r="20" spans="1:12" ht="15.6">
      <c r="A20" s="255" t="s">
        <v>575</v>
      </c>
      <c r="B20" s="254"/>
      <c r="C20" s="315">
        <v>0</v>
      </c>
      <c r="D20" s="264"/>
      <c r="G20" s="617"/>
      <c r="H20" s="259"/>
      <c r="I20" s="259"/>
      <c r="J20" s="259"/>
      <c r="K20" s="259"/>
      <c r="L20" s="259"/>
    </row>
    <row r="21" spans="1:12" ht="15" customHeight="1" thickBot="1">
      <c r="A21" s="255" t="s">
        <v>576</v>
      </c>
      <c r="B21" s="254"/>
      <c r="C21" s="316">
        <v>0</v>
      </c>
      <c r="D21" s="264"/>
    </row>
    <row r="22" spans="1:12" ht="15" customHeight="1">
      <c r="A22" s="258" t="s">
        <v>691</v>
      </c>
      <c r="B22" s="254"/>
      <c r="C22" s="315">
        <f>SUM(C6:C21)</f>
        <v>6581390</v>
      </c>
      <c r="D22" s="264"/>
      <c r="F22" s="617"/>
      <c r="G22" s="623"/>
      <c r="H22" s="259"/>
      <c r="I22" s="259"/>
      <c r="J22" s="259"/>
      <c r="K22" s="259"/>
      <c r="L22" s="259"/>
    </row>
    <row r="23" spans="1:12" ht="15.6">
      <c r="A23" s="253" t="s">
        <v>441</v>
      </c>
      <c r="B23" s="254"/>
      <c r="C23" s="315"/>
      <c r="D23" s="264"/>
      <c r="F23" s="617"/>
      <c r="G23" s="616"/>
      <c r="H23" s="259"/>
      <c r="I23" s="259"/>
      <c r="J23" s="259"/>
      <c r="K23" s="259"/>
      <c r="L23" s="259"/>
    </row>
    <row r="24" spans="1:12" ht="15.6">
      <c r="A24" s="255" t="s">
        <v>577</v>
      </c>
      <c r="B24" s="254"/>
      <c r="C24" s="315">
        <f>19846+17132</f>
        <v>36978</v>
      </c>
      <c r="D24" s="264"/>
      <c r="F24" s="259"/>
      <c r="G24" s="617"/>
      <c r="H24" s="259"/>
      <c r="I24" s="259"/>
      <c r="J24" s="259"/>
      <c r="K24" s="259"/>
      <c r="L24" s="259"/>
    </row>
    <row r="25" spans="1:12" ht="15.6">
      <c r="A25" s="255" t="s">
        <v>578</v>
      </c>
      <c r="B25" s="254"/>
      <c r="C25" s="315">
        <v>0</v>
      </c>
      <c r="D25" s="264"/>
      <c r="F25" s="259"/>
      <c r="G25" s="617"/>
      <c r="H25" s="259"/>
      <c r="I25" s="259"/>
      <c r="J25" s="259"/>
      <c r="K25" s="259"/>
      <c r="L25" s="259"/>
    </row>
    <row r="26" spans="1:12" ht="15.6">
      <c r="A26" s="255" t="s">
        <v>579</v>
      </c>
      <c r="B26" s="254"/>
      <c r="C26" s="315">
        <v>0</v>
      </c>
      <c r="D26" s="264"/>
      <c r="F26" s="259"/>
      <c r="G26" s="617"/>
      <c r="H26" s="259"/>
      <c r="I26" s="259"/>
      <c r="J26" s="259"/>
      <c r="K26" s="259"/>
      <c r="L26" s="259"/>
    </row>
    <row r="27" spans="1:12" ht="15.6">
      <c r="A27" s="255" t="s">
        <v>580</v>
      </c>
      <c r="B27" s="254"/>
      <c r="C27" s="315">
        <v>0</v>
      </c>
      <c r="D27" s="264"/>
    </row>
    <row r="28" spans="1:12" ht="15.6">
      <c r="A28" s="255" t="s">
        <v>581</v>
      </c>
      <c r="B28" s="254"/>
      <c r="C28" s="315">
        <v>0</v>
      </c>
      <c r="D28" s="264"/>
    </row>
    <row r="29" spans="1:12" ht="15.6">
      <c r="A29" s="255" t="s">
        <v>582</v>
      </c>
      <c r="B29" s="254"/>
      <c r="C29" s="315">
        <v>0</v>
      </c>
      <c r="D29" s="264"/>
    </row>
    <row r="30" spans="1:12" ht="15.6">
      <c r="A30" s="255" t="s">
        <v>583</v>
      </c>
      <c r="B30" s="254"/>
      <c r="C30" s="315">
        <f>64342+12552+4181</f>
        <v>81075</v>
      </c>
      <c r="D30" s="264"/>
    </row>
    <row r="31" spans="1:12" ht="15.6">
      <c r="A31" s="255" t="s">
        <v>584</v>
      </c>
      <c r="B31" s="254"/>
      <c r="C31" s="315">
        <f>41655+4694</f>
        <v>46349</v>
      </c>
      <c r="D31" s="264"/>
    </row>
    <row r="32" spans="1:12" ht="15.6">
      <c r="A32" s="255" t="s">
        <v>585</v>
      </c>
      <c r="B32" s="254"/>
      <c r="C32" s="315">
        <v>0</v>
      </c>
      <c r="D32" s="264"/>
    </row>
    <row r="33" spans="1:8" ht="17.399999999999999">
      <c r="A33" s="255" t="s">
        <v>586</v>
      </c>
      <c r="B33" s="254"/>
      <c r="C33" s="317">
        <f>1982+23900+13452+60953+2806</f>
        <v>103093</v>
      </c>
      <c r="D33" s="264"/>
    </row>
    <row r="34" spans="1:8" ht="17.399999999999999">
      <c r="A34" s="258" t="s">
        <v>692</v>
      </c>
      <c r="B34" s="254"/>
      <c r="C34" s="317">
        <f>SUM(C24:C33)</f>
        <v>267495</v>
      </c>
      <c r="D34" s="264"/>
      <c r="H34" s="328"/>
    </row>
    <row r="35" spans="1:8" ht="17.399999999999999">
      <c r="A35" s="255"/>
      <c r="B35" s="254"/>
      <c r="C35" s="317"/>
      <c r="D35" s="264"/>
    </row>
    <row r="36" spans="1:8" ht="15.6">
      <c r="C36" s="318"/>
      <c r="D36" s="264"/>
    </row>
    <row r="37" spans="1:8" ht="15.6">
      <c r="A37" s="255" t="s">
        <v>607</v>
      </c>
      <c r="C37" s="319">
        <f>C22+C34</f>
        <v>6848885</v>
      </c>
      <c r="D37" s="264" t="s">
        <v>587</v>
      </c>
    </row>
    <row r="38" spans="1:8" ht="15.6">
      <c r="C38" s="266"/>
      <c r="D38" s="264"/>
    </row>
    <row r="39" spans="1:8" ht="15.6">
      <c r="B39" s="259"/>
      <c r="C39" s="265"/>
      <c r="D39" s="266"/>
    </row>
    <row r="40" spans="1:8" ht="15.6">
      <c r="A40" s="234"/>
      <c r="C40" s="264"/>
      <c r="D40" s="264"/>
    </row>
    <row r="41" spans="1:8">
      <c r="A41" s="260"/>
    </row>
    <row r="42" spans="1:8">
      <c r="A42" s="260"/>
    </row>
    <row r="43" spans="1:8">
      <c r="A43" s="260"/>
    </row>
    <row r="44" spans="1:8">
      <c r="A44" s="261"/>
    </row>
    <row r="45" spans="1:8">
      <c r="A45" s="260"/>
    </row>
    <row r="46" spans="1:8">
      <c r="A46" s="261"/>
    </row>
    <row r="47" spans="1:8">
      <c r="A47" s="260"/>
    </row>
    <row r="48" spans="1:8" ht="15.6">
      <c r="A48" s="255"/>
    </row>
    <row r="49" spans="1:1" ht="15.6">
      <c r="A49" s="255"/>
    </row>
    <row r="50" spans="1:1" ht="15.6">
      <c r="A50" s="262"/>
    </row>
    <row r="51" spans="1:1" ht="15.6">
      <c r="A51" s="255"/>
    </row>
    <row r="52" spans="1:1" ht="15.6">
      <c r="A52" s="255"/>
    </row>
    <row r="53" spans="1:1" ht="15.6">
      <c r="A53" s="255"/>
    </row>
    <row r="54" spans="1:1" ht="15.6">
      <c r="A54" s="255"/>
    </row>
    <row r="55" spans="1:1" ht="15.6">
      <c r="A55" s="262"/>
    </row>
    <row r="56" spans="1:1" ht="15.6">
      <c r="A56" s="255"/>
    </row>
    <row r="57" spans="1:1" ht="15.6">
      <c r="A57" s="255"/>
    </row>
    <row r="58" spans="1:1" ht="15.6">
      <c r="A58" s="255"/>
    </row>
    <row r="59" spans="1:1" ht="15.6">
      <c r="A59" s="255"/>
    </row>
    <row r="60" spans="1:1" ht="15.6">
      <c r="A60" s="262"/>
    </row>
    <row r="61" spans="1:1" ht="15.6">
      <c r="A61" s="255"/>
    </row>
    <row r="62" spans="1:1" ht="15.6">
      <c r="A62" s="255"/>
    </row>
    <row r="63" spans="1:1" ht="15.6">
      <c r="A63" s="255"/>
    </row>
    <row r="64" spans="1:1" ht="15.6">
      <c r="A64" s="255"/>
    </row>
    <row r="65" spans="1:1" ht="15.6">
      <c r="A65" s="255"/>
    </row>
    <row r="66" spans="1:1" ht="15.6">
      <c r="A66" s="255"/>
    </row>
    <row r="67" spans="1:1" ht="15.6">
      <c r="A67" s="255"/>
    </row>
    <row r="68" spans="1:1" ht="15.6">
      <c r="A68" s="255"/>
    </row>
    <row r="69" spans="1:1" ht="15.6">
      <c r="A69" s="255"/>
    </row>
    <row r="70" spans="1:1" ht="15.6">
      <c r="A70" s="255"/>
    </row>
    <row r="71" spans="1:1" ht="15.6">
      <c r="A71" s="255"/>
    </row>
    <row r="72" spans="1:1" ht="15.6">
      <c r="A72" s="255"/>
    </row>
    <row r="73" spans="1:1" ht="15.6">
      <c r="A73" s="255"/>
    </row>
    <row r="74" spans="1:1" ht="15.6">
      <c r="A74" s="255"/>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zoomScale="90" zoomScaleNormal="90" zoomScaleSheetLayoutView="100" workbookViewId="0">
      <selection activeCell="D46" sqref="D46"/>
    </sheetView>
  </sheetViews>
  <sheetFormatPr defaultColWidth="8.90625" defaultRowHeight="15.6"/>
  <cols>
    <col min="1" max="1" width="54.90625" style="251" customWidth="1"/>
    <col min="2" max="2" width="10.36328125" style="251" customWidth="1"/>
    <col min="3" max="3" width="13.1796875" style="264" customWidth="1"/>
    <col min="4" max="16384" width="8.90625" style="251"/>
  </cols>
  <sheetData>
    <row r="2" spans="1:5" ht="23.4">
      <c r="A2" s="287" t="str">
        <f>'Transmission O&amp;M'!A1</f>
        <v>Marshall (Minnesota) Municipal Utilities</v>
      </c>
      <c r="B2" s="243"/>
      <c r="C2" s="268"/>
      <c r="D2" s="237"/>
    </row>
    <row r="3" spans="1:5" ht="21">
      <c r="A3" s="287" t="str">
        <f>'Transmission O&amp;M'!A2</f>
        <v>12 Months Ended December 31,</v>
      </c>
      <c r="B3" s="288">
        <f>'Transmission O&amp;M'!B2</f>
        <v>2016</v>
      </c>
      <c r="C3" s="268"/>
      <c r="D3" s="237"/>
    </row>
    <row r="4" spans="1:5" ht="18">
      <c r="A4" s="208"/>
    </row>
    <row r="5" spans="1:5" ht="18">
      <c r="A5" s="208"/>
    </row>
    <row r="6" spans="1:5">
      <c r="A6" s="252" t="s">
        <v>706</v>
      </c>
      <c r="C6" s="252" t="s">
        <v>7</v>
      </c>
    </row>
    <row r="7" spans="1:5">
      <c r="A7" s="252"/>
      <c r="D7" s="233"/>
    </row>
    <row r="8" spans="1:5">
      <c r="A8" s="262" t="s">
        <v>608</v>
      </c>
      <c r="B8" s="254"/>
      <c r="C8" s="256"/>
    </row>
    <row r="9" spans="1:5">
      <c r="A9" s="255" t="s">
        <v>609</v>
      </c>
      <c r="B9" s="254"/>
      <c r="C9" s="277">
        <v>0</v>
      </c>
    </row>
    <row r="10" spans="1:5">
      <c r="A10" s="255" t="s">
        <v>610</v>
      </c>
      <c r="B10" s="254"/>
      <c r="C10" s="274">
        <v>40201</v>
      </c>
    </row>
    <row r="11" spans="1:5">
      <c r="A11" s="255" t="s">
        <v>611</v>
      </c>
      <c r="B11" s="254"/>
      <c r="C11" s="274">
        <f>194460</f>
        <v>194460</v>
      </c>
    </row>
    <row r="12" spans="1:5">
      <c r="A12" s="255" t="s">
        <v>612</v>
      </c>
      <c r="B12" s="254"/>
      <c r="C12" s="322">
        <f>36249</f>
        <v>36249</v>
      </c>
      <c r="E12" s="338"/>
    </row>
    <row r="13" spans="1:5" ht="17.399999999999999">
      <c r="A13" s="255" t="s">
        <v>613</v>
      </c>
      <c r="B13" s="254"/>
      <c r="C13" s="275">
        <v>0</v>
      </c>
    </row>
    <row r="14" spans="1:5">
      <c r="A14" s="267" t="s">
        <v>614</v>
      </c>
      <c r="B14" s="254"/>
      <c r="C14" s="276">
        <f>SUM(C10:C13)</f>
        <v>270910</v>
      </c>
      <c r="D14" s="251" t="s">
        <v>615</v>
      </c>
    </row>
    <row r="15" spans="1:5">
      <c r="A15" s="255"/>
      <c r="B15" s="254"/>
      <c r="C15" s="257"/>
    </row>
    <row r="16" spans="1:5">
      <c r="A16" s="262" t="s">
        <v>616</v>
      </c>
      <c r="B16" s="254"/>
      <c r="C16" s="257"/>
    </row>
    <row r="17" spans="1:6">
      <c r="A17" s="255" t="s">
        <v>617</v>
      </c>
      <c r="B17" s="254"/>
      <c r="C17" s="277">
        <v>0</v>
      </c>
    </row>
    <row r="18" spans="1:6">
      <c r="A18" s="255" t="s">
        <v>618</v>
      </c>
      <c r="B18" s="254"/>
      <c r="C18" s="274">
        <f>531179-9783+86037</f>
        <v>607433</v>
      </c>
      <c r="F18" s="338" t="s">
        <v>721</v>
      </c>
    </row>
    <row r="19" spans="1:6">
      <c r="A19" s="255" t="s">
        <v>619</v>
      </c>
      <c r="B19" s="254"/>
      <c r="C19" s="274">
        <v>0</v>
      </c>
    </row>
    <row r="20" spans="1:6" ht="17.399999999999999">
      <c r="A20" s="255" t="s">
        <v>620</v>
      </c>
      <c r="B20" s="254"/>
      <c r="C20" s="275">
        <f>35747+29873+77880+25682+119883</f>
        <v>289065</v>
      </c>
    </row>
    <row r="21" spans="1:6">
      <c r="A21" s="267" t="s">
        <v>621</v>
      </c>
      <c r="B21" s="254"/>
      <c r="C21" s="276">
        <f>SUM(C17:C20)</f>
        <v>896498</v>
      </c>
      <c r="D21" s="328" t="s">
        <v>713</v>
      </c>
    </row>
    <row r="22" spans="1:6" ht="18" customHeight="1">
      <c r="A22" s="255"/>
      <c r="B22" s="254"/>
      <c r="C22" s="257"/>
    </row>
    <row r="23" spans="1:6">
      <c r="A23" s="262" t="s">
        <v>622</v>
      </c>
      <c r="B23" s="254"/>
      <c r="C23" s="257"/>
    </row>
    <row r="24" spans="1:6">
      <c r="A24" s="255" t="s">
        <v>623</v>
      </c>
      <c r="B24" s="254"/>
      <c r="C24" s="277">
        <v>0</v>
      </c>
    </row>
    <row r="25" spans="1:6">
      <c r="A25" s="255" t="s">
        <v>624</v>
      </c>
      <c r="B25" s="254"/>
      <c r="C25" s="274">
        <v>0</v>
      </c>
    </row>
    <row r="26" spans="1:6">
      <c r="A26" s="255" t="s">
        <v>625</v>
      </c>
      <c r="B26" s="254"/>
      <c r="C26" s="274">
        <v>9783</v>
      </c>
    </row>
    <row r="27" spans="1:6" ht="17.399999999999999">
      <c r="A27" s="255" t="s">
        <v>626</v>
      </c>
      <c r="B27" s="254"/>
      <c r="C27" s="275">
        <v>0</v>
      </c>
    </row>
    <row r="28" spans="1:6">
      <c r="A28" s="262" t="s">
        <v>622</v>
      </c>
      <c r="B28" s="254"/>
      <c r="C28" s="276">
        <f>SUM(C24:C27)</f>
        <v>9783</v>
      </c>
      <c r="D28" s="251" t="s">
        <v>698</v>
      </c>
    </row>
    <row r="29" spans="1:6">
      <c r="A29" s="255"/>
      <c r="B29" s="254"/>
      <c r="C29" s="257"/>
    </row>
    <row r="30" spans="1:6">
      <c r="A30" s="262" t="s">
        <v>602</v>
      </c>
      <c r="B30" s="254"/>
      <c r="C30" s="257"/>
    </row>
    <row r="31" spans="1:6">
      <c r="A31" s="255" t="s">
        <v>588</v>
      </c>
      <c r="B31" s="254"/>
      <c r="C31" s="277">
        <f>267494+146291</f>
        <v>413785</v>
      </c>
    </row>
    <row r="32" spans="1:6">
      <c r="A32" s="255" t="s">
        <v>589</v>
      </c>
      <c r="B32" s="254"/>
      <c r="C32" s="270">
        <v>22161</v>
      </c>
    </row>
    <row r="33" spans="1:4">
      <c r="A33" s="255" t="s">
        <v>590</v>
      </c>
      <c r="B33" s="254"/>
      <c r="C33" s="270">
        <v>0</v>
      </c>
    </row>
    <row r="34" spans="1:4">
      <c r="A34" s="255" t="s">
        <v>591</v>
      </c>
      <c r="B34" s="254"/>
      <c r="C34" s="270">
        <v>53186</v>
      </c>
    </row>
    <row r="35" spans="1:4">
      <c r="A35" s="255" t="s">
        <v>592</v>
      </c>
      <c r="B35" s="254"/>
      <c r="C35" s="270">
        <v>12073</v>
      </c>
    </row>
    <row r="36" spans="1:4">
      <c r="A36" s="255" t="s">
        <v>593</v>
      </c>
      <c r="B36" s="254"/>
      <c r="C36" s="270">
        <v>0</v>
      </c>
    </row>
    <row r="37" spans="1:4">
      <c r="A37" s="255" t="s">
        <v>594</v>
      </c>
      <c r="B37" s="254"/>
      <c r="C37" s="270">
        <f>172324+8160+349</f>
        <v>180833</v>
      </c>
    </row>
    <row r="38" spans="1:4">
      <c r="A38" s="255" t="s">
        <v>595</v>
      </c>
      <c r="B38" s="254"/>
      <c r="C38" s="270">
        <v>0</v>
      </c>
    </row>
    <row r="39" spans="1:4">
      <c r="A39" s="255" t="s">
        <v>596</v>
      </c>
      <c r="B39" s="254"/>
      <c r="C39" s="270">
        <v>10029</v>
      </c>
    </row>
    <row r="40" spans="1:4">
      <c r="A40" s="255" t="s">
        <v>597</v>
      </c>
      <c r="B40" s="254"/>
      <c r="C40" s="270">
        <v>0</v>
      </c>
    </row>
    <row r="41" spans="1:4">
      <c r="A41" s="255" t="s">
        <v>598</v>
      </c>
      <c r="B41" s="254"/>
      <c r="C41" s="271">
        <v>6641</v>
      </c>
    </row>
    <row r="42" spans="1:4">
      <c r="A42" s="255" t="s">
        <v>599</v>
      </c>
      <c r="C42" s="271">
        <f>5683+162573</f>
        <v>168256</v>
      </c>
    </row>
    <row r="43" spans="1:4">
      <c r="A43" s="255" t="s">
        <v>600</v>
      </c>
      <c r="C43" s="272">
        <v>0</v>
      </c>
    </row>
    <row r="44" spans="1:4">
      <c r="A44" s="255" t="s">
        <v>601</v>
      </c>
      <c r="C44" s="273">
        <f>67836+40132</f>
        <v>107968</v>
      </c>
    </row>
    <row r="45" spans="1:4">
      <c r="A45" s="262" t="s">
        <v>602</v>
      </c>
      <c r="C45" s="320">
        <f>SUM(C31:C44)</f>
        <v>974932</v>
      </c>
      <c r="D45" s="469" t="s">
        <v>745</v>
      </c>
    </row>
    <row r="48" spans="1:4">
      <c r="A48" s="262"/>
    </row>
    <row r="49" spans="1:1">
      <c r="A49" s="255"/>
    </row>
    <row r="50" spans="1:1">
      <c r="A50" s="255"/>
    </row>
    <row r="51" spans="1:1">
      <c r="A51" s="255"/>
    </row>
    <row r="52" spans="1:1">
      <c r="A52" s="255"/>
    </row>
    <row r="53" spans="1:1">
      <c r="A53" s="262"/>
    </row>
    <row r="54" spans="1:1">
      <c r="A54" s="255"/>
    </row>
    <row r="55" spans="1:1">
      <c r="A55" s="255"/>
    </row>
    <row r="56" spans="1:1">
      <c r="A56" s="255"/>
    </row>
    <row r="57" spans="1:1">
      <c r="A57" s="255"/>
    </row>
    <row r="58" spans="1:1">
      <c r="A58" s="262"/>
    </row>
    <row r="59" spans="1:1">
      <c r="A59" s="255"/>
    </row>
    <row r="60" spans="1:1">
      <c r="A60" s="255"/>
    </row>
    <row r="61" spans="1:1">
      <c r="A61" s="255"/>
    </row>
    <row r="62" spans="1:1">
      <c r="A62" s="255"/>
    </row>
    <row r="63" spans="1:1">
      <c r="A63" s="255"/>
    </row>
    <row r="64" spans="1:1">
      <c r="A64" s="255"/>
    </row>
    <row r="65" spans="1:1">
      <c r="A65" s="255"/>
    </row>
    <row r="66" spans="1:1">
      <c r="A66" s="255"/>
    </row>
    <row r="67" spans="1:1">
      <c r="A67" s="255"/>
    </row>
    <row r="68" spans="1:1">
      <c r="A68" s="255"/>
    </row>
    <row r="69" spans="1:1">
      <c r="A69" s="255"/>
    </row>
    <row r="70" spans="1:1">
      <c r="A70" s="255"/>
    </row>
    <row r="71" spans="1:1">
      <c r="A71" s="255"/>
    </row>
    <row r="72" spans="1:1">
      <c r="A72" s="255"/>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Normal="100" zoomScaleSheetLayoutView="100" workbookViewId="0">
      <selection activeCell="A16" sqref="A16"/>
    </sheetView>
  </sheetViews>
  <sheetFormatPr defaultColWidth="8.90625" defaultRowHeight="14.4"/>
  <cols>
    <col min="1" max="1" width="56.08984375" style="251" bestFit="1" customWidth="1"/>
    <col min="2" max="3" width="11.36328125" style="251" customWidth="1"/>
    <col min="4" max="16384" width="8.90625" style="251"/>
  </cols>
  <sheetData>
    <row r="1" spans="1:7" ht="18">
      <c r="A1" s="239" t="str">
        <f>'Admin &amp; General'!A2</f>
        <v>Marshall (Minnesota) Municipal Utilities</v>
      </c>
      <c r="B1" s="240"/>
      <c r="C1" s="254"/>
      <c r="D1" s="254"/>
      <c r="E1" s="254"/>
      <c r="F1" s="254"/>
      <c r="G1" s="254"/>
    </row>
    <row r="2" spans="1:7" ht="18">
      <c r="A2" s="239" t="str">
        <f>'Admin &amp; General'!A3</f>
        <v>12 Months Ended December 31,</v>
      </c>
      <c r="B2" s="238">
        <f>'Admin &amp; General'!B3</f>
        <v>2016</v>
      </c>
      <c r="C2" s="254"/>
      <c r="D2" s="254"/>
      <c r="E2" s="254"/>
      <c r="F2" s="254"/>
      <c r="G2" s="254"/>
    </row>
    <row r="4" spans="1:7" ht="18">
      <c r="A4" s="208" t="s">
        <v>627</v>
      </c>
      <c r="B4" s="234"/>
      <c r="C4" s="234"/>
      <c r="D4" s="234"/>
    </row>
    <row r="6" spans="1:7">
      <c r="A6" s="672"/>
      <c r="B6" s="672" t="s">
        <v>628</v>
      </c>
      <c r="C6" s="259"/>
      <c r="D6" s="672"/>
      <c r="E6" s="259"/>
      <c r="F6" s="259"/>
    </row>
    <row r="7" spans="1:7">
      <c r="A7" s="673" t="s">
        <v>629</v>
      </c>
      <c r="B7" s="673" t="s">
        <v>630</v>
      </c>
      <c r="C7" s="673" t="s">
        <v>7</v>
      </c>
      <c r="D7" s="259"/>
      <c r="E7" s="259"/>
      <c r="F7" s="259"/>
    </row>
    <row r="8" spans="1:7">
      <c r="A8" s="259"/>
      <c r="B8" s="259"/>
      <c r="C8" s="259"/>
      <c r="D8" s="259"/>
      <c r="E8" s="259"/>
      <c r="F8" s="259"/>
    </row>
    <row r="9" spans="1:7" ht="15.6">
      <c r="A9" s="674" t="s">
        <v>631</v>
      </c>
      <c r="B9" s="675">
        <v>0</v>
      </c>
      <c r="C9" s="321">
        <v>0</v>
      </c>
      <c r="D9" s="259"/>
      <c r="E9" s="259"/>
      <c r="F9" s="259"/>
    </row>
    <row r="10" spans="1:7" ht="15.6">
      <c r="A10" s="674" t="s">
        <v>632</v>
      </c>
      <c r="B10" s="675">
        <v>0</v>
      </c>
      <c r="C10" s="676">
        <v>0</v>
      </c>
      <c r="D10" s="259"/>
      <c r="E10" s="259"/>
      <c r="F10" s="259"/>
    </row>
    <row r="11" spans="1:7" ht="16.2">
      <c r="A11" s="674" t="s">
        <v>633</v>
      </c>
      <c r="B11" s="677">
        <v>0</v>
      </c>
      <c r="C11" s="678">
        <v>0</v>
      </c>
      <c r="D11" s="259"/>
      <c r="E11" s="259"/>
      <c r="F11" s="259"/>
    </row>
    <row r="12" spans="1:7">
      <c r="A12" s="259"/>
      <c r="B12" s="259"/>
      <c r="C12" s="259"/>
      <c r="D12" s="259"/>
      <c r="E12" s="259"/>
      <c r="F12" s="259"/>
    </row>
    <row r="13" spans="1:7">
      <c r="A13" s="674" t="s">
        <v>9</v>
      </c>
      <c r="B13" s="617">
        <f>SUM(B9:B12)</f>
        <v>0</v>
      </c>
      <c r="C13" s="679">
        <f>SUM(C9:C12)</f>
        <v>0</v>
      </c>
      <c r="D13" s="259"/>
      <c r="E13" s="259"/>
      <c r="F13" s="259"/>
    </row>
    <row r="14" spans="1:7">
      <c r="A14" s="259"/>
      <c r="B14" s="259"/>
      <c r="C14" s="259"/>
      <c r="D14" s="259"/>
      <c r="E14" s="259"/>
      <c r="F14" s="259"/>
    </row>
    <row r="15" spans="1:7">
      <c r="A15" s="680" t="s">
        <v>774</v>
      </c>
      <c r="B15" s="259"/>
      <c r="C15" s="259"/>
      <c r="D15" s="259"/>
      <c r="E15" s="259"/>
      <c r="F15" s="259"/>
    </row>
    <row r="16" spans="1:7">
      <c r="A16" s="681" t="s">
        <v>775</v>
      </c>
      <c r="B16" s="259"/>
      <c r="C16" s="259"/>
      <c r="D16" s="259"/>
      <c r="E16" s="259"/>
      <c r="F16" s="259"/>
    </row>
    <row r="17" spans="1:6">
      <c r="A17" s="682"/>
      <c r="B17" s="259"/>
      <c r="C17" s="259"/>
      <c r="D17" s="259"/>
      <c r="E17" s="259"/>
      <c r="F17" s="259"/>
    </row>
    <row r="18" spans="1:6">
      <c r="A18" s="259"/>
      <c r="B18" s="259"/>
      <c r="C18" s="259"/>
      <c r="D18" s="259"/>
      <c r="E18" s="259"/>
      <c r="F18" s="259"/>
    </row>
    <row r="19" spans="1:6">
      <c r="A19" s="259"/>
      <c r="B19" s="259"/>
      <c r="C19" s="259"/>
      <c r="D19" s="259"/>
      <c r="E19" s="259"/>
      <c r="F19" s="259"/>
    </row>
    <row r="20" spans="1:6">
      <c r="A20" s="259"/>
      <c r="B20" s="259"/>
      <c r="C20" s="259"/>
      <c r="D20" s="259"/>
      <c r="E20" s="259"/>
      <c r="F20" s="259"/>
    </row>
    <row r="21" spans="1:6">
      <c r="A21" s="259"/>
      <c r="B21" s="259"/>
      <c r="C21" s="259"/>
      <c r="D21" s="259"/>
      <c r="E21" s="259"/>
      <c r="F21" s="259"/>
    </row>
    <row r="22" spans="1:6">
      <c r="A22" s="259"/>
      <c r="B22" s="259"/>
      <c r="C22" s="259"/>
      <c r="D22" s="259"/>
      <c r="E22" s="259"/>
      <c r="F22" s="259"/>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zoomScaleSheetLayoutView="100" workbookViewId="0">
      <selection activeCell="F37" sqref="F37"/>
    </sheetView>
  </sheetViews>
  <sheetFormatPr defaultColWidth="8.90625" defaultRowHeight="14.4"/>
  <cols>
    <col min="1" max="1" width="47.81640625" style="251" customWidth="1"/>
    <col min="2" max="2" width="12.453125" style="251" customWidth="1"/>
    <col min="3" max="3" width="9" style="251" bestFit="1" customWidth="1"/>
    <col min="4" max="4" width="2.1796875" style="251" customWidth="1"/>
    <col min="5" max="5" width="8.1796875" style="251" bestFit="1" customWidth="1"/>
    <col min="6" max="16384" width="8.90625" style="251"/>
  </cols>
  <sheetData>
    <row r="1" spans="1:9" ht="21">
      <c r="A1" s="667" t="str">
        <f>'FERC Fees'!A1</f>
        <v>Marshall (Minnesota) Municipal Utilities</v>
      </c>
      <c r="B1" s="667"/>
      <c r="C1" s="254"/>
      <c r="D1" s="254"/>
      <c r="E1" s="254"/>
      <c r="F1" s="254"/>
      <c r="G1" s="254"/>
      <c r="H1" s="254"/>
    </row>
    <row r="2" spans="1:9" ht="21">
      <c r="A2" s="287" t="str">
        <f>'FERC Fees'!A2</f>
        <v>12 Months Ended December 31,</v>
      </c>
      <c r="B2" s="288">
        <f>'FERC Fees'!B2</f>
        <v>2016</v>
      </c>
      <c r="C2" s="254"/>
      <c r="D2" s="254"/>
      <c r="E2" s="349"/>
      <c r="F2" s="350"/>
      <c r="G2" s="349"/>
      <c r="H2" s="349"/>
      <c r="I2" s="349"/>
    </row>
    <row r="3" spans="1:9" ht="21">
      <c r="A3" s="289"/>
      <c r="B3" s="289"/>
      <c r="E3" s="259"/>
      <c r="F3" s="259"/>
      <c r="G3" s="259"/>
      <c r="H3" s="259"/>
      <c r="I3" s="259"/>
    </row>
    <row r="4" spans="1:9" ht="21">
      <c r="A4" s="235" t="s">
        <v>634</v>
      </c>
      <c r="B4" s="235"/>
      <c r="C4" s="234"/>
      <c r="D4" s="234"/>
      <c r="E4" s="234"/>
    </row>
    <row r="7" spans="1:9" ht="15.6">
      <c r="A7" s="251" t="s">
        <v>635</v>
      </c>
      <c r="B7" s="263">
        <v>0</v>
      </c>
      <c r="C7" s="251" t="s">
        <v>636</v>
      </c>
    </row>
    <row r="8" spans="1:9">
      <c r="C8" s="251" t="s">
        <v>711</v>
      </c>
    </row>
    <row r="10" spans="1:9">
      <c r="A10" s="251" t="s">
        <v>637</v>
      </c>
    </row>
    <row r="11" spans="1:9" ht="15.6">
      <c r="A11" s="260" t="s">
        <v>699</v>
      </c>
      <c r="B11" s="263">
        <v>10029</v>
      </c>
      <c r="C11" s="245" t="s">
        <v>707</v>
      </c>
    </row>
    <row r="12" spans="1:9" ht="15.6">
      <c r="A12" s="260" t="s">
        <v>710</v>
      </c>
      <c r="B12" s="321">
        <v>0</v>
      </c>
      <c r="C12" s="245" t="s">
        <v>707</v>
      </c>
    </row>
    <row r="13" spans="1:9" ht="15.6">
      <c r="A13" s="260" t="s">
        <v>638</v>
      </c>
      <c r="B13" s="278">
        <v>0</v>
      </c>
      <c r="C13" s="251" t="s">
        <v>708</v>
      </c>
    </row>
    <row r="14" spans="1:9">
      <c r="B14" s="279">
        <f>SUM(B11:B13)</f>
        <v>10029</v>
      </c>
    </row>
    <row r="17" spans="1:6">
      <c r="A17" s="251" t="s">
        <v>639</v>
      </c>
    </row>
    <row r="18" spans="1:6" ht="15.6">
      <c r="A18" s="260" t="s">
        <v>701</v>
      </c>
      <c r="B18" s="263">
        <v>6641</v>
      </c>
      <c r="C18" s="245" t="s">
        <v>712</v>
      </c>
    </row>
    <row r="19" spans="1:6" ht="15.6">
      <c r="A19" s="260" t="s">
        <v>640</v>
      </c>
      <c r="B19" s="278">
        <v>0</v>
      </c>
      <c r="C19" s="251" t="s">
        <v>709</v>
      </c>
    </row>
    <row r="20" spans="1:6" ht="18" customHeight="1">
      <c r="B20" s="277">
        <f>SUM(B18:B19)</f>
        <v>6641</v>
      </c>
    </row>
    <row r="23" spans="1:6">
      <c r="A23" s="280" t="s">
        <v>702</v>
      </c>
      <c r="B23" s="234"/>
      <c r="C23" s="234"/>
      <c r="D23" s="234"/>
      <c r="E23" s="234"/>
      <c r="F23" s="234"/>
    </row>
    <row r="25" spans="1:6">
      <c r="A25" s="244"/>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0" zoomScaleNormal="80" zoomScaleSheetLayoutView="100" workbookViewId="0">
      <selection activeCell="G40" sqref="G40"/>
    </sheetView>
  </sheetViews>
  <sheetFormatPr defaultColWidth="8.90625" defaultRowHeight="14.4"/>
  <cols>
    <col min="1" max="1" width="35.54296875" style="251" customWidth="1"/>
    <col min="2" max="2" width="8.90625" style="251"/>
    <col min="3" max="3" width="11.1796875" style="251" customWidth="1"/>
    <col min="4" max="4" width="2.08984375" style="251" customWidth="1"/>
    <col min="5" max="16384" width="8.90625" style="251"/>
  </cols>
  <sheetData>
    <row r="1" spans="1:7" ht="24.75" customHeight="1"/>
    <row r="2" spans="1:7" ht="23.4">
      <c r="A2" s="667" t="str">
        <f>'EPRI Reg Comm Non Safety'!A1</f>
        <v>Marshall (Minnesota) Municipal Utilities</v>
      </c>
      <c r="B2" s="667"/>
      <c r="C2" s="667"/>
      <c r="D2" s="243"/>
      <c r="E2" s="243"/>
      <c r="F2" s="243"/>
    </row>
    <row r="3" spans="1:7" ht="23.4">
      <c r="A3" s="668" t="str">
        <f>'EPRI Reg Comm Non Safety'!A2</f>
        <v>12 Months Ended December 31,</v>
      </c>
      <c r="B3" s="668"/>
      <c r="C3" s="288">
        <f>+'EPRI Reg Comm Non Safety'!B2</f>
        <v>2016</v>
      </c>
      <c r="D3" s="243"/>
      <c r="E3" s="243"/>
      <c r="F3" s="243"/>
    </row>
    <row r="5" spans="1:7" ht="21">
      <c r="A5" s="235" t="s">
        <v>641</v>
      </c>
      <c r="B5" s="235"/>
    </row>
    <row r="6" spans="1:7">
      <c r="C6" s="259"/>
    </row>
    <row r="7" spans="1:7" ht="15.6">
      <c r="A7" s="264" t="s">
        <v>642</v>
      </c>
      <c r="B7" s="264"/>
      <c r="C7" s="321">
        <v>0</v>
      </c>
      <c r="D7" s="264"/>
      <c r="E7" s="264" t="s">
        <v>643</v>
      </c>
      <c r="F7" s="264"/>
      <c r="G7" s="264"/>
    </row>
    <row r="8" spans="1:7" ht="15.6">
      <c r="A8" s="264" t="s">
        <v>644</v>
      </c>
      <c r="B8" s="264"/>
      <c r="C8" s="322">
        <v>0</v>
      </c>
      <c r="D8" s="264"/>
      <c r="E8" s="264" t="s">
        <v>645</v>
      </c>
      <c r="F8" s="264"/>
      <c r="G8" s="264"/>
    </row>
    <row r="9" spans="1:7" ht="15.6">
      <c r="A9" s="264" t="s">
        <v>646</v>
      </c>
      <c r="B9" s="264"/>
      <c r="C9" s="322">
        <v>0</v>
      </c>
      <c r="D9" s="264"/>
      <c r="E9" s="264" t="s">
        <v>647</v>
      </c>
      <c r="F9" s="264"/>
      <c r="G9" s="264"/>
    </row>
    <row r="10" spans="1:7" ht="15.6">
      <c r="A10" s="264" t="s">
        <v>648</v>
      </c>
      <c r="B10" s="264"/>
      <c r="C10" s="322">
        <v>0</v>
      </c>
      <c r="D10" s="264"/>
      <c r="E10" s="264" t="s">
        <v>649</v>
      </c>
      <c r="F10" s="264"/>
      <c r="G10" s="264"/>
    </row>
    <row r="11" spans="1:7" ht="15.6">
      <c r="A11" s="281" t="s">
        <v>483</v>
      </c>
      <c r="B11" s="264"/>
      <c r="C11" s="283">
        <v>864746</v>
      </c>
      <c r="D11" s="264"/>
      <c r="E11" s="264" t="s">
        <v>650</v>
      </c>
      <c r="F11" s="264"/>
      <c r="G11" s="264"/>
    </row>
    <row r="12" spans="1:7" ht="15.6">
      <c r="A12" s="264" t="s">
        <v>651</v>
      </c>
      <c r="B12" s="264"/>
      <c r="C12" s="323">
        <v>0</v>
      </c>
      <c r="D12" s="264"/>
      <c r="E12" s="264" t="s">
        <v>652</v>
      </c>
      <c r="F12" s="264"/>
      <c r="G12" s="264"/>
    </row>
    <row r="13" spans="1:7" ht="15.6">
      <c r="A13" s="264" t="s">
        <v>9</v>
      </c>
      <c r="B13" s="264"/>
      <c r="C13" s="321">
        <f>SUM(C7:C12)</f>
        <v>864746</v>
      </c>
      <c r="D13" s="264"/>
      <c r="E13" s="264"/>
      <c r="F13" s="264"/>
      <c r="G13" s="264"/>
    </row>
    <row r="14" spans="1:7" ht="15.6">
      <c r="A14" s="264"/>
      <c r="B14" s="264"/>
      <c r="C14" s="264"/>
      <c r="D14" s="264"/>
      <c r="E14" s="264"/>
      <c r="F14" s="264"/>
      <c r="G14" s="264"/>
    </row>
    <row r="15" spans="1:7" ht="15.6">
      <c r="A15" s="264"/>
      <c r="B15" s="264"/>
      <c r="C15" s="264"/>
      <c r="D15" s="264"/>
      <c r="E15" s="264"/>
      <c r="F15" s="264"/>
      <c r="G15" s="264"/>
    </row>
    <row r="16" spans="1:7" ht="15.6">
      <c r="A16" s="264"/>
      <c r="B16" s="264"/>
      <c r="C16" s="264"/>
      <c r="D16" s="264"/>
      <c r="E16" s="264"/>
      <c r="F16" s="264"/>
      <c r="G16" s="264"/>
    </row>
    <row r="17" spans="1:7" ht="15.6">
      <c r="A17" s="264"/>
      <c r="B17" s="264"/>
      <c r="C17" s="264"/>
      <c r="D17" s="264"/>
      <c r="E17" s="264"/>
      <c r="F17" s="264"/>
      <c r="G17" s="264"/>
    </row>
    <row r="18" spans="1:7" ht="15.6">
      <c r="A18" s="264"/>
      <c r="B18" s="264"/>
      <c r="C18" s="264"/>
      <c r="D18" s="264"/>
      <c r="E18" s="264"/>
      <c r="F18" s="264"/>
      <c r="G18" s="264"/>
    </row>
    <row r="19" spans="1:7" ht="15.6">
      <c r="A19" s="264"/>
      <c r="B19" s="264"/>
      <c r="C19" s="264"/>
      <c r="D19" s="264"/>
      <c r="E19" s="264"/>
      <c r="F19" s="264"/>
      <c r="G19" s="264"/>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zoomScale="70" zoomScaleNormal="70" workbookViewId="0">
      <selection activeCell="H23" sqref="H23"/>
    </sheetView>
  </sheetViews>
  <sheetFormatPr defaultColWidth="8.90625" defaultRowHeight="15.6"/>
  <cols>
    <col min="1" max="1" width="6" style="475" customWidth="1"/>
    <col min="2" max="2" width="28.453125" style="475" customWidth="1"/>
    <col min="3" max="3" width="37.453125" style="475" customWidth="1"/>
    <col min="4" max="4" width="11.90625" style="475" customWidth="1"/>
    <col min="5" max="5" width="5.90625" style="475" customWidth="1"/>
    <col min="6" max="6" width="4.6328125" style="475" customWidth="1"/>
    <col min="7" max="7" width="8" style="475" customWidth="1"/>
    <col min="8" max="8" width="3.90625" style="475" customWidth="1"/>
    <col min="9" max="9" width="10.90625" style="475" customWidth="1"/>
    <col min="10" max="10" width="2.08984375" style="475" customWidth="1"/>
    <col min="11" max="11" width="11.1796875" style="475" customWidth="1"/>
    <col min="12" max="12" width="13.1796875" style="499" customWidth="1"/>
    <col min="13" max="13" width="12" style="499" bestFit="1" customWidth="1"/>
    <col min="14" max="14" width="16.81640625" style="475" customWidth="1"/>
    <col min="15" max="16384" width="8.90625" style="475"/>
  </cols>
  <sheetData>
    <row r="1" spans="1:16">
      <c r="B1" s="2"/>
      <c r="C1" s="2"/>
      <c r="D1" s="4"/>
      <c r="E1" s="2"/>
      <c r="F1" s="2"/>
      <c r="G1" s="2"/>
      <c r="H1" s="5"/>
      <c r="I1" s="5"/>
      <c r="K1" s="476" t="s">
        <v>183</v>
      </c>
      <c r="L1" s="597"/>
      <c r="M1" s="598"/>
      <c r="N1" s="477"/>
      <c r="O1" s="477"/>
      <c r="P1" s="5"/>
    </row>
    <row r="2" spans="1:16">
      <c r="B2" s="2"/>
      <c r="C2" s="2"/>
      <c r="D2" s="4"/>
      <c r="E2" s="2"/>
      <c r="F2" s="2"/>
      <c r="G2" s="2"/>
      <c r="H2" s="5"/>
      <c r="I2" s="5"/>
      <c r="J2" s="5"/>
      <c r="K2" s="1"/>
      <c r="L2" s="597"/>
      <c r="M2" s="598"/>
      <c r="N2" s="477"/>
      <c r="O2" s="477"/>
      <c r="P2" s="5"/>
    </row>
    <row r="3" spans="1:16">
      <c r="B3" s="2" t="s">
        <v>0</v>
      </c>
      <c r="C3" s="2"/>
      <c r="D3" s="4" t="s">
        <v>1</v>
      </c>
      <c r="E3" s="2"/>
      <c r="F3" s="2"/>
      <c r="G3" s="2"/>
      <c r="H3" s="33"/>
      <c r="I3" s="478"/>
      <c r="J3" s="33"/>
      <c r="K3" s="6" t="s">
        <v>773</v>
      </c>
      <c r="L3" s="597"/>
      <c r="M3" s="598"/>
      <c r="N3" s="477"/>
      <c r="O3" s="477"/>
      <c r="P3" s="5"/>
    </row>
    <row r="4" spans="1:16">
      <c r="B4" s="2"/>
      <c r="C4" s="479" t="s">
        <v>2</v>
      </c>
      <c r="D4" s="479" t="s">
        <v>3</v>
      </c>
      <c r="E4" s="479"/>
      <c r="F4" s="479"/>
      <c r="G4" s="479"/>
      <c r="H4" s="5"/>
      <c r="I4" s="5"/>
      <c r="J4" s="5"/>
      <c r="K4" s="5"/>
      <c r="L4" s="597"/>
      <c r="M4" s="598"/>
      <c r="N4" s="477"/>
      <c r="O4" s="477"/>
      <c r="P4" s="5"/>
    </row>
    <row r="5" spans="1:16">
      <c r="B5" s="5"/>
      <c r="C5" s="5"/>
      <c r="D5" s="5"/>
      <c r="E5" s="5"/>
      <c r="F5" s="5"/>
      <c r="G5" s="5"/>
      <c r="H5" s="5"/>
      <c r="I5" s="5"/>
      <c r="J5" s="5"/>
      <c r="K5" s="5"/>
      <c r="L5" s="597"/>
      <c r="N5" s="5"/>
      <c r="O5" s="5"/>
      <c r="P5" s="5"/>
    </row>
    <row r="6" spans="1:16">
      <c r="A6" s="1"/>
      <c r="B6" s="5"/>
      <c r="C6" s="5"/>
      <c r="D6" s="480" t="s">
        <v>485</v>
      </c>
      <c r="E6" s="481"/>
      <c r="F6" s="481"/>
      <c r="G6" s="481"/>
      <c r="H6" s="481"/>
      <c r="I6" s="5"/>
      <c r="J6" s="5"/>
      <c r="K6" s="5"/>
      <c r="L6" s="597"/>
      <c r="N6" s="5"/>
      <c r="O6" s="5"/>
      <c r="P6" s="5"/>
    </row>
    <row r="7" spans="1:16">
      <c r="A7" s="1"/>
      <c r="B7" s="5"/>
      <c r="C7" s="5"/>
      <c r="D7" s="482"/>
      <c r="E7" s="5"/>
      <c r="F7" s="5"/>
      <c r="G7" s="5"/>
      <c r="H7" s="5"/>
      <c r="I7" s="5"/>
      <c r="J7" s="5"/>
      <c r="K7" s="5"/>
      <c r="L7" s="597"/>
      <c r="N7" s="5"/>
      <c r="O7" s="5"/>
      <c r="P7" s="5"/>
    </row>
    <row r="8" spans="1:16">
      <c r="A8" s="1" t="s">
        <v>4</v>
      </c>
      <c r="B8" s="5"/>
      <c r="C8" s="5"/>
      <c r="D8" s="482"/>
      <c r="E8" s="5"/>
      <c r="F8" s="5"/>
      <c r="G8" s="5"/>
      <c r="H8" s="5"/>
      <c r="I8" s="1" t="s">
        <v>5</v>
      </c>
      <c r="J8" s="5"/>
      <c r="K8" s="5"/>
      <c r="L8" s="597"/>
      <c r="N8" s="5"/>
      <c r="O8" s="5"/>
      <c r="P8" s="5"/>
    </row>
    <row r="9" spans="1:16" ht="16.2" thickBot="1">
      <c r="A9" s="7" t="s">
        <v>6</v>
      </c>
      <c r="B9" s="5"/>
      <c r="C9" s="5"/>
      <c r="D9" s="5"/>
      <c r="E9" s="5"/>
      <c r="F9" s="5"/>
      <c r="G9" s="5"/>
      <c r="H9" s="5"/>
      <c r="I9" s="7" t="s">
        <v>7</v>
      </c>
      <c r="J9" s="5"/>
      <c r="K9" s="5"/>
      <c r="L9" s="631"/>
      <c r="M9" s="599"/>
      <c r="N9" s="5"/>
      <c r="O9" s="5"/>
      <c r="P9" s="5"/>
    </row>
    <row r="10" spans="1:16">
      <c r="A10" s="1">
        <v>1</v>
      </c>
      <c r="B10" s="5" t="s">
        <v>253</v>
      </c>
      <c r="C10" s="5"/>
      <c r="D10" s="30"/>
      <c r="E10" s="5"/>
      <c r="F10" s="5"/>
      <c r="G10" s="5"/>
      <c r="H10" s="5"/>
      <c r="I10" s="483">
        <f>+I208</f>
        <v>2092432.8078005009</v>
      </c>
      <c r="J10" s="5"/>
      <c r="K10" s="5"/>
      <c r="L10" s="629"/>
      <c r="N10" s="5"/>
      <c r="O10" s="5"/>
      <c r="P10" s="5"/>
    </row>
    <row r="11" spans="1:16">
      <c r="A11" s="1"/>
      <c r="B11" s="5"/>
      <c r="C11" s="5"/>
      <c r="D11" s="5"/>
      <c r="E11" s="5"/>
      <c r="F11" s="5"/>
      <c r="G11" s="5"/>
      <c r="H11" s="5"/>
      <c r="I11" s="30"/>
      <c r="J11" s="5"/>
      <c r="K11" s="5"/>
      <c r="L11" s="630"/>
      <c r="N11" s="5"/>
      <c r="O11" s="5"/>
      <c r="P11" s="5"/>
    </row>
    <row r="12" spans="1:16" ht="16.2" thickBot="1">
      <c r="A12" s="1" t="s">
        <v>2</v>
      </c>
      <c r="B12" s="2" t="s">
        <v>8</v>
      </c>
      <c r="C12" s="479" t="s">
        <v>174</v>
      </c>
      <c r="D12" s="7" t="s">
        <v>9</v>
      </c>
      <c r="E12" s="479"/>
      <c r="F12" s="8" t="s">
        <v>10</v>
      </c>
      <c r="G12" s="8"/>
      <c r="H12" s="5"/>
      <c r="I12" s="30"/>
      <c r="J12" s="5"/>
      <c r="K12" s="5"/>
      <c r="L12" s="630"/>
      <c r="N12" s="5"/>
      <c r="O12" s="5"/>
      <c r="P12" s="5"/>
    </row>
    <row r="13" spans="1:16">
      <c r="A13" s="1">
        <v>2</v>
      </c>
      <c r="B13" s="2" t="s">
        <v>11</v>
      </c>
      <c r="C13" s="479" t="s">
        <v>167</v>
      </c>
      <c r="D13" s="484">
        <f>I269</f>
        <v>0</v>
      </c>
      <c r="E13" s="479"/>
      <c r="F13" s="479" t="s">
        <v>12</v>
      </c>
      <c r="G13" s="485">
        <f>I227</f>
        <v>1</v>
      </c>
      <c r="H13" s="479"/>
      <c r="I13" s="484">
        <f>+G13*D13</f>
        <v>0</v>
      </c>
      <c r="J13" s="5"/>
      <c r="K13" s="5"/>
      <c r="L13" s="632"/>
      <c r="N13" s="5"/>
      <c r="O13" s="5"/>
      <c r="P13" s="5"/>
    </row>
    <row r="14" spans="1:16">
      <c r="A14" s="1">
        <v>3</v>
      </c>
      <c r="B14" s="2" t="s">
        <v>196</v>
      </c>
      <c r="C14" s="479" t="s">
        <v>168</v>
      </c>
      <c r="D14" s="484">
        <f>I276</f>
        <v>55483.509999999776</v>
      </c>
      <c r="E14" s="479"/>
      <c r="F14" s="484" t="str">
        <f>+F13</f>
        <v>TP</v>
      </c>
      <c r="G14" s="485">
        <f>+G13</f>
        <v>1</v>
      </c>
      <c r="H14" s="479"/>
      <c r="I14" s="484">
        <f>+G14*D14</f>
        <v>55483.509999999776</v>
      </c>
      <c r="J14" s="5"/>
      <c r="K14" s="5"/>
      <c r="L14" s="632"/>
      <c r="N14" s="5"/>
      <c r="O14" s="5"/>
      <c r="P14" s="5"/>
    </row>
    <row r="15" spans="1:16">
      <c r="A15" s="1">
        <v>4</v>
      </c>
      <c r="B15" s="2" t="s">
        <v>13</v>
      </c>
      <c r="C15" s="479"/>
      <c r="D15" s="486">
        <v>0</v>
      </c>
      <c r="E15" s="479"/>
      <c r="F15" s="479" t="s">
        <v>12</v>
      </c>
      <c r="G15" s="485">
        <f>+G13</f>
        <v>1</v>
      </c>
      <c r="H15" s="479"/>
      <c r="I15" s="484">
        <f>+G15*D15</f>
        <v>0</v>
      </c>
      <c r="J15" s="10" t="s">
        <v>188</v>
      </c>
      <c r="K15" s="5"/>
      <c r="L15" s="632"/>
      <c r="N15" s="5"/>
      <c r="O15" s="5"/>
      <c r="P15" s="5"/>
    </row>
    <row r="16" spans="1:16" ht="16.2" thickBot="1">
      <c r="A16" s="1">
        <v>5</v>
      </c>
      <c r="B16" s="2" t="s">
        <v>14</v>
      </c>
      <c r="C16" s="479"/>
      <c r="D16" s="486">
        <v>0</v>
      </c>
      <c r="E16" s="479"/>
      <c r="F16" s="479" t="s">
        <v>12</v>
      </c>
      <c r="G16" s="485">
        <f>+G13</f>
        <v>1</v>
      </c>
      <c r="H16" s="479"/>
      <c r="I16" s="487">
        <f>+G16*D16</f>
        <v>0</v>
      </c>
      <c r="J16" s="10" t="s">
        <v>189</v>
      </c>
      <c r="K16" s="5"/>
      <c r="L16" s="632"/>
      <c r="N16" s="5"/>
      <c r="O16" s="5"/>
      <c r="P16" s="5"/>
    </row>
    <row r="17" spans="1:16">
      <c r="A17" s="1">
        <v>6</v>
      </c>
      <c r="B17" s="2" t="s">
        <v>15</v>
      </c>
      <c r="C17" s="5"/>
      <c r="D17" s="488" t="s">
        <v>2</v>
      </c>
      <c r="E17" s="479"/>
      <c r="F17" s="479"/>
      <c r="G17" s="489"/>
      <c r="H17" s="479"/>
      <c r="I17" s="484">
        <f>SUM(I13:I16)</f>
        <v>55483.509999999776</v>
      </c>
      <c r="J17" s="5"/>
      <c r="K17" s="5"/>
      <c r="L17" s="632"/>
      <c r="N17" s="5"/>
      <c r="O17" s="5"/>
      <c r="P17" s="5"/>
    </row>
    <row r="18" spans="1:16">
      <c r="A18" s="1"/>
      <c r="B18" s="2"/>
      <c r="C18" s="5"/>
      <c r="D18" s="488"/>
      <c r="E18" s="479"/>
      <c r="F18" s="479"/>
      <c r="G18" s="489"/>
      <c r="H18" s="479"/>
      <c r="I18" s="479"/>
      <c r="J18" s="5"/>
      <c r="K18" s="5"/>
      <c r="L18" s="606"/>
      <c r="N18" s="5"/>
      <c r="O18" s="5"/>
      <c r="P18" s="5"/>
    </row>
    <row r="19" spans="1:16">
      <c r="A19" s="246" t="s">
        <v>670</v>
      </c>
      <c r="B19" s="490" t="s">
        <v>671</v>
      </c>
      <c r="C19" s="491"/>
      <c r="D19" s="492"/>
      <c r="E19" s="492"/>
      <c r="F19" s="492"/>
      <c r="G19" s="492"/>
      <c r="H19" s="492"/>
      <c r="I19" s="493">
        <v>0</v>
      </c>
      <c r="J19" s="5"/>
      <c r="K19" s="5"/>
      <c r="L19" s="630"/>
      <c r="N19" s="5"/>
      <c r="O19" s="5"/>
      <c r="P19" s="5"/>
    </row>
    <row r="20" spans="1:16" ht="16.2" thickBot="1">
      <c r="A20" s="246" t="s">
        <v>672</v>
      </c>
      <c r="B20" s="490" t="s">
        <v>673</v>
      </c>
      <c r="C20" s="491"/>
      <c r="D20" s="492"/>
      <c r="E20" s="492"/>
      <c r="F20" s="492"/>
      <c r="G20" s="492"/>
      <c r="H20" s="492"/>
      <c r="I20" s="494">
        <v>0</v>
      </c>
      <c r="J20" s="5"/>
      <c r="K20" s="5"/>
      <c r="L20" s="630"/>
      <c r="N20" s="5"/>
      <c r="O20" s="5"/>
      <c r="P20" s="5"/>
    </row>
    <row r="21" spans="1:16">
      <c r="A21" s="246" t="s">
        <v>674</v>
      </c>
      <c r="B21" s="490" t="s">
        <v>675</v>
      </c>
      <c r="C21" s="491"/>
      <c r="D21" s="492" t="s">
        <v>676</v>
      </c>
      <c r="E21" s="492"/>
      <c r="F21" s="492"/>
      <c r="G21" s="492"/>
      <c r="H21" s="492"/>
      <c r="I21" s="495">
        <f>I19-I20</f>
        <v>0</v>
      </c>
      <c r="J21" s="5"/>
      <c r="K21" s="5"/>
      <c r="L21" s="629"/>
      <c r="N21" s="5"/>
      <c r="O21" s="5"/>
      <c r="P21" s="5"/>
    </row>
    <row r="22" spans="1:16">
      <c r="A22" s="246"/>
      <c r="B22" s="490"/>
      <c r="C22" s="491"/>
      <c r="D22" s="492"/>
      <c r="E22" s="492"/>
      <c r="F22" s="492"/>
      <c r="G22" s="492"/>
      <c r="H22" s="492"/>
      <c r="I22" s="496"/>
      <c r="J22" s="5"/>
      <c r="K22" s="5"/>
      <c r="L22" s="630"/>
      <c r="N22" s="5"/>
      <c r="O22" s="5"/>
      <c r="P22" s="5"/>
    </row>
    <row r="23" spans="1:16">
      <c r="A23" s="246" t="s">
        <v>677</v>
      </c>
      <c r="B23" s="490" t="s">
        <v>678</v>
      </c>
      <c r="C23" s="491"/>
      <c r="D23" s="492"/>
      <c r="E23" s="492"/>
      <c r="F23" s="492"/>
      <c r="G23" s="492"/>
      <c r="H23" s="492"/>
      <c r="I23" s="493">
        <v>0</v>
      </c>
      <c r="J23" s="5"/>
      <c r="K23" s="5"/>
      <c r="L23" s="630"/>
      <c r="N23" s="5"/>
      <c r="O23" s="5"/>
      <c r="P23" s="5"/>
    </row>
    <row r="24" spans="1:16" ht="16.2" thickBot="1">
      <c r="A24" s="246" t="s">
        <v>679</v>
      </c>
      <c r="B24" s="490" t="s">
        <v>680</v>
      </c>
      <c r="C24" s="491"/>
      <c r="D24" s="492"/>
      <c r="E24" s="492"/>
      <c r="F24" s="492"/>
      <c r="G24" s="492"/>
      <c r="H24" s="492"/>
      <c r="I24" s="494">
        <v>0</v>
      </c>
      <c r="J24" s="5"/>
      <c r="K24" s="5"/>
      <c r="L24" s="630"/>
      <c r="N24" s="5"/>
      <c r="O24" s="5"/>
      <c r="P24" s="5"/>
    </row>
    <row r="25" spans="1:16">
      <c r="A25" s="246" t="s">
        <v>681</v>
      </c>
      <c r="B25" s="490" t="s">
        <v>682</v>
      </c>
      <c r="C25" s="491"/>
      <c r="D25" s="492" t="s">
        <v>683</v>
      </c>
      <c r="E25" s="492"/>
      <c r="F25" s="492"/>
      <c r="G25" s="492"/>
      <c r="H25" s="492"/>
      <c r="I25" s="495">
        <f>I24-I23</f>
        <v>0</v>
      </c>
      <c r="J25" s="5"/>
      <c r="K25" s="5"/>
      <c r="L25" s="629"/>
      <c r="N25" s="5"/>
      <c r="O25" s="5"/>
      <c r="P25" s="5"/>
    </row>
    <row r="26" spans="1:16" ht="16.2" thickBot="1">
      <c r="A26" s="246" t="s">
        <v>684</v>
      </c>
      <c r="B26" s="490" t="s">
        <v>685</v>
      </c>
      <c r="C26" s="491"/>
      <c r="D26" s="492"/>
      <c r="E26" s="492"/>
      <c r="F26" s="492"/>
      <c r="G26" s="492"/>
      <c r="H26" s="492"/>
      <c r="I26" s="494">
        <v>0</v>
      </c>
      <c r="J26" s="5"/>
      <c r="K26" s="5"/>
      <c r="L26" s="630"/>
      <c r="N26" s="5"/>
      <c r="O26" s="5"/>
      <c r="P26" s="5"/>
    </row>
    <row r="27" spans="1:16">
      <c r="A27" s="246" t="s">
        <v>686</v>
      </c>
      <c r="B27" s="490" t="s">
        <v>687</v>
      </c>
      <c r="C27" s="491"/>
      <c r="D27" s="492" t="s">
        <v>688</v>
      </c>
      <c r="E27" s="492"/>
      <c r="F27" s="492"/>
      <c r="G27" s="492"/>
      <c r="H27" s="492"/>
      <c r="I27" s="495">
        <f>I25*I26</f>
        <v>0</v>
      </c>
      <c r="J27" s="5"/>
      <c r="K27" s="5"/>
      <c r="L27" s="629"/>
      <c r="N27" s="5"/>
      <c r="O27" s="5"/>
      <c r="P27" s="5"/>
    </row>
    <row r="28" spans="1:16">
      <c r="A28" s="246"/>
      <c r="B28" s="490"/>
      <c r="C28" s="491"/>
      <c r="D28" s="492"/>
      <c r="E28" s="492"/>
      <c r="F28" s="492"/>
      <c r="G28" s="492"/>
      <c r="H28" s="492"/>
      <c r="I28" s="496"/>
      <c r="J28" s="5"/>
      <c r="K28" s="5"/>
      <c r="L28" s="630"/>
      <c r="N28" s="5"/>
      <c r="O28" s="5"/>
      <c r="P28" s="5"/>
    </row>
    <row r="29" spans="1:16">
      <c r="A29" s="246" t="s">
        <v>689</v>
      </c>
      <c r="B29" s="490" t="s">
        <v>690</v>
      </c>
      <c r="C29" s="491"/>
      <c r="D29" s="492"/>
      <c r="E29" s="492"/>
      <c r="F29" s="492"/>
      <c r="G29" s="492"/>
      <c r="H29" s="492"/>
      <c r="I29" s="493">
        <v>0</v>
      </c>
      <c r="J29" s="5"/>
      <c r="K29" s="5"/>
      <c r="L29" s="630"/>
      <c r="N29" s="5"/>
      <c r="O29" s="5"/>
      <c r="P29" s="5"/>
    </row>
    <row r="30" spans="1:16">
      <c r="A30" s="1"/>
      <c r="B30" s="2"/>
      <c r="C30" s="5"/>
      <c r="I30" s="479"/>
      <c r="J30" s="5"/>
      <c r="K30" s="5"/>
      <c r="L30" s="606"/>
      <c r="N30" s="5"/>
      <c r="O30" s="5"/>
      <c r="P30" s="5"/>
    </row>
    <row r="31" spans="1:16" ht="16.2" thickBot="1">
      <c r="A31" s="1">
        <v>7</v>
      </c>
      <c r="B31" s="2" t="s">
        <v>16</v>
      </c>
      <c r="C31" s="497" t="s">
        <v>700</v>
      </c>
      <c r="D31" s="488" t="s">
        <v>2</v>
      </c>
      <c r="E31" s="479"/>
      <c r="F31" s="479"/>
      <c r="G31" s="479"/>
      <c r="H31" s="479"/>
      <c r="I31" s="498">
        <f>+I10-I17+I21+I27+I29</f>
        <v>2036949.2978005011</v>
      </c>
      <c r="J31" s="5"/>
      <c r="K31" s="596"/>
      <c r="L31" s="633"/>
      <c r="N31" s="5"/>
      <c r="O31" s="5"/>
      <c r="P31" s="5"/>
    </row>
    <row r="32" spans="1:16" ht="16.2" thickTop="1">
      <c r="A32" s="1"/>
      <c r="B32" s="2"/>
      <c r="C32" s="479"/>
      <c r="I32" s="479"/>
      <c r="J32" s="5"/>
      <c r="K32" s="5"/>
      <c r="L32" s="606"/>
      <c r="N32" s="5"/>
      <c r="O32" s="5"/>
      <c r="P32" s="5"/>
    </row>
    <row r="33" spans="1:16">
      <c r="A33" s="1" t="s">
        <v>2</v>
      </c>
      <c r="B33" s="2" t="s">
        <v>17</v>
      </c>
      <c r="C33" s="5"/>
      <c r="D33" s="30"/>
      <c r="E33" s="5"/>
      <c r="F33" s="5"/>
      <c r="G33" s="5"/>
      <c r="H33" s="5"/>
      <c r="I33" s="30"/>
      <c r="J33" s="5"/>
      <c r="K33" s="5"/>
      <c r="L33" s="630"/>
      <c r="N33" s="5"/>
      <c r="O33" s="5"/>
      <c r="P33" s="5"/>
    </row>
    <row r="34" spans="1:16">
      <c r="A34" s="1">
        <v>8</v>
      </c>
      <c r="B34" s="2" t="s">
        <v>18</v>
      </c>
      <c r="D34" s="30"/>
      <c r="E34" s="5"/>
      <c r="F34" s="5"/>
      <c r="G34" s="5" t="s">
        <v>19</v>
      </c>
      <c r="H34" s="5"/>
      <c r="I34" s="9">
        <f>Divisor!D23</f>
        <v>76308.083333333328</v>
      </c>
      <c r="J34" s="5"/>
      <c r="K34" s="5"/>
      <c r="L34" s="634"/>
      <c r="O34" s="5"/>
      <c r="P34" s="5"/>
    </row>
    <row r="35" spans="1:16">
      <c r="A35" s="1">
        <v>9</v>
      </c>
      <c r="B35" s="2" t="s">
        <v>20</v>
      </c>
      <c r="C35" s="479"/>
      <c r="D35" s="479"/>
      <c r="E35" s="479"/>
      <c r="F35" s="479"/>
      <c r="G35" s="479" t="s">
        <v>21</v>
      </c>
      <c r="H35" s="479"/>
      <c r="I35" s="486">
        <v>0</v>
      </c>
      <c r="J35" s="5"/>
      <c r="K35" s="5"/>
      <c r="L35" s="630"/>
      <c r="O35" s="5"/>
      <c r="P35" s="5"/>
    </row>
    <row r="36" spans="1:16">
      <c r="A36" s="1">
        <v>10</v>
      </c>
      <c r="B36" s="2" t="s">
        <v>22</v>
      </c>
      <c r="C36" s="5"/>
      <c r="D36" s="5"/>
      <c r="E36" s="5"/>
      <c r="F36" s="5"/>
      <c r="G36" s="5" t="s">
        <v>23</v>
      </c>
      <c r="H36" s="5"/>
      <c r="I36" s="486">
        <v>0</v>
      </c>
      <c r="J36" s="5"/>
      <c r="K36" s="5"/>
      <c r="L36" s="630"/>
      <c r="O36" s="5"/>
      <c r="P36" s="5"/>
    </row>
    <row r="37" spans="1:16">
      <c r="A37" s="1">
        <v>11</v>
      </c>
      <c r="B37" s="500" t="s">
        <v>24</v>
      </c>
      <c r="C37" s="5"/>
      <c r="D37" s="5"/>
      <c r="E37" s="5"/>
      <c r="F37" s="5"/>
      <c r="G37" s="5" t="s">
        <v>25</v>
      </c>
      <c r="H37" s="5"/>
      <c r="I37" s="486">
        <v>0</v>
      </c>
      <c r="J37" s="5"/>
      <c r="K37" s="5"/>
      <c r="L37" s="630"/>
      <c r="O37" s="5"/>
      <c r="P37" s="5"/>
    </row>
    <row r="38" spans="1:16">
      <c r="A38" s="1">
        <v>12</v>
      </c>
      <c r="B38" s="500" t="s">
        <v>26</v>
      </c>
      <c r="C38" s="5"/>
      <c r="D38" s="5"/>
      <c r="E38" s="5"/>
      <c r="F38" s="5"/>
      <c r="G38" s="5"/>
      <c r="H38" s="5"/>
      <c r="I38" s="486">
        <v>0</v>
      </c>
      <c r="J38" s="5"/>
      <c r="K38" s="5"/>
      <c r="L38" s="630"/>
      <c r="O38" s="5"/>
      <c r="P38" s="5"/>
    </row>
    <row r="39" spans="1:16">
      <c r="A39" s="1">
        <v>13</v>
      </c>
      <c r="B39" s="500" t="s">
        <v>175</v>
      </c>
      <c r="C39" s="5"/>
      <c r="D39" s="5"/>
      <c r="E39" s="5"/>
      <c r="F39" s="5"/>
      <c r="G39" s="5"/>
      <c r="H39" s="5"/>
      <c r="I39" s="501">
        <v>0</v>
      </c>
      <c r="J39" s="5"/>
      <c r="K39" s="5"/>
      <c r="L39" s="630"/>
      <c r="O39" s="5"/>
      <c r="P39" s="5"/>
    </row>
    <row r="40" spans="1:16" ht="16.2" thickBot="1">
      <c r="A40" s="1">
        <v>14</v>
      </c>
      <c r="B40" s="2" t="s">
        <v>169</v>
      </c>
      <c r="C40" s="5"/>
      <c r="D40" s="5"/>
      <c r="E40" s="5"/>
      <c r="F40" s="5"/>
      <c r="G40" s="5"/>
      <c r="H40" s="5"/>
      <c r="I40" s="502">
        <v>0</v>
      </c>
      <c r="J40" s="5"/>
      <c r="K40" s="5"/>
      <c r="L40" s="630"/>
      <c r="O40" s="5"/>
      <c r="P40" s="5"/>
    </row>
    <row r="41" spans="1:16">
      <c r="A41" s="1">
        <v>15</v>
      </c>
      <c r="B41" s="2" t="s">
        <v>213</v>
      </c>
      <c r="C41" s="5"/>
      <c r="D41" s="5"/>
      <c r="E41" s="5"/>
      <c r="F41" s="5"/>
      <c r="G41" s="5"/>
      <c r="H41" s="5"/>
      <c r="I41" s="503">
        <f>SUM(I34:I40)</f>
        <v>76308.083333333328</v>
      </c>
      <c r="J41" s="5"/>
      <c r="K41" s="5"/>
      <c r="L41" s="629"/>
      <c r="O41" s="5"/>
      <c r="P41" s="5"/>
    </row>
    <row r="42" spans="1:16">
      <c r="A42" s="1"/>
      <c r="B42" s="2"/>
      <c r="C42" s="5"/>
      <c r="D42" s="5"/>
      <c r="E42" s="5"/>
      <c r="F42" s="5"/>
      <c r="G42" s="5"/>
      <c r="H42" s="5"/>
      <c r="I42" s="30"/>
      <c r="J42" s="5"/>
      <c r="K42" s="5"/>
      <c r="L42" s="630"/>
      <c r="N42" s="5"/>
      <c r="O42" s="5"/>
      <c r="P42" s="5"/>
    </row>
    <row r="43" spans="1:16">
      <c r="A43" s="1">
        <v>16</v>
      </c>
      <c r="B43" s="2" t="s">
        <v>27</v>
      </c>
      <c r="C43" s="5" t="s">
        <v>212</v>
      </c>
      <c r="D43" s="504">
        <f>IF(I41&gt;0,I31/I41,0)</f>
        <v>26.693755219910095</v>
      </c>
      <c r="E43" s="5"/>
      <c r="F43" s="5"/>
      <c r="G43" s="5"/>
      <c r="H43" s="5"/>
      <c r="J43" s="5"/>
      <c r="K43" s="5"/>
      <c r="L43" s="630"/>
      <c r="N43" s="5"/>
      <c r="O43" s="5"/>
      <c r="P43" s="5"/>
    </row>
    <row r="44" spans="1:16">
      <c r="A44" s="1">
        <v>17</v>
      </c>
      <c r="B44" s="2" t="s">
        <v>214</v>
      </c>
      <c r="C44" s="5"/>
      <c r="D44" s="504">
        <f>+D43/12</f>
        <v>2.2244796016591746</v>
      </c>
      <c r="E44" s="5"/>
      <c r="F44" s="5"/>
      <c r="G44" s="5"/>
      <c r="H44" s="5"/>
      <c r="J44" s="5"/>
      <c r="K44" s="5"/>
      <c r="L44" s="630"/>
      <c r="N44" s="5"/>
      <c r="O44" s="5"/>
      <c r="P44" s="5"/>
    </row>
    <row r="45" spans="1:16">
      <c r="A45" s="1"/>
      <c r="B45" s="2"/>
      <c r="C45" s="5"/>
      <c r="D45" s="505"/>
      <c r="E45" s="5"/>
      <c r="F45" s="5"/>
      <c r="G45" s="5"/>
      <c r="H45" s="5"/>
      <c r="J45" s="5"/>
      <c r="K45" s="5"/>
      <c r="L45" s="630"/>
      <c r="N45" s="5"/>
      <c r="O45" s="5"/>
      <c r="P45" s="5"/>
    </row>
    <row r="46" spans="1:16">
      <c r="A46" s="1"/>
      <c r="B46" s="2"/>
      <c r="C46" s="5"/>
      <c r="D46" s="506" t="s">
        <v>28</v>
      </c>
      <c r="E46" s="5"/>
      <c r="F46" s="5"/>
      <c r="G46" s="5"/>
      <c r="H46" s="5"/>
      <c r="I46" s="507" t="s">
        <v>29</v>
      </c>
      <c r="J46" s="5"/>
      <c r="K46" s="5"/>
      <c r="L46" s="630"/>
      <c r="N46" s="5"/>
      <c r="O46" s="5"/>
      <c r="P46" s="5"/>
    </row>
    <row r="47" spans="1:16">
      <c r="A47" s="1">
        <v>18</v>
      </c>
      <c r="B47" s="2" t="s">
        <v>30</v>
      </c>
      <c r="C47" s="5" t="s">
        <v>215</v>
      </c>
      <c r="D47" s="504">
        <f>+D43/52</f>
        <v>0.51334144653673264</v>
      </c>
      <c r="E47" s="5"/>
      <c r="F47" s="5"/>
      <c r="G47" s="5"/>
      <c r="H47" s="5"/>
      <c r="I47" s="508">
        <f>+D43/52</f>
        <v>0.51334144653673264</v>
      </c>
      <c r="J47" s="5"/>
      <c r="K47" s="5"/>
      <c r="L47" s="630"/>
      <c r="N47" s="5"/>
      <c r="O47" s="5"/>
      <c r="P47" s="5"/>
    </row>
    <row r="48" spans="1:16">
      <c r="A48" s="1">
        <v>19</v>
      </c>
      <c r="B48" s="2" t="s">
        <v>31</v>
      </c>
      <c r="C48" s="5" t="s">
        <v>254</v>
      </c>
      <c r="D48" s="504">
        <f>+D43/260</f>
        <v>0.10266828930734652</v>
      </c>
      <c r="E48" s="5" t="s">
        <v>32</v>
      </c>
      <c r="G48" s="5"/>
      <c r="H48" s="5"/>
      <c r="I48" s="508">
        <f>+D43/365</f>
        <v>7.3133575944959159E-2</v>
      </c>
      <c r="J48" s="5"/>
      <c r="K48" s="5"/>
      <c r="L48" s="630"/>
      <c r="N48" s="5"/>
      <c r="O48" s="5"/>
      <c r="P48" s="5"/>
    </row>
    <row r="49" spans="1:16">
      <c r="A49" s="1">
        <v>20</v>
      </c>
      <c r="B49" s="2" t="s">
        <v>33</v>
      </c>
      <c r="C49" s="5" t="s">
        <v>255</v>
      </c>
      <c r="D49" s="504">
        <f>+D43/4160*1000</f>
        <v>6.416768081709157</v>
      </c>
      <c r="E49" s="5" t="s">
        <v>34</v>
      </c>
      <c r="G49" s="5"/>
      <c r="H49" s="5"/>
      <c r="I49" s="508">
        <f>+D43/8760*1000</f>
        <v>3.0472323310399654</v>
      </c>
      <c r="J49" s="5"/>
      <c r="K49" s="5" t="s">
        <v>2</v>
      </c>
      <c r="L49" s="630"/>
      <c r="N49" s="5"/>
      <c r="O49" s="5"/>
      <c r="P49" s="5"/>
    </row>
    <row r="50" spans="1:16">
      <c r="A50" s="1"/>
      <c r="B50" s="2"/>
      <c r="C50" s="5" t="s">
        <v>35</v>
      </c>
      <c r="D50" s="5"/>
      <c r="E50" s="5" t="s">
        <v>36</v>
      </c>
      <c r="G50" s="5"/>
      <c r="H50" s="5"/>
      <c r="J50" s="5"/>
      <c r="K50" s="5" t="s">
        <v>2</v>
      </c>
      <c r="L50" s="630"/>
      <c r="N50" s="5"/>
      <c r="O50" s="5"/>
      <c r="P50" s="5"/>
    </row>
    <row r="51" spans="1:16">
      <c r="A51" s="1"/>
      <c r="B51" s="2"/>
      <c r="C51" s="5"/>
      <c r="D51" s="5"/>
      <c r="E51" s="5"/>
      <c r="G51" s="5"/>
      <c r="H51" s="5"/>
      <c r="J51" s="5"/>
      <c r="K51" s="5" t="s">
        <v>2</v>
      </c>
      <c r="L51" s="630"/>
      <c r="N51" s="5"/>
      <c r="O51" s="5"/>
      <c r="P51" s="5"/>
    </row>
    <row r="52" spans="1:16">
      <c r="A52" s="1">
        <v>21</v>
      </c>
      <c r="B52" s="2" t="s">
        <v>216</v>
      </c>
      <c r="C52" s="5" t="s">
        <v>207</v>
      </c>
      <c r="D52" s="11">
        <v>0</v>
      </c>
      <c r="E52" s="12" t="s">
        <v>37</v>
      </c>
      <c r="F52" s="12"/>
      <c r="G52" s="12"/>
      <c r="H52" s="12"/>
      <c r="I52" s="509">
        <f>D52</f>
        <v>0</v>
      </c>
      <c r="J52" s="12" t="s">
        <v>37</v>
      </c>
      <c r="K52" s="5"/>
      <c r="L52" s="630"/>
      <c r="N52" s="5"/>
      <c r="O52" s="5"/>
      <c r="P52" s="5"/>
    </row>
    <row r="53" spans="1:16">
      <c r="A53" s="1">
        <v>22</v>
      </c>
      <c r="B53" s="2"/>
      <c r="C53" s="5"/>
      <c r="D53" s="11">
        <v>0</v>
      </c>
      <c r="E53" s="12" t="s">
        <v>38</v>
      </c>
      <c r="F53" s="12"/>
      <c r="G53" s="12"/>
      <c r="H53" s="12"/>
      <c r="I53" s="509">
        <f>D53</f>
        <v>0</v>
      </c>
      <c r="J53" s="12" t="s">
        <v>38</v>
      </c>
      <c r="K53" s="5"/>
      <c r="L53" s="597"/>
      <c r="N53" s="5"/>
      <c r="O53" s="5"/>
      <c r="P53" s="5"/>
    </row>
    <row r="54" spans="1:16">
      <c r="J54" s="5"/>
      <c r="K54" s="5"/>
      <c r="L54" s="597"/>
      <c r="N54" s="5"/>
      <c r="O54" s="5"/>
      <c r="P54" s="5"/>
    </row>
    <row r="55" spans="1:16">
      <c r="J55" s="5"/>
      <c r="K55" s="5"/>
      <c r="L55" s="597"/>
      <c r="N55" s="5"/>
      <c r="O55" s="5"/>
      <c r="P55" s="5"/>
    </row>
    <row r="56" spans="1:16">
      <c r="J56" s="5"/>
      <c r="K56" s="5"/>
      <c r="L56" s="597"/>
      <c r="N56" s="5"/>
      <c r="O56" s="5"/>
      <c r="P56" s="5"/>
    </row>
    <row r="57" spans="1:16">
      <c r="J57" s="5"/>
      <c r="K57" s="5"/>
      <c r="L57" s="597"/>
      <c r="N57" s="5"/>
      <c r="O57" s="5"/>
      <c r="P57" s="5"/>
    </row>
    <row r="58" spans="1:16">
      <c r="J58" s="5"/>
      <c r="K58" s="5"/>
      <c r="L58" s="597"/>
      <c r="N58" s="5"/>
      <c r="O58" s="5"/>
      <c r="P58" s="5"/>
    </row>
    <row r="59" spans="1:16">
      <c r="J59" s="5"/>
      <c r="K59" s="5"/>
      <c r="L59" s="597"/>
      <c r="N59" s="5"/>
      <c r="O59" s="5"/>
      <c r="P59" s="5"/>
    </row>
    <row r="60" spans="1:16">
      <c r="J60" s="5"/>
      <c r="K60" s="5"/>
      <c r="L60" s="597"/>
      <c r="N60" s="5"/>
      <c r="O60" s="5"/>
      <c r="P60" s="5"/>
    </row>
    <row r="61" spans="1:16">
      <c r="J61" s="5"/>
      <c r="K61" s="5"/>
      <c r="L61" s="597"/>
      <c r="N61" s="5"/>
      <c r="O61" s="5"/>
      <c r="P61" s="5"/>
    </row>
    <row r="62" spans="1:16">
      <c r="J62" s="5"/>
      <c r="K62" s="5"/>
      <c r="L62" s="597"/>
      <c r="N62" s="5"/>
      <c r="O62" s="5"/>
      <c r="P62" s="5"/>
    </row>
    <row r="63" spans="1:16">
      <c r="J63" s="5"/>
      <c r="K63" s="5"/>
      <c r="L63" s="597"/>
      <c r="N63" s="5"/>
      <c r="O63" s="5"/>
      <c r="P63" s="5"/>
    </row>
    <row r="64" spans="1:16">
      <c r="J64" s="5"/>
      <c r="K64" s="5"/>
      <c r="L64" s="597"/>
      <c r="N64" s="5"/>
      <c r="O64" s="5"/>
      <c r="P64" s="5"/>
    </row>
    <row r="65" spans="2:16">
      <c r="J65" s="5"/>
      <c r="K65" s="5"/>
      <c r="L65" s="597"/>
      <c r="N65" s="5"/>
      <c r="O65" s="5"/>
      <c r="P65" s="5"/>
    </row>
    <row r="66" spans="2:16">
      <c r="J66" s="5"/>
      <c r="K66" s="5"/>
      <c r="L66" s="597"/>
      <c r="N66" s="5"/>
      <c r="O66" s="5"/>
      <c r="P66" s="5"/>
    </row>
    <row r="67" spans="2:16">
      <c r="J67" s="5"/>
      <c r="K67" s="5"/>
      <c r="L67" s="597"/>
      <c r="N67" s="5"/>
      <c r="O67" s="5"/>
      <c r="P67" s="5"/>
    </row>
    <row r="68" spans="2:16">
      <c r="J68" s="5"/>
      <c r="K68" s="5"/>
      <c r="L68" s="597"/>
      <c r="N68" s="5"/>
      <c r="O68" s="5"/>
      <c r="P68" s="5"/>
    </row>
    <row r="69" spans="2:16">
      <c r="J69" s="5"/>
      <c r="K69" s="5"/>
      <c r="L69" s="597"/>
      <c r="N69" s="5"/>
      <c r="O69" s="5"/>
      <c r="P69" s="5"/>
    </row>
    <row r="70" spans="2:16">
      <c r="J70" s="5"/>
      <c r="K70" s="5"/>
      <c r="L70" s="597"/>
      <c r="N70" s="5"/>
      <c r="O70" s="5"/>
      <c r="P70" s="5"/>
    </row>
    <row r="71" spans="2:16">
      <c r="J71" s="5"/>
      <c r="K71" s="5"/>
      <c r="L71" s="597"/>
      <c r="N71" s="5"/>
      <c r="O71" s="5"/>
      <c r="P71" s="5"/>
    </row>
    <row r="72" spans="2:16">
      <c r="J72" s="5"/>
      <c r="K72" s="5"/>
      <c r="L72" s="597"/>
      <c r="N72" s="5"/>
      <c r="O72" s="5"/>
      <c r="P72" s="5"/>
    </row>
    <row r="73" spans="2:16">
      <c r="J73" s="5"/>
      <c r="K73" s="5"/>
      <c r="L73" s="597"/>
      <c r="N73" s="5"/>
      <c r="O73" s="5"/>
      <c r="P73" s="5"/>
    </row>
    <row r="74" spans="2:16">
      <c r="J74" s="5"/>
      <c r="K74" s="5"/>
      <c r="L74" s="597"/>
      <c r="N74" s="5"/>
      <c r="O74" s="5"/>
      <c r="P74" s="5"/>
    </row>
    <row r="75" spans="2:16">
      <c r="J75" s="5"/>
      <c r="K75" s="5"/>
      <c r="L75" s="597"/>
      <c r="N75" s="5"/>
      <c r="O75" s="5"/>
      <c r="P75" s="5"/>
    </row>
    <row r="76" spans="2:16">
      <c r="J76" s="5"/>
      <c r="K76" s="5"/>
      <c r="L76" s="597"/>
      <c r="N76" s="5"/>
      <c r="O76" s="5"/>
      <c r="P76" s="5"/>
    </row>
    <row r="77" spans="2:16">
      <c r="J77" s="5"/>
      <c r="K77" s="5"/>
      <c r="L77" s="597"/>
      <c r="N77" s="5"/>
      <c r="O77" s="5"/>
      <c r="P77" s="5"/>
    </row>
    <row r="78" spans="2:16">
      <c r="J78" s="5"/>
      <c r="K78" s="5"/>
      <c r="L78" s="597"/>
      <c r="N78" s="5"/>
      <c r="O78" s="5"/>
      <c r="P78" s="5"/>
    </row>
    <row r="79" spans="2:16">
      <c r="J79" s="5"/>
      <c r="K79" s="5"/>
      <c r="L79" s="597"/>
      <c r="N79" s="5"/>
      <c r="O79" s="5"/>
      <c r="P79" s="5"/>
    </row>
    <row r="80" spans="2:16">
      <c r="B80" s="2"/>
      <c r="C80" s="2"/>
      <c r="D80" s="4"/>
      <c r="E80" s="2"/>
      <c r="F80" s="2"/>
      <c r="G80" s="2"/>
      <c r="H80" s="5"/>
      <c r="I80" s="5"/>
      <c r="K80" s="476" t="s">
        <v>184</v>
      </c>
      <c r="L80" s="601"/>
      <c r="N80" s="5"/>
      <c r="O80" s="5"/>
      <c r="P80" s="5"/>
    </row>
    <row r="81" spans="1:16">
      <c r="B81" s="5"/>
      <c r="C81" s="5"/>
      <c r="D81" s="5"/>
      <c r="E81" s="5"/>
      <c r="F81" s="5"/>
      <c r="G81" s="5"/>
      <c r="H81" s="5"/>
      <c r="I81" s="5"/>
      <c r="J81" s="5"/>
      <c r="K81" s="5"/>
      <c r="L81" s="597"/>
      <c r="N81" s="5"/>
      <c r="O81" s="5"/>
      <c r="P81" s="5"/>
    </row>
    <row r="82" spans="1:16">
      <c r="B82" s="510" t="str">
        <f>B3</f>
        <v xml:space="preserve">Formula Rate - Non-Levelized </v>
      </c>
      <c r="C82" s="2"/>
      <c r="D82" s="511" t="str">
        <f>D3</f>
        <v xml:space="preserve">   Rate Formula Template</v>
      </c>
      <c r="E82" s="2"/>
      <c r="F82" s="2"/>
      <c r="G82" s="2"/>
      <c r="H82" s="2"/>
      <c r="J82" s="2"/>
      <c r="K82" s="512" t="str">
        <f>K3</f>
        <v>For the 12 months ended 12/31/16</v>
      </c>
      <c r="L82" s="597"/>
      <c r="N82" s="2"/>
      <c r="O82" s="2"/>
      <c r="P82" s="2"/>
    </row>
    <row r="83" spans="1:16">
      <c r="B83" s="2"/>
      <c r="C83" s="479" t="s">
        <v>2</v>
      </c>
      <c r="D83" s="484" t="str">
        <f>D4</f>
        <v>Utilizing EIA Form 412 Data</v>
      </c>
      <c r="E83" s="479"/>
      <c r="F83" s="479"/>
      <c r="G83" s="479"/>
      <c r="H83" s="479"/>
      <c r="I83" s="479"/>
      <c r="J83" s="479"/>
      <c r="K83" s="479"/>
      <c r="L83" s="597"/>
      <c r="N83" s="5"/>
      <c r="O83" s="479"/>
      <c r="P83" s="2"/>
    </row>
    <row r="84" spans="1:16">
      <c r="B84" s="2"/>
      <c r="C84" s="479" t="s">
        <v>2</v>
      </c>
      <c r="D84" s="479" t="s">
        <v>2</v>
      </c>
      <c r="E84" s="479"/>
      <c r="F84" s="479"/>
      <c r="G84" s="479" t="s">
        <v>2</v>
      </c>
      <c r="H84" s="479"/>
      <c r="I84" s="479"/>
      <c r="J84" s="479"/>
      <c r="K84" s="479"/>
      <c r="N84" s="479"/>
      <c r="O84" s="479"/>
      <c r="P84" s="2"/>
    </row>
    <row r="85" spans="1:16">
      <c r="B85" s="2"/>
      <c r="C85" s="5"/>
      <c r="D85" s="484" t="str">
        <f>D6</f>
        <v xml:space="preserve">Marshall (Minnesota) Municipal Utilities </v>
      </c>
      <c r="E85" s="479"/>
      <c r="F85" s="479"/>
      <c r="G85" s="479"/>
      <c r="H85" s="479"/>
      <c r="I85" s="479"/>
      <c r="J85" s="479"/>
      <c r="K85" s="479"/>
      <c r="N85" s="479"/>
      <c r="O85" s="479"/>
      <c r="P85" s="2"/>
    </row>
    <row r="86" spans="1:16">
      <c r="B86" s="1" t="s">
        <v>39</v>
      </c>
      <c r="C86" s="1" t="s">
        <v>40</v>
      </c>
      <c r="D86" s="1" t="s">
        <v>41</v>
      </c>
      <c r="E86" s="479" t="s">
        <v>2</v>
      </c>
      <c r="F86" s="479"/>
      <c r="G86" s="513" t="s">
        <v>42</v>
      </c>
      <c r="H86" s="479"/>
      <c r="I86" s="514" t="s">
        <v>43</v>
      </c>
      <c r="J86" s="479"/>
      <c r="K86" s="1"/>
      <c r="N86" s="1"/>
      <c r="O86" s="479"/>
      <c r="P86" s="2"/>
    </row>
    <row r="87" spans="1:16">
      <c r="A87" s="1" t="s">
        <v>4</v>
      </c>
      <c r="B87" s="2"/>
      <c r="C87" s="515" t="s">
        <v>44</v>
      </c>
      <c r="D87" s="479"/>
      <c r="E87" s="479"/>
      <c r="F87" s="479"/>
      <c r="G87" s="1"/>
      <c r="H87" s="479"/>
      <c r="I87" s="13" t="s">
        <v>45</v>
      </c>
      <c r="J87" s="479"/>
      <c r="K87" s="1"/>
      <c r="L87" s="628"/>
      <c r="N87" s="1"/>
      <c r="O87" s="1"/>
      <c r="P87" s="2"/>
    </row>
    <row r="88" spans="1:16" ht="16.2" thickBot="1">
      <c r="A88" s="7" t="s">
        <v>6</v>
      </c>
      <c r="B88" s="516" t="s">
        <v>715</v>
      </c>
      <c r="C88" s="517" t="s">
        <v>46</v>
      </c>
      <c r="D88" s="13" t="s">
        <v>47</v>
      </c>
      <c r="E88" s="518"/>
      <c r="F88" s="13" t="s">
        <v>48</v>
      </c>
      <c r="H88" s="518"/>
      <c r="I88" s="1" t="s">
        <v>49</v>
      </c>
      <c r="J88" s="479"/>
      <c r="K88" s="1"/>
      <c r="L88" s="626"/>
      <c r="M88" s="599"/>
      <c r="N88" s="1"/>
      <c r="O88" s="1"/>
      <c r="P88" s="2"/>
    </row>
    <row r="89" spans="1:16">
      <c r="A89" s="1"/>
      <c r="B89" s="2" t="s">
        <v>284</v>
      </c>
      <c r="C89" s="479"/>
      <c r="D89" s="479"/>
      <c r="E89" s="479"/>
      <c r="F89" s="479"/>
      <c r="G89" s="479"/>
      <c r="H89" s="479"/>
      <c r="I89" s="479"/>
      <c r="J89" s="479"/>
      <c r="K89" s="479"/>
      <c r="L89" s="606"/>
      <c r="N89" s="479"/>
      <c r="O89" s="479"/>
      <c r="P89" s="2"/>
    </row>
    <row r="90" spans="1:16">
      <c r="A90" s="1">
        <v>1</v>
      </c>
      <c r="B90" s="2" t="s">
        <v>50</v>
      </c>
      <c r="C90" s="479" t="s">
        <v>256</v>
      </c>
      <c r="D90" s="14">
        <f>+Plant!G24</f>
        <v>2820757.923076923</v>
      </c>
      <c r="E90" s="479"/>
      <c r="F90" s="479" t="s">
        <v>51</v>
      </c>
      <c r="G90" s="520" t="s">
        <v>2</v>
      </c>
      <c r="H90" s="479"/>
      <c r="I90" s="479" t="s">
        <v>2</v>
      </c>
      <c r="J90" s="479"/>
      <c r="K90" s="479"/>
      <c r="L90" s="606"/>
      <c r="O90" s="479"/>
      <c r="P90" s="2"/>
    </row>
    <row r="91" spans="1:16">
      <c r="A91" s="1">
        <v>2</v>
      </c>
      <c r="B91" s="2" t="s">
        <v>52</v>
      </c>
      <c r="C91" s="479" t="s">
        <v>257</v>
      </c>
      <c r="D91" s="14">
        <f>+Plant!H24</f>
        <v>16404370</v>
      </c>
      <c r="E91" s="479"/>
      <c r="F91" s="479" t="s">
        <v>12</v>
      </c>
      <c r="G91" s="521">
        <f>I227</f>
        <v>1</v>
      </c>
      <c r="H91" s="479"/>
      <c r="I91" s="484">
        <f>+G91*D91</f>
        <v>16404370</v>
      </c>
      <c r="J91" s="479"/>
      <c r="K91" s="479"/>
      <c r="L91" s="545"/>
      <c r="O91" s="479"/>
      <c r="P91" s="2"/>
    </row>
    <row r="92" spans="1:16">
      <c r="A92" s="1">
        <v>3</v>
      </c>
      <c r="B92" s="2" t="s">
        <v>53</v>
      </c>
      <c r="C92" s="479" t="s">
        <v>258</v>
      </c>
      <c r="D92" s="14">
        <f>+Plant!I24</f>
        <v>52884450.92307692</v>
      </c>
      <c r="E92" s="479"/>
      <c r="F92" s="479" t="s">
        <v>51</v>
      </c>
      <c r="G92" s="520" t="s">
        <v>2</v>
      </c>
      <c r="H92" s="479"/>
      <c r="I92" s="479" t="s">
        <v>2</v>
      </c>
      <c r="J92" s="479"/>
      <c r="K92" s="479"/>
      <c r="L92" s="544"/>
      <c r="O92" s="479"/>
      <c r="P92" s="2"/>
    </row>
    <row r="93" spans="1:16">
      <c r="A93" s="1">
        <v>4</v>
      </c>
      <c r="B93" s="2" t="s">
        <v>54</v>
      </c>
      <c r="C93" s="479" t="s">
        <v>285</v>
      </c>
      <c r="D93" s="14">
        <f>+Plant!J24</f>
        <v>7220813.538461538</v>
      </c>
      <c r="E93" s="479"/>
      <c r="F93" s="479" t="s">
        <v>55</v>
      </c>
      <c r="G93" s="521">
        <f>I243</f>
        <v>0.13090475375886951</v>
      </c>
      <c r="H93" s="479"/>
      <c r="I93" s="484">
        <f>+G93*D93</f>
        <v>945238.81819101889</v>
      </c>
      <c r="J93" s="479"/>
      <c r="K93" s="479"/>
      <c r="L93" s="545"/>
      <c r="O93" s="1"/>
      <c r="P93" s="2"/>
    </row>
    <row r="94" spans="1:16" ht="16.2" thickBot="1">
      <c r="A94" s="1">
        <v>5</v>
      </c>
      <c r="B94" s="2" t="s">
        <v>56</v>
      </c>
      <c r="C94" s="479"/>
      <c r="D94" s="522">
        <v>0</v>
      </c>
      <c r="E94" s="479"/>
      <c r="F94" s="479" t="s">
        <v>57</v>
      </c>
      <c r="G94" s="521">
        <f>K247</f>
        <v>7.6624259026089034E-2</v>
      </c>
      <c r="H94" s="479"/>
      <c r="I94" s="487">
        <f>+G94*D94</f>
        <v>0</v>
      </c>
      <c r="J94" s="479"/>
      <c r="K94" s="479"/>
      <c r="L94" s="545"/>
      <c r="O94" s="1"/>
      <c r="P94" s="2"/>
    </row>
    <row r="95" spans="1:16">
      <c r="A95" s="1">
        <v>6</v>
      </c>
      <c r="B95" s="2" t="s">
        <v>217</v>
      </c>
      <c r="C95" s="479"/>
      <c r="D95" s="484">
        <f>SUM(D90:D94)</f>
        <v>79330392.384615377</v>
      </c>
      <c r="E95" s="479"/>
      <c r="F95" s="479" t="s">
        <v>58</v>
      </c>
      <c r="G95" s="523">
        <f>IF(I95&gt;0,I95/D95,0)</f>
        <v>0.21870065553281753</v>
      </c>
      <c r="H95" s="479"/>
      <c r="I95" s="484">
        <f>SUM(I90:I94)</f>
        <v>17349608.818191018</v>
      </c>
      <c r="J95" s="479"/>
      <c r="K95" s="524"/>
      <c r="L95" s="545"/>
      <c r="N95" s="479"/>
      <c r="O95" s="479"/>
      <c r="P95" s="2"/>
    </row>
    <row r="96" spans="1:16">
      <c r="B96" s="2"/>
      <c r="C96" s="479"/>
      <c r="D96" s="479"/>
      <c r="E96" s="479"/>
      <c r="F96" s="479"/>
      <c r="G96" s="524"/>
      <c r="H96" s="479"/>
      <c r="I96" s="479"/>
      <c r="J96" s="479"/>
      <c r="K96" s="524"/>
      <c r="L96" s="544"/>
      <c r="N96" s="479"/>
      <c r="O96" s="479"/>
      <c r="P96" s="2"/>
    </row>
    <row r="97" spans="1:16">
      <c r="B97" s="2" t="s">
        <v>286</v>
      </c>
      <c r="C97" s="479"/>
      <c r="D97" s="479"/>
      <c r="E97" s="479"/>
      <c r="F97" s="479"/>
      <c r="G97" s="479"/>
      <c r="H97" s="479"/>
      <c r="I97" s="479"/>
      <c r="J97" s="479"/>
      <c r="K97" s="479"/>
      <c r="L97" s="544"/>
      <c r="N97" s="479"/>
      <c r="O97" s="479"/>
      <c r="P97" s="2"/>
    </row>
    <row r="98" spans="1:16">
      <c r="A98" s="1">
        <v>7</v>
      </c>
      <c r="B98" s="510" t="str">
        <f>+B90</f>
        <v xml:space="preserve">  Production</v>
      </c>
      <c r="D98" s="16">
        <f>+Plant!G42</f>
        <v>2508624.6153846141</v>
      </c>
      <c r="E98" s="479"/>
      <c r="F98" s="484" t="str">
        <f t="shared" ref="F98:G102" si="0">+F90</f>
        <v>NA</v>
      </c>
      <c r="G98" s="521" t="str">
        <f t="shared" si="0"/>
        <v xml:space="preserve"> </v>
      </c>
      <c r="H98" s="479"/>
      <c r="I98" s="479" t="s">
        <v>2</v>
      </c>
      <c r="J98" s="479"/>
      <c r="K98" s="479"/>
      <c r="L98" s="544"/>
      <c r="N98" s="479"/>
      <c r="O98" s="479"/>
      <c r="P98" s="2"/>
    </row>
    <row r="99" spans="1:16">
      <c r="A99" s="1">
        <v>8</v>
      </c>
      <c r="B99" s="510" t="str">
        <f>+B91</f>
        <v xml:space="preserve">  Transmission</v>
      </c>
      <c r="D99" s="16">
        <f>+Plant!H42</f>
        <v>8708297.9999999981</v>
      </c>
      <c r="E99" s="479"/>
      <c r="F99" s="484" t="str">
        <f t="shared" si="0"/>
        <v>TP</v>
      </c>
      <c r="G99" s="521">
        <f t="shared" si="0"/>
        <v>1</v>
      </c>
      <c r="H99" s="479"/>
      <c r="I99" s="484">
        <f>+G99*D99</f>
        <v>8708297.9999999981</v>
      </c>
      <c r="J99" s="479"/>
      <c r="K99" s="479"/>
      <c r="L99" s="545"/>
      <c r="N99" s="479"/>
      <c r="O99" s="479"/>
      <c r="P99" s="2"/>
    </row>
    <row r="100" spans="1:16">
      <c r="A100" s="1">
        <v>9</v>
      </c>
      <c r="B100" s="510" t="str">
        <f>+B92</f>
        <v xml:space="preserve">  Distribution</v>
      </c>
      <c r="D100" s="16">
        <f>+Plant!I42</f>
        <v>21418832.769230761</v>
      </c>
      <c r="E100" s="479"/>
      <c r="F100" s="484" t="str">
        <f t="shared" si="0"/>
        <v>NA</v>
      </c>
      <c r="G100" s="521" t="str">
        <f t="shared" si="0"/>
        <v xml:space="preserve"> </v>
      </c>
      <c r="H100" s="479"/>
      <c r="I100" s="479" t="s">
        <v>2</v>
      </c>
      <c r="J100" s="479"/>
      <c r="K100" s="479"/>
      <c r="L100" s="544"/>
      <c r="N100" s="479"/>
      <c r="O100" s="479"/>
      <c r="P100" s="2"/>
    </row>
    <row r="101" spans="1:16">
      <c r="A101" s="1">
        <v>10</v>
      </c>
      <c r="B101" s="510" t="str">
        <f>+B93</f>
        <v xml:space="preserve">  General &amp; Intangible</v>
      </c>
      <c r="D101" s="16">
        <f>+Plant!J42</f>
        <v>5407622.5384615362</v>
      </c>
      <c r="E101" s="479"/>
      <c r="F101" s="484" t="str">
        <f t="shared" si="0"/>
        <v>W/S</v>
      </c>
      <c r="G101" s="521">
        <f t="shared" si="0"/>
        <v>0.13090475375886951</v>
      </c>
      <c r="H101" s="479"/>
      <c r="I101" s="484">
        <f>+G101*D101</f>
        <v>707883.49681822024</v>
      </c>
      <c r="J101" s="479"/>
      <c r="K101" s="479"/>
      <c r="L101" s="545"/>
      <c r="N101" s="479"/>
      <c r="O101" s="1"/>
      <c r="P101" s="2"/>
    </row>
    <row r="102" spans="1:16" ht="16.2" thickBot="1">
      <c r="A102" s="1">
        <v>11</v>
      </c>
      <c r="B102" s="510" t="str">
        <f>+B94</f>
        <v xml:space="preserve">  Common</v>
      </c>
      <c r="C102" s="479"/>
      <c r="D102" s="522">
        <v>0</v>
      </c>
      <c r="E102" s="479"/>
      <c r="F102" s="484" t="str">
        <f t="shared" si="0"/>
        <v>CE</v>
      </c>
      <c r="G102" s="521">
        <f t="shared" si="0"/>
        <v>7.6624259026089034E-2</v>
      </c>
      <c r="H102" s="479"/>
      <c r="I102" s="487">
        <f>+G102*D102</f>
        <v>0</v>
      </c>
      <c r="J102" s="479"/>
      <c r="K102" s="479"/>
      <c r="L102" s="545"/>
      <c r="N102" s="479"/>
      <c r="O102" s="1"/>
      <c r="P102" s="2"/>
    </row>
    <row r="103" spans="1:16">
      <c r="A103" s="1">
        <v>12</v>
      </c>
      <c r="B103" s="2" t="s">
        <v>218</v>
      </c>
      <c r="C103" s="479"/>
      <c r="D103" s="484">
        <f>SUM(D98:D102)</f>
        <v>38043377.923076913</v>
      </c>
      <c r="E103" s="479"/>
      <c r="F103" s="479"/>
      <c r="G103" s="479"/>
      <c r="H103" s="479"/>
      <c r="I103" s="484">
        <f>SUM(I98:I102)</f>
        <v>9416181.4968182184</v>
      </c>
      <c r="J103" s="479"/>
      <c r="K103" s="479"/>
      <c r="L103" s="545"/>
      <c r="N103" s="526"/>
      <c r="O103" s="479"/>
      <c r="P103" s="2"/>
    </row>
    <row r="104" spans="1:16">
      <c r="A104" s="1"/>
      <c r="C104" s="479" t="s">
        <v>2</v>
      </c>
      <c r="E104" s="479"/>
      <c r="F104" s="479"/>
      <c r="G104" s="524"/>
      <c r="H104" s="479"/>
      <c r="J104" s="479"/>
      <c r="K104" s="524"/>
      <c r="L104" s="581"/>
      <c r="N104" s="479"/>
      <c r="O104" s="479"/>
      <c r="P104" s="2"/>
    </row>
    <row r="105" spans="1:16">
      <c r="A105" s="1"/>
      <c r="B105" s="2" t="s">
        <v>59</v>
      </c>
      <c r="C105" s="479"/>
      <c r="D105" s="479"/>
      <c r="E105" s="479"/>
      <c r="F105" s="479"/>
      <c r="G105" s="479"/>
      <c r="H105" s="479"/>
      <c r="I105" s="479"/>
      <c r="J105" s="479"/>
      <c r="K105" s="479"/>
      <c r="L105" s="544"/>
      <c r="N105" s="479"/>
      <c r="O105" s="479"/>
      <c r="P105" s="2"/>
    </row>
    <row r="106" spans="1:16">
      <c r="A106" s="1">
        <v>13</v>
      </c>
      <c r="B106" s="510" t="str">
        <f>+B98</f>
        <v xml:space="preserve">  Production</v>
      </c>
      <c r="C106" s="479" t="s">
        <v>219</v>
      </c>
      <c r="D106" s="484">
        <f>D90-D98</f>
        <v>312133.30769230891</v>
      </c>
      <c r="E106" s="479"/>
      <c r="F106" s="479"/>
      <c r="G106" s="524"/>
      <c r="H106" s="479"/>
      <c r="I106" s="479" t="s">
        <v>2</v>
      </c>
      <c r="J106" s="479"/>
      <c r="K106" s="524"/>
      <c r="L106" s="544"/>
      <c r="N106" s="479"/>
      <c r="O106" s="479"/>
      <c r="P106" s="2"/>
    </row>
    <row r="107" spans="1:16">
      <c r="A107" s="1">
        <v>14</v>
      </c>
      <c r="B107" s="510" t="str">
        <f>+B99</f>
        <v xml:space="preserve">  Transmission</v>
      </c>
      <c r="C107" s="479" t="s">
        <v>220</v>
      </c>
      <c r="D107" s="484">
        <f>D91-D99</f>
        <v>7696072.0000000019</v>
      </c>
      <c r="E107" s="479"/>
      <c r="F107" s="479"/>
      <c r="G107" s="520"/>
      <c r="H107" s="479"/>
      <c r="I107" s="484">
        <f>I91-I99</f>
        <v>7696072.0000000019</v>
      </c>
      <c r="J107" s="479"/>
      <c r="K107" s="524"/>
      <c r="L107" s="545"/>
      <c r="N107" s="479"/>
      <c r="O107" s="479"/>
      <c r="P107" s="2"/>
    </row>
    <row r="108" spans="1:16">
      <c r="A108" s="1">
        <v>15</v>
      </c>
      <c r="B108" s="510" t="str">
        <f>+B100</f>
        <v xml:space="preserve">  Distribution</v>
      </c>
      <c r="C108" s="479" t="s">
        <v>221</v>
      </c>
      <c r="D108" s="484">
        <f>D92-D100</f>
        <v>31465618.15384616</v>
      </c>
      <c r="E108" s="479"/>
      <c r="F108" s="479"/>
      <c r="G108" s="524"/>
      <c r="H108" s="479"/>
      <c r="I108" s="479" t="s">
        <v>2</v>
      </c>
      <c r="J108" s="479"/>
      <c r="K108" s="524"/>
      <c r="L108" s="544"/>
      <c r="N108" s="479"/>
      <c r="O108" s="479"/>
      <c r="P108" s="2"/>
    </row>
    <row r="109" spans="1:16">
      <c r="A109" s="1">
        <v>16</v>
      </c>
      <c r="B109" s="510" t="str">
        <f>+B101</f>
        <v xml:space="preserve">  General &amp; Intangible</v>
      </c>
      <c r="C109" s="479" t="s">
        <v>222</v>
      </c>
      <c r="D109" s="484">
        <f>D93-D101</f>
        <v>1813191.0000000019</v>
      </c>
      <c r="E109" s="479"/>
      <c r="F109" s="479"/>
      <c r="G109" s="524"/>
      <c r="H109" s="479"/>
      <c r="I109" s="484">
        <f>I93-I101</f>
        <v>237355.32137279864</v>
      </c>
      <c r="J109" s="479"/>
      <c r="K109" s="524"/>
      <c r="L109" s="545"/>
      <c r="N109" s="479"/>
      <c r="O109" s="1"/>
      <c r="P109" s="2"/>
    </row>
    <row r="110" spans="1:16" ht="16.2" thickBot="1">
      <c r="A110" s="1">
        <v>17</v>
      </c>
      <c r="B110" s="510" t="str">
        <f>+B102</f>
        <v xml:space="preserve">  Common</v>
      </c>
      <c r="C110" s="479" t="s">
        <v>223</v>
      </c>
      <c r="D110" s="487">
        <f>D94-D102</f>
        <v>0</v>
      </c>
      <c r="E110" s="479"/>
      <c r="F110" s="479"/>
      <c r="G110" s="524"/>
      <c r="H110" s="479"/>
      <c r="I110" s="487">
        <f>I94-I102</f>
        <v>0</v>
      </c>
      <c r="J110" s="479"/>
      <c r="K110" s="524"/>
      <c r="L110" s="545"/>
      <c r="N110" s="479"/>
      <c r="O110" s="1"/>
      <c r="P110" s="2"/>
    </row>
    <row r="111" spans="1:16">
      <c r="A111" s="1">
        <v>18</v>
      </c>
      <c r="B111" s="2" t="s">
        <v>224</v>
      </c>
      <c r="C111" s="479"/>
      <c r="D111" s="484">
        <f>SUM(D106:D110)</f>
        <v>41287014.461538471</v>
      </c>
      <c r="E111" s="479"/>
      <c r="F111" s="479" t="s">
        <v>60</v>
      </c>
      <c r="G111" s="523">
        <f>IF(I111&gt;0,I111/D111,0)</f>
        <v>0.19215308795852271</v>
      </c>
      <c r="H111" s="479"/>
      <c r="I111" s="484">
        <f>SUM(I106:I110)</f>
        <v>7933427.3213728005</v>
      </c>
      <c r="J111" s="479"/>
      <c r="K111" s="479"/>
      <c r="L111" s="545"/>
      <c r="N111" s="488"/>
      <c r="O111" s="479"/>
      <c r="P111" s="2"/>
    </row>
    <row r="112" spans="1:16">
      <c r="A112" s="1"/>
      <c r="C112" s="479"/>
      <c r="E112" s="479"/>
      <c r="H112" s="479"/>
      <c r="J112" s="479"/>
      <c r="K112" s="524"/>
      <c r="L112" s="581"/>
      <c r="N112" s="479"/>
      <c r="O112" s="479"/>
      <c r="P112" s="2"/>
    </row>
    <row r="113" spans="1:16">
      <c r="A113" s="1"/>
      <c r="B113" s="2" t="s">
        <v>225</v>
      </c>
      <c r="C113" s="479"/>
      <c r="D113" s="479"/>
      <c r="E113" s="479"/>
      <c r="F113" s="479"/>
      <c r="G113" s="479"/>
      <c r="H113" s="479"/>
      <c r="I113" s="479"/>
      <c r="J113" s="479"/>
      <c r="K113" s="479"/>
      <c r="L113" s="544"/>
      <c r="N113" s="479"/>
      <c r="O113" s="479"/>
      <c r="P113" s="2"/>
    </row>
    <row r="114" spans="1:16">
      <c r="A114" s="1">
        <v>19</v>
      </c>
      <c r="B114" s="2" t="s">
        <v>61</v>
      </c>
      <c r="C114" s="479"/>
      <c r="D114" s="525">
        <v>0</v>
      </c>
      <c r="E114" s="479"/>
      <c r="F114" s="479"/>
      <c r="G114" s="527" t="s">
        <v>176</v>
      </c>
      <c r="H114" s="479"/>
      <c r="I114" s="479">
        <v>0</v>
      </c>
      <c r="J114" s="479"/>
      <c r="K114" s="524"/>
      <c r="L114" s="544"/>
      <c r="N114" s="524"/>
      <c r="O114" s="1"/>
      <c r="P114" s="2"/>
    </row>
    <row r="115" spans="1:16">
      <c r="A115" s="1">
        <v>20</v>
      </c>
      <c r="B115" s="2" t="s">
        <v>63</v>
      </c>
      <c r="C115" s="479"/>
      <c r="D115" s="525">
        <v>0</v>
      </c>
      <c r="E115" s="479"/>
      <c r="F115" s="479" t="s">
        <v>62</v>
      </c>
      <c r="G115" s="521">
        <f>+G111</f>
        <v>0.19215308795852271</v>
      </c>
      <c r="H115" s="479"/>
      <c r="I115" s="484">
        <f>D115*G115</f>
        <v>0</v>
      </c>
      <c r="J115" s="479"/>
      <c r="K115" s="524"/>
      <c r="L115" s="545"/>
      <c r="N115" s="524"/>
      <c r="O115" s="1"/>
      <c r="P115" s="2"/>
    </row>
    <row r="116" spans="1:16">
      <c r="A116" s="1">
        <v>21</v>
      </c>
      <c r="B116" s="2" t="s">
        <v>64</v>
      </c>
      <c r="C116" s="479"/>
      <c r="D116" s="525">
        <v>0</v>
      </c>
      <c r="E116" s="479"/>
      <c r="F116" s="479" t="s">
        <v>62</v>
      </c>
      <c r="G116" s="521">
        <f>+G115</f>
        <v>0.19215308795852271</v>
      </c>
      <c r="H116" s="479"/>
      <c r="I116" s="484">
        <f>D116*G116</f>
        <v>0</v>
      </c>
      <c r="J116" s="479"/>
      <c r="K116" s="524"/>
      <c r="L116" s="545"/>
      <c r="N116" s="524"/>
      <c r="O116" s="1"/>
      <c r="P116" s="2"/>
    </row>
    <row r="117" spans="1:16">
      <c r="A117" s="1">
        <v>22</v>
      </c>
      <c r="B117" s="2" t="s">
        <v>65</v>
      </c>
      <c r="C117" s="479"/>
      <c r="D117" s="525">
        <v>0</v>
      </c>
      <c r="E117" s="479"/>
      <c r="F117" s="484" t="str">
        <f>+F116</f>
        <v>NP</v>
      </c>
      <c r="G117" s="521">
        <f>+G116</f>
        <v>0.19215308795852271</v>
      </c>
      <c r="H117" s="479"/>
      <c r="I117" s="484">
        <f>D117*G117</f>
        <v>0</v>
      </c>
      <c r="J117" s="479"/>
      <c r="K117" s="524"/>
      <c r="L117" s="545"/>
      <c r="N117" s="524"/>
      <c r="O117" s="1"/>
      <c r="P117" s="2"/>
    </row>
    <row r="118" spans="1:16" ht="16.2" thickBot="1">
      <c r="A118" s="1">
        <v>23</v>
      </c>
      <c r="B118" s="475" t="s">
        <v>66</v>
      </c>
      <c r="D118" s="522">
        <v>0</v>
      </c>
      <c r="E118" s="479"/>
      <c r="F118" s="479" t="s">
        <v>62</v>
      </c>
      <c r="G118" s="521">
        <f>+G116</f>
        <v>0.19215308795852271</v>
      </c>
      <c r="H118" s="479"/>
      <c r="I118" s="487">
        <f>D118*G118</f>
        <v>0</v>
      </c>
      <c r="J118" s="479"/>
      <c r="K118" s="479"/>
      <c r="L118" s="545"/>
      <c r="N118" s="526"/>
      <c r="O118" s="479"/>
      <c r="P118" s="2"/>
    </row>
    <row r="119" spans="1:16">
      <c r="A119" s="1">
        <v>24</v>
      </c>
      <c r="B119" s="2" t="s">
        <v>67</v>
      </c>
      <c r="C119" s="479"/>
      <c r="D119" s="484">
        <f>SUM(D114:D118)</f>
        <v>0</v>
      </c>
      <c r="E119" s="479"/>
      <c r="F119" s="479"/>
      <c r="G119" s="479"/>
      <c r="H119" s="479"/>
      <c r="I119" s="484">
        <f>SUM(I114:I118)</f>
        <v>0</v>
      </c>
      <c r="J119" s="479"/>
      <c r="K119" s="524"/>
      <c r="L119" s="545"/>
      <c r="N119" s="479"/>
      <c r="O119" s="479"/>
      <c r="P119" s="2"/>
    </row>
    <row r="120" spans="1:16">
      <c r="A120" s="1"/>
      <c r="B120" s="2"/>
      <c r="C120" s="479"/>
      <c r="D120" s="479"/>
      <c r="E120" s="479"/>
      <c r="F120" s="479"/>
      <c r="G120" s="479"/>
      <c r="H120" s="479"/>
      <c r="I120" s="479"/>
      <c r="J120" s="479"/>
      <c r="K120" s="524"/>
      <c r="L120" s="544"/>
      <c r="N120" s="479"/>
      <c r="O120" s="479"/>
      <c r="P120" s="2"/>
    </row>
    <row r="121" spans="1:16">
      <c r="A121" s="1">
        <v>25</v>
      </c>
      <c r="B121" s="2" t="s">
        <v>68</v>
      </c>
      <c r="C121" s="479" t="s">
        <v>259</v>
      </c>
      <c r="D121" s="525">
        <v>0</v>
      </c>
      <c r="E121" s="479"/>
      <c r="F121" s="484" t="str">
        <f>+F99</f>
        <v>TP</v>
      </c>
      <c r="G121" s="521">
        <f>+G99</f>
        <v>1</v>
      </c>
      <c r="H121" s="479"/>
      <c r="I121" s="484">
        <f>+G121*D121</f>
        <v>0</v>
      </c>
      <c r="J121" s="479"/>
      <c r="K121" s="479"/>
      <c r="L121" s="545"/>
      <c r="N121" s="479"/>
      <c r="O121" s="479"/>
      <c r="P121" s="2"/>
    </row>
    <row r="122" spans="1:16">
      <c r="A122" s="1"/>
      <c r="B122" s="2"/>
      <c r="C122" s="479"/>
      <c r="D122" s="479"/>
      <c r="E122" s="479"/>
      <c r="F122" s="479"/>
      <c r="G122" s="479"/>
      <c r="H122" s="479"/>
      <c r="I122" s="479"/>
      <c r="J122" s="479"/>
      <c r="K122" s="479"/>
      <c r="L122" s="544"/>
      <c r="N122" s="479"/>
      <c r="O122" s="479"/>
      <c r="P122" s="2"/>
    </row>
    <row r="123" spans="1:16">
      <c r="A123" s="1"/>
      <c r="B123" s="2" t="s">
        <v>69</v>
      </c>
      <c r="C123" s="479" t="s">
        <v>71</v>
      </c>
      <c r="D123" s="479"/>
      <c r="E123" s="479"/>
      <c r="F123" s="479"/>
      <c r="G123" s="479"/>
      <c r="H123" s="479"/>
      <c r="I123" s="479"/>
      <c r="J123" s="479"/>
      <c r="K123" s="479"/>
      <c r="L123" s="544"/>
      <c r="N123" s="479"/>
      <c r="O123" s="479"/>
      <c r="P123" s="2"/>
    </row>
    <row r="124" spans="1:16">
      <c r="A124" s="1">
        <v>26</v>
      </c>
      <c r="B124" s="2" t="s">
        <v>70</v>
      </c>
      <c r="D124" s="484">
        <f>D165/8</f>
        <v>164758.96000000002</v>
      </c>
      <c r="E124" s="479"/>
      <c r="F124" s="479"/>
      <c r="G124" s="524"/>
      <c r="H124" s="479"/>
      <c r="I124" s="484">
        <f>I165/8</f>
        <v>64289.374623671618</v>
      </c>
      <c r="J124" s="5"/>
      <c r="K124" s="524"/>
      <c r="L124" s="545"/>
      <c r="N124" s="528"/>
      <c r="O124" s="4"/>
      <c r="P124" s="2"/>
    </row>
    <row r="125" spans="1:16">
      <c r="A125" s="1">
        <v>27</v>
      </c>
      <c r="B125" s="2" t="s">
        <v>72</v>
      </c>
      <c r="C125" s="475" t="s">
        <v>226</v>
      </c>
      <c r="D125" s="16">
        <f>+'Materials and Prepayments'!D22</f>
        <v>5683</v>
      </c>
      <c r="E125" s="479"/>
      <c r="F125" s="479" t="s">
        <v>73</v>
      </c>
      <c r="G125" s="521">
        <f>I236</f>
        <v>1</v>
      </c>
      <c r="H125" s="479"/>
      <c r="I125" s="484">
        <f>G125*D125</f>
        <v>5683</v>
      </c>
      <c r="J125" s="479" t="s">
        <v>2</v>
      </c>
      <c r="K125" s="524"/>
      <c r="L125" s="545"/>
      <c r="N125" s="528"/>
      <c r="O125" s="1"/>
      <c r="P125" s="2"/>
    </row>
    <row r="126" spans="1:16" ht="16.2" thickBot="1">
      <c r="A126" s="1">
        <v>28</v>
      </c>
      <c r="B126" s="2" t="s">
        <v>74</v>
      </c>
      <c r="C126" s="475" t="s">
        <v>260</v>
      </c>
      <c r="D126" s="15">
        <f>+'Materials and Prepayments'!E22</f>
        <v>24790.615384615383</v>
      </c>
      <c r="E126" s="479"/>
      <c r="F126" s="479" t="s">
        <v>75</v>
      </c>
      <c r="G126" s="521">
        <f>+G95</f>
        <v>0.21870065553281753</v>
      </c>
      <c r="H126" s="479"/>
      <c r="I126" s="487">
        <f>+G126*D126</f>
        <v>5421.723835677336</v>
      </c>
      <c r="J126" s="479"/>
      <c r="K126" s="524"/>
      <c r="L126" s="545"/>
      <c r="N126" s="528"/>
      <c r="O126" s="1"/>
      <c r="P126" s="2"/>
    </row>
    <row r="127" spans="1:16">
      <c r="A127" s="1">
        <v>29</v>
      </c>
      <c r="B127" s="2" t="s">
        <v>227</v>
      </c>
      <c r="C127" s="5"/>
      <c r="D127" s="484">
        <f>D124+D125+D126</f>
        <v>195232.5753846154</v>
      </c>
      <c r="E127" s="5"/>
      <c r="F127" s="5"/>
      <c r="G127" s="5"/>
      <c r="H127" s="5"/>
      <c r="I127" s="484">
        <f>I124+I125+I126</f>
        <v>75394.098459348941</v>
      </c>
      <c r="J127" s="5"/>
      <c r="K127" s="5"/>
      <c r="L127" s="545"/>
      <c r="N127" s="526"/>
      <c r="O127" s="479"/>
      <c r="P127" s="2"/>
    </row>
    <row r="128" spans="1:16" ht="16.2" thickBot="1">
      <c r="C128" s="479"/>
      <c r="D128" s="529"/>
      <c r="E128" s="479"/>
      <c r="F128" s="479"/>
      <c r="G128" s="479"/>
      <c r="H128" s="479"/>
      <c r="I128" s="529"/>
      <c r="J128" s="479"/>
      <c r="K128" s="479"/>
      <c r="L128" s="581"/>
      <c r="N128" s="479"/>
      <c r="O128" s="479"/>
      <c r="P128" s="2"/>
    </row>
    <row r="129" spans="1:16" ht="16.2" thickBot="1">
      <c r="A129" s="1">
        <v>30</v>
      </c>
      <c r="B129" s="2" t="s">
        <v>76</v>
      </c>
      <c r="C129" s="479"/>
      <c r="D129" s="530">
        <f>+D127+D121+D119+D111</f>
        <v>41482247.036923088</v>
      </c>
      <c r="E129" s="479"/>
      <c r="F129" s="479"/>
      <c r="G129" s="524"/>
      <c r="H129" s="479"/>
      <c r="I129" s="530">
        <f>+I127+I121+I119+I111</f>
        <v>8008821.4198321495</v>
      </c>
      <c r="J129" s="479"/>
      <c r="K129" s="524"/>
      <c r="L129" s="545"/>
      <c r="N129" s="479"/>
      <c r="O129" s="479"/>
      <c r="P129" s="2"/>
    </row>
    <row r="130" spans="1:16" ht="16.2" thickTop="1">
      <c r="A130" s="1"/>
      <c r="B130" s="2"/>
      <c r="C130" s="479"/>
      <c r="D130" s="479"/>
      <c r="E130" s="479"/>
      <c r="F130" s="479"/>
      <c r="G130" s="479"/>
      <c r="H130" s="479"/>
      <c r="I130" s="479"/>
      <c r="J130" s="479"/>
      <c r="K130" s="479"/>
      <c r="L130" s="627"/>
      <c r="N130" s="479"/>
      <c r="O130" s="479"/>
      <c r="P130" s="2"/>
    </row>
    <row r="131" spans="1:16">
      <c r="A131" s="1"/>
      <c r="B131" s="2"/>
      <c r="C131" s="479"/>
      <c r="D131" s="479"/>
      <c r="E131" s="479"/>
      <c r="F131" s="479"/>
      <c r="G131" s="479"/>
      <c r="H131" s="479"/>
      <c r="I131" s="479"/>
      <c r="J131" s="479"/>
      <c r="K131" s="479"/>
      <c r="L131" s="627"/>
      <c r="N131" s="479"/>
      <c r="O131" s="479"/>
      <c r="P131" s="2"/>
    </row>
    <row r="132" spans="1:16">
      <c r="A132" s="1"/>
      <c r="B132" s="2"/>
      <c r="C132" s="479"/>
      <c r="D132" s="479"/>
      <c r="E132" s="479"/>
      <c r="F132" s="479"/>
      <c r="G132" s="479"/>
      <c r="H132" s="479"/>
      <c r="I132" s="479"/>
      <c r="J132" s="479"/>
      <c r="K132" s="479"/>
      <c r="L132" s="627"/>
      <c r="N132" s="479"/>
      <c r="O132" s="479"/>
      <c r="P132" s="2"/>
    </row>
    <row r="133" spans="1:16">
      <c r="A133" s="1"/>
      <c r="B133" s="2"/>
      <c r="C133" s="479"/>
      <c r="D133" s="479"/>
      <c r="E133" s="479"/>
      <c r="F133" s="479"/>
      <c r="G133" s="479"/>
      <c r="H133" s="479"/>
      <c r="I133" s="479"/>
      <c r="J133" s="479"/>
      <c r="K133" s="479"/>
      <c r="L133" s="627"/>
      <c r="N133" s="479"/>
      <c r="O133" s="479"/>
      <c r="P133" s="2"/>
    </row>
    <row r="134" spans="1:16">
      <c r="A134" s="1"/>
      <c r="B134" s="2"/>
      <c r="C134" s="479"/>
      <c r="D134" s="479"/>
      <c r="E134" s="479"/>
      <c r="F134" s="479"/>
      <c r="G134" s="479"/>
      <c r="H134" s="479"/>
      <c r="I134" s="479"/>
      <c r="J134" s="479"/>
      <c r="K134" s="479"/>
      <c r="L134" s="627"/>
      <c r="N134" s="479"/>
      <c r="O134" s="479"/>
      <c r="P134" s="2"/>
    </row>
    <row r="135" spans="1:16">
      <c r="A135" s="1"/>
      <c r="B135" s="2"/>
      <c r="C135" s="479"/>
      <c r="D135" s="479"/>
      <c r="E135" s="479"/>
      <c r="F135" s="479"/>
      <c r="G135" s="479"/>
      <c r="H135" s="479"/>
      <c r="I135" s="479"/>
      <c r="J135" s="479"/>
      <c r="K135" s="479"/>
      <c r="L135" s="627"/>
      <c r="N135" s="479"/>
      <c r="O135" s="479"/>
      <c r="P135" s="2"/>
    </row>
    <row r="136" spans="1:16">
      <c r="A136" s="1"/>
      <c r="B136" s="2"/>
      <c r="C136" s="479"/>
      <c r="D136" s="479"/>
      <c r="E136" s="479"/>
      <c r="F136" s="479"/>
      <c r="G136" s="479"/>
      <c r="H136" s="479"/>
      <c r="I136" s="479"/>
      <c r="J136" s="479"/>
      <c r="K136" s="479"/>
      <c r="L136" s="627"/>
      <c r="N136" s="479"/>
      <c r="O136" s="479"/>
      <c r="P136" s="2"/>
    </row>
    <row r="137" spans="1:16">
      <c r="A137" s="1"/>
      <c r="B137" s="2"/>
      <c r="C137" s="479"/>
      <c r="D137" s="479"/>
      <c r="E137" s="479"/>
      <c r="F137" s="479"/>
      <c r="G137" s="479"/>
      <c r="H137" s="479"/>
      <c r="I137" s="479"/>
      <c r="J137" s="479"/>
      <c r="K137" s="479"/>
      <c r="L137" s="627"/>
      <c r="N137" s="479"/>
      <c r="O137" s="479"/>
      <c r="P137" s="2"/>
    </row>
    <row r="138" spans="1:16">
      <c r="A138" s="1"/>
      <c r="B138" s="2"/>
      <c r="C138" s="479"/>
      <c r="D138" s="479"/>
      <c r="E138" s="479"/>
      <c r="F138" s="479"/>
      <c r="G138" s="479"/>
      <c r="H138" s="479"/>
      <c r="I138" s="479"/>
      <c r="J138" s="479"/>
      <c r="K138" s="479"/>
      <c r="L138" s="627"/>
      <c r="N138" s="479"/>
      <c r="O138" s="479"/>
      <c r="P138" s="2"/>
    </row>
    <row r="139" spans="1:16">
      <c r="A139" s="1"/>
      <c r="B139" s="2"/>
      <c r="C139" s="479"/>
      <c r="D139" s="479"/>
      <c r="E139" s="479"/>
      <c r="F139" s="479"/>
      <c r="G139" s="479"/>
      <c r="H139" s="479"/>
      <c r="I139" s="479"/>
      <c r="J139" s="479"/>
      <c r="K139" s="479"/>
      <c r="L139" s="627"/>
      <c r="N139" s="479"/>
      <c r="O139" s="479"/>
      <c r="P139" s="2"/>
    </row>
    <row r="140" spans="1:16">
      <c r="A140" s="1"/>
      <c r="B140" s="2"/>
      <c r="C140" s="479"/>
      <c r="D140" s="479"/>
      <c r="E140" s="479"/>
      <c r="F140" s="479"/>
      <c r="G140" s="479"/>
      <c r="H140" s="479"/>
      <c r="I140" s="479"/>
      <c r="J140" s="479"/>
      <c r="K140" s="479"/>
      <c r="L140" s="627"/>
      <c r="N140" s="479"/>
      <c r="O140" s="479"/>
      <c r="P140" s="2"/>
    </row>
    <row r="141" spans="1:16">
      <c r="A141" s="1"/>
      <c r="B141" s="2"/>
      <c r="C141" s="479"/>
      <c r="D141" s="479"/>
      <c r="E141" s="479"/>
      <c r="F141" s="479"/>
      <c r="G141" s="479"/>
      <c r="H141" s="479"/>
      <c r="I141" s="479"/>
      <c r="J141" s="479"/>
      <c r="K141" s="479"/>
      <c r="L141" s="627"/>
      <c r="N141" s="479"/>
      <c r="O141" s="479"/>
      <c r="P141" s="2"/>
    </row>
    <row r="142" spans="1:16">
      <c r="A142" s="1"/>
      <c r="B142" s="2"/>
      <c r="C142" s="479"/>
      <c r="D142" s="479"/>
      <c r="E142" s="479"/>
      <c r="F142" s="479"/>
      <c r="G142" s="479"/>
      <c r="H142" s="479"/>
      <c r="I142" s="479"/>
      <c r="J142" s="479"/>
      <c r="K142" s="479"/>
      <c r="L142" s="627"/>
      <c r="N142" s="479"/>
      <c r="O142" s="479"/>
      <c r="P142" s="2"/>
    </row>
    <row r="143" spans="1:16">
      <c r="A143" s="1"/>
      <c r="B143" s="2"/>
      <c r="C143" s="479"/>
      <c r="D143" s="479"/>
      <c r="E143" s="479"/>
      <c r="F143" s="479"/>
      <c r="G143" s="479"/>
      <c r="H143" s="479"/>
      <c r="I143" s="479"/>
      <c r="J143" s="479"/>
      <c r="K143" s="479"/>
      <c r="L143" s="627"/>
      <c r="N143" s="479"/>
      <c r="O143" s="479"/>
      <c r="P143" s="2"/>
    </row>
    <row r="144" spans="1:16">
      <c r="A144" s="1"/>
      <c r="B144" s="2"/>
      <c r="C144" s="479"/>
      <c r="D144" s="479"/>
      <c r="E144" s="479"/>
      <c r="F144" s="479"/>
      <c r="G144" s="479"/>
      <c r="H144" s="479"/>
      <c r="I144" s="479"/>
      <c r="J144" s="479"/>
      <c r="K144" s="479"/>
      <c r="L144" s="627"/>
      <c r="N144" s="479"/>
      <c r="O144" s="479"/>
      <c r="P144" s="2"/>
    </row>
    <row r="145" spans="1:16">
      <c r="A145" s="1"/>
      <c r="B145" s="2"/>
      <c r="C145" s="479"/>
      <c r="D145" s="479"/>
      <c r="E145" s="479"/>
      <c r="F145" s="479"/>
      <c r="G145" s="479"/>
      <c r="H145" s="479"/>
      <c r="I145" s="479"/>
      <c r="J145" s="479"/>
      <c r="K145" s="479"/>
      <c r="L145" s="597"/>
      <c r="N145" s="479"/>
      <c r="O145" s="479"/>
      <c r="P145" s="2"/>
    </row>
    <row r="146" spans="1:16">
      <c r="B146" s="2"/>
      <c r="C146" s="2"/>
      <c r="D146" s="4"/>
      <c r="E146" s="2"/>
      <c r="F146" s="2"/>
      <c r="G146" s="2"/>
      <c r="H146" s="5"/>
      <c r="I146" s="5"/>
      <c r="K146" s="476" t="s">
        <v>185</v>
      </c>
      <c r="L146" s="597"/>
      <c r="N146" s="5"/>
      <c r="O146" s="5"/>
      <c r="P146" s="5"/>
    </row>
    <row r="147" spans="1:16">
      <c r="A147" s="1"/>
      <c r="B147" s="2"/>
      <c r="C147" s="479"/>
      <c r="D147" s="479"/>
      <c r="E147" s="479"/>
      <c r="F147" s="479"/>
      <c r="G147" s="479"/>
      <c r="H147" s="479"/>
      <c r="I147" s="479"/>
      <c r="J147" s="479"/>
      <c r="K147" s="479"/>
      <c r="L147" s="597"/>
      <c r="N147" s="479"/>
      <c r="O147" s="479"/>
      <c r="P147" s="2"/>
    </row>
    <row r="148" spans="1:16">
      <c r="A148" s="1"/>
      <c r="B148" s="510" t="str">
        <f>B3</f>
        <v xml:space="preserve">Formula Rate - Non-Levelized </v>
      </c>
      <c r="C148" s="479"/>
      <c r="D148" s="484" t="str">
        <f>D3</f>
        <v xml:space="preserve">   Rate Formula Template</v>
      </c>
      <c r="E148" s="479"/>
      <c r="F148" s="479"/>
      <c r="G148" s="479"/>
      <c r="H148" s="479"/>
      <c r="J148" s="479"/>
      <c r="K148" s="531" t="str">
        <f>K3</f>
        <v>For the 12 months ended 12/31/16</v>
      </c>
      <c r="N148" s="479"/>
      <c r="O148" s="479"/>
      <c r="P148" s="2"/>
    </row>
    <row r="149" spans="1:16">
      <c r="A149" s="1"/>
      <c r="B149" s="2"/>
      <c r="C149" s="479"/>
      <c r="D149" s="484" t="str">
        <f>D4</f>
        <v>Utilizing EIA Form 412 Data</v>
      </c>
      <c r="E149" s="479"/>
      <c r="F149" s="479"/>
      <c r="G149" s="479"/>
      <c r="H149" s="479"/>
      <c r="I149" s="479"/>
      <c r="J149" s="479"/>
      <c r="K149" s="479"/>
      <c r="N149" s="479"/>
      <c r="O149" s="479"/>
      <c r="P149" s="2"/>
    </row>
    <row r="150" spans="1:16">
      <c r="A150" s="1"/>
      <c r="C150" s="479"/>
      <c r="D150" s="479"/>
      <c r="E150" s="479"/>
      <c r="F150" s="479"/>
      <c r="G150" s="479"/>
      <c r="H150" s="479"/>
      <c r="I150" s="479"/>
      <c r="J150" s="479"/>
      <c r="K150" s="479"/>
      <c r="N150" s="479"/>
      <c r="O150" s="479"/>
      <c r="P150" s="2"/>
    </row>
    <row r="151" spans="1:16">
      <c r="A151" s="1"/>
      <c r="D151" s="532" t="str">
        <f>D6</f>
        <v xml:space="preserve">Marshall (Minnesota) Municipal Utilities </v>
      </c>
      <c r="J151" s="479"/>
      <c r="K151" s="479"/>
      <c r="N151" s="479"/>
      <c r="O151" s="479"/>
      <c r="P151" s="2"/>
    </row>
    <row r="152" spans="1:16">
      <c r="A152" s="1"/>
      <c r="B152" s="1" t="s">
        <v>39</v>
      </c>
      <c r="C152" s="1" t="s">
        <v>40</v>
      </c>
      <c r="D152" s="1" t="s">
        <v>41</v>
      </c>
      <c r="E152" s="479" t="s">
        <v>2</v>
      </c>
      <c r="F152" s="479"/>
      <c r="G152" s="513" t="s">
        <v>42</v>
      </c>
      <c r="H152" s="479"/>
      <c r="I152" s="514" t="s">
        <v>43</v>
      </c>
      <c r="J152" s="479"/>
      <c r="K152" s="479"/>
      <c r="N152" s="5"/>
      <c r="O152" s="479"/>
      <c r="P152" s="2"/>
    </row>
    <row r="153" spans="1:16">
      <c r="A153" s="1" t="s">
        <v>4</v>
      </c>
      <c r="B153" s="2"/>
      <c r="C153" s="515" t="s">
        <v>44</v>
      </c>
      <c r="D153" s="479"/>
      <c r="E153" s="479"/>
      <c r="F153" s="479"/>
      <c r="G153" s="1"/>
      <c r="H153" s="479"/>
      <c r="I153" s="13" t="s">
        <v>45</v>
      </c>
      <c r="J153" s="479"/>
      <c r="K153" s="13"/>
      <c r="L153" s="606"/>
      <c r="N153" s="1"/>
      <c r="O153" s="479"/>
      <c r="P153" s="2"/>
    </row>
    <row r="154" spans="1:16" ht="16.2" thickBot="1">
      <c r="A154" s="7" t="s">
        <v>6</v>
      </c>
      <c r="B154" s="2"/>
      <c r="C154" s="517" t="s">
        <v>46</v>
      </c>
      <c r="D154" s="13" t="s">
        <v>47</v>
      </c>
      <c r="E154" s="518"/>
      <c r="F154" s="13" t="s">
        <v>48</v>
      </c>
      <c r="H154" s="518"/>
      <c r="I154" s="1" t="s">
        <v>49</v>
      </c>
      <c r="J154" s="479"/>
      <c r="K154" s="13"/>
      <c r="L154" s="631"/>
      <c r="M154" s="599"/>
      <c r="N154" s="13"/>
      <c r="O154" s="479"/>
      <c r="P154" s="2"/>
    </row>
    <row r="155" spans="1:16">
      <c r="A155" s="1"/>
      <c r="B155" s="2" t="s">
        <v>287</v>
      </c>
      <c r="C155" s="479"/>
      <c r="D155" s="479"/>
      <c r="E155" s="479"/>
      <c r="F155" s="479"/>
      <c r="G155" s="479"/>
      <c r="H155" s="479"/>
      <c r="I155" s="479"/>
      <c r="J155" s="479"/>
      <c r="K155" s="479"/>
      <c r="L155" s="606"/>
      <c r="M155" s="602"/>
      <c r="N155" s="479"/>
      <c r="O155" s="479"/>
      <c r="P155" s="2"/>
    </row>
    <row r="156" spans="1:16">
      <c r="A156" s="1">
        <v>1</v>
      </c>
      <c r="B156" s="2" t="s">
        <v>77</v>
      </c>
      <c r="C156" s="475" t="s">
        <v>261</v>
      </c>
      <c r="D156" s="16">
        <f>+'Op &amp; Maint Sched 7'!H21</f>
        <v>6836903.6600000001</v>
      </c>
      <c r="E156" s="479"/>
      <c r="F156" s="479" t="s">
        <v>73</v>
      </c>
      <c r="G156" s="521">
        <f>I236</f>
        <v>1</v>
      </c>
      <c r="H156" s="479"/>
      <c r="I156" s="484">
        <f t="shared" ref="I156:I164" si="1">+G156*D156</f>
        <v>6836903.6600000001</v>
      </c>
      <c r="J156" s="5"/>
      <c r="L156" s="635"/>
      <c r="N156" s="479"/>
      <c r="O156" s="1"/>
      <c r="P156" s="479" t="s">
        <v>2</v>
      </c>
    </row>
    <row r="157" spans="1:16">
      <c r="A157" s="17" t="s">
        <v>194</v>
      </c>
      <c r="B157" s="519" t="s">
        <v>228</v>
      </c>
      <c r="C157" s="534"/>
      <c r="D157" s="16">
        <v>0</v>
      </c>
      <c r="E157" s="479"/>
      <c r="F157" s="535"/>
      <c r="G157" s="520">
        <v>1</v>
      </c>
      <c r="H157" s="479"/>
      <c r="I157" s="484">
        <f>+G157*D157</f>
        <v>0</v>
      </c>
      <c r="J157" s="5"/>
      <c r="K157" s="479"/>
      <c r="L157" s="635"/>
      <c r="M157" s="602"/>
      <c r="N157" s="479"/>
      <c r="O157" s="1"/>
      <c r="P157" s="479"/>
    </row>
    <row r="158" spans="1:16">
      <c r="A158" s="1">
        <v>2</v>
      </c>
      <c r="B158" s="2" t="s">
        <v>78</v>
      </c>
      <c r="C158" s="475" t="s">
        <v>2</v>
      </c>
      <c r="D158" s="16">
        <f>+'Transmission O&amp;M'!C19</f>
        <v>6443652</v>
      </c>
      <c r="E158" s="479"/>
      <c r="F158" s="479" t="s">
        <v>73</v>
      </c>
      <c r="G158" s="521">
        <f>+G156</f>
        <v>1</v>
      </c>
      <c r="H158" s="479"/>
      <c r="I158" s="484">
        <f t="shared" si="1"/>
        <v>6443652</v>
      </c>
      <c r="J158" s="5"/>
      <c r="L158" s="635"/>
      <c r="O158" s="479"/>
      <c r="P158" s="479"/>
    </row>
    <row r="159" spans="1:16">
      <c r="A159" s="1">
        <v>3</v>
      </c>
      <c r="B159" s="2" t="s">
        <v>79</v>
      </c>
      <c r="C159" s="475" t="s">
        <v>262</v>
      </c>
      <c r="D159" s="16">
        <f>+'Op &amp; Maint Sched 7'!H29</f>
        <v>941490.02</v>
      </c>
      <c r="E159" s="479"/>
      <c r="F159" s="479" t="s">
        <v>55</v>
      </c>
      <c r="G159" s="521">
        <f>I243</f>
        <v>0.13090475375886951</v>
      </c>
      <c r="H159" s="479"/>
      <c r="I159" s="484">
        <f t="shared" si="1"/>
        <v>123245.51923453313</v>
      </c>
      <c r="J159" s="479"/>
      <c r="L159" s="635"/>
      <c r="N159" s="479"/>
      <c r="O159" s="1"/>
      <c r="P159" s="2"/>
    </row>
    <row r="160" spans="1:16">
      <c r="A160" s="1">
        <v>4</v>
      </c>
      <c r="B160" s="2" t="s">
        <v>80</v>
      </c>
      <c r="C160" s="479"/>
      <c r="D160" s="16">
        <v>0</v>
      </c>
      <c r="E160" s="479"/>
      <c r="F160" s="484" t="str">
        <f>+F159</f>
        <v>W/S</v>
      </c>
      <c r="G160" s="521">
        <f>I243</f>
        <v>0.13090475375886951</v>
      </c>
      <c r="H160" s="479"/>
      <c r="I160" s="484">
        <f t="shared" si="1"/>
        <v>0</v>
      </c>
      <c r="J160" s="479"/>
      <c r="K160" s="479"/>
      <c r="L160" s="635"/>
      <c r="M160" s="602"/>
      <c r="N160" s="479"/>
      <c r="O160" s="1"/>
      <c r="P160" s="2"/>
    </row>
    <row r="161" spans="1:16">
      <c r="A161" s="1">
        <v>5</v>
      </c>
      <c r="B161" s="2" t="s">
        <v>229</v>
      </c>
      <c r="C161" s="479"/>
      <c r="D161" s="16">
        <f>+'EPRI Reg Comm Non Safety'!B20+'EPRI Reg Comm Non Safety'!B14</f>
        <v>16670</v>
      </c>
      <c r="E161" s="479"/>
      <c r="F161" s="484" t="str">
        <f>+F160</f>
        <v>W/S</v>
      </c>
      <c r="G161" s="521">
        <f>I243</f>
        <v>0.13090475375886951</v>
      </c>
      <c r="H161" s="479"/>
      <c r="I161" s="484">
        <f t="shared" si="1"/>
        <v>2182.1822451603548</v>
      </c>
      <c r="J161" s="479"/>
      <c r="K161" s="479"/>
      <c r="L161" s="635"/>
      <c r="N161" s="479"/>
      <c r="O161" s="1"/>
      <c r="P161" s="2"/>
    </row>
    <row r="162" spans="1:16">
      <c r="A162" s="1" t="s">
        <v>177</v>
      </c>
      <c r="B162" s="2" t="s">
        <v>230</v>
      </c>
      <c r="C162" s="479"/>
      <c r="D162" s="16">
        <f>+'EPRI Reg Comm Non Safety'!B12</f>
        <v>0</v>
      </c>
      <c r="E162" s="479"/>
      <c r="F162" s="484" t="str">
        <f>+F156</f>
        <v>TE</v>
      </c>
      <c r="G162" s="521">
        <f>+G156</f>
        <v>1</v>
      </c>
      <c r="H162" s="479"/>
      <c r="I162" s="484">
        <f t="shared" si="1"/>
        <v>0</v>
      </c>
      <c r="J162" s="479"/>
      <c r="K162" s="479"/>
      <c r="L162" s="635"/>
      <c r="M162" s="602"/>
      <c r="N162" s="479"/>
      <c r="O162" s="1"/>
      <c r="P162" s="2"/>
    </row>
    <row r="163" spans="1:16">
      <c r="A163" s="1">
        <v>6</v>
      </c>
      <c r="B163" s="2" t="s">
        <v>56</v>
      </c>
      <c r="C163" s="479"/>
      <c r="D163" s="16">
        <v>0</v>
      </c>
      <c r="E163" s="479"/>
      <c r="F163" s="479" t="s">
        <v>57</v>
      </c>
      <c r="G163" s="521">
        <f>K247</f>
        <v>7.6624259026089034E-2</v>
      </c>
      <c r="H163" s="479"/>
      <c r="I163" s="484">
        <f t="shared" si="1"/>
        <v>0</v>
      </c>
      <c r="J163" s="479"/>
      <c r="K163" s="479"/>
      <c r="L163" s="635"/>
      <c r="M163" s="602"/>
      <c r="N163" s="479"/>
      <c r="O163" s="1"/>
      <c r="P163" s="2"/>
    </row>
    <row r="164" spans="1:16" ht="16.2" thickBot="1">
      <c r="A164" s="1">
        <v>7</v>
      </c>
      <c r="B164" s="2" t="s">
        <v>81</v>
      </c>
      <c r="C164" s="479"/>
      <c r="D164" s="15">
        <v>0</v>
      </c>
      <c r="E164" s="479"/>
      <c r="F164" s="479" t="s">
        <v>51</v>
      </c>
      <c r="G164" s="520">
        <v>1</v>
      </c>
      <c r="H164" s="479"/>
      <c r="I164" s="487">
        <f t="shared" si="1"/>
        <v>0</v>
      </c>
      <c r="J164" s="479"/>
      <c r="K164" s="479"/>
      <c r="L164" s="635"/>
      <c r="M164" s="602"/>
      <c r="N164" s="479"/>
      <c r="O164" s="4"/>
      <c r="P164" s="2"/>
    </row>
    <row r="165" spans="1:16">
      <c r="A165" s="17">
        <v>8</v>
      </c>
      <c r="B165" s="519" t="s">
        <v>263</v>
      </c>
      <c r="C165" s="533"/>
      <c r="D165" s="32">
        <f>+D156-D158+D159-D160-D161+D162+D163+D164-D157</f>
        <v>1318071.6800000002</v>
      </c>
      <c r="E165" s="533"/>
      <c r="F165" s="533"/>
      <c r="G165" s="533"/>
      <c r="H165" s="533"/>
      <c r="I165" s="32">
        <f>+I156-I158+I159-I160-I161+I162+I163+I164-I157</f>
        <v>514314.99698937294</v>
      </c>
      <c r="J165" s="533"/>
      <c r="K165" s="533"/>
      <c r="L165" s="635"/>
      <c r="N165" s="536"/>
      <c r="O165" s="537"/>
      <c r="P165" s="2"/>
    </row>
    <row r="166" spans="1:16">
      <c r="A166" s="1"/>
      <c r="C166" s="479"/>
      <c r="E166" s="479"/>
      <c r="F166" s="479"/>
      <c r="G166" s="479"/>
      <c r="H166" s="479"/>
      <c r="J166" s="479"/>
      <c r="K166" s="479"/>
      <c r="L166" s="555"/>
      <c r="M166" s="602"/>
      <c r="N166" s="479"/>
      <c r="O166" s="479"/>
      <c r="P166" s="2"/>
    </row>
    <row r="167" spans="1:16">
      <c r="A167" s="1"/>
      <c r="B167" s="2" t="s">
        <v>288</v>
      </c>
      <c r="C167" s="479"/>
      <c r="D167" s="479"/>
      <c r="E167" s="479"/>
      <c r="F167" s="479"/>
      <c r="G167" s="479"/>
      <c r="H167" s="479"/>
      <c r="I167" s="479"/>
      <c r="J167" s="479"/>
      <c r="K167" s="479"/>
      <c r="L167" s="557"/>
      <c r="M167" s="602"/>
      <c r="N167" s="479"/>
      <c r="O167" s="479"/>
      <c r="P167" s="2"/>
    </row>
    <row r="168" spans="1:16">
      <c r="A168" s="1">
        <v>9</v>
      </c>
      <c r="B168" s="510" t="str">
        <f>+B156</f>
        <v xml:space="preserve">  Transmission </v>
      </c>
      <c r="C168" s="475" t="s">
        <v>2</v>
      </c>
      <c r="D168" s="16">
        <f>+'Plant Sched 4'!K19</f>
        <v>521665</v>
      </c>
      <c r="E168" s="479"/>
      <c r="F168" s="479" t="s">
        <v>12</v>
      </c>
      <c r="G168" s="521">
        <f>+G121</f>
        <v>1</v>
      </c>
      <c r="H168" s="479"/>
      <c r="I168" s="484">
        <f>+G168*D168</f>
        <v>521665</v>
      </c>
      <c r="J168" s="479"/>
      <c r="K168" s="524"/>
      <c r="L168" s="635"/>
      <c r="N168" s="479"/>
      <c r="O168" s="1"/>
      <c r="P168" s="479" t="s">
        <v>2</v>
      </c>
    </row>
    <row r="169" spans="1:16">
      <c r="A169" s="1">
        <v>10</v>
      </c>
      <c r="B169" s="2" t="s">
        <v>289</v>
      </c>
      <c r="C169" s="475" t="s">
        <v>2</v>
      </c>
      <c r="D169" s="16">
        <f>+'Plant Sched 4'!K21</f>
        <v>356218</v>
      </c>
      <c r="E169" s="479"/>
      <c r="F169" s="479" t="s">
        <v>55</v>
      </c>
      <c r="G169" s="521">
        <f>+G159</f>
        <v>0.13090475375886951</v>
      </c>
      <c r="H169" s="479"/>
      <c r="I169" s="484">
        <f>+G169*D169</f>
        <v>46630.629574476981</v>
      </c>
      <c r="J169" s="479"/>
      <c r="K169" s="524"/>
      <c r="L169" s="635"/>
      <c r="N169" s="479"/>
      <c r="O169" s="1"/>
      <c r="P169" s="479" t="s">
        <v>2</v>
      </c>
    </row>
    <row r="170" spans="1:16" ht="16.2" thickBot="1">
      <c r="A170" s="1">
        <v>11</v>
      </c>
      <c r="B170" s="510" t="str">
        <f>+B163</f>
        <v xml:space="preserve">  Common</v>
      </c>
      <c r="C170" s="479"/>
      <c r="D170" s="15">
        <v>0</v>
      </c>
      <c r="E170" s="479"/>
      <c r="F170" s="479" t="s">
        <v>57</v>
      </c>
      <c r="G170" s="521">
        <f>+G163</f>
        <v>7.6624259026089034E-2</v>
      </c>
      <c r="H170" s="479"/>
      <c r="I170" s="487">
        <f>+G170*D170</f>
        <v>0</v>
      </c>
      <c r="J170" s="479"/>
      <c r="K170" s="524"/>
      <c r="L170" s="635"/>
      <c r="N170" s="479"/>
      <c r="O170" s="1"/>
      <c r="P170" s="479" t="s">
        <v>2</v>
      </c>
    </row>
    <row r="171" spans="1:16">
      <c r="A171" s="1">
        <v>12</v>
      </c>
      <c r="B171" s="2" t="s">
        <v>231</v>
      </c>
      <c r="C171" s="479"/>
      <c r="D171" s="484">
        <f>SUM(D168:D170)</f>
        <v>877883</v>
      </c>
      <c r="E171" s="479"/>
      <c r="F171" s="479"/>
      <c r="G171" s="479"/>
      <c r="H171" s="479"/>
      <c r="I171" s="484">
        <f>SUM(I168:I170)</f>
        <v>568295.62957447697</v>
      </c>
      <c r="J171" s="479"/>
      <c r="K171" s="479"/>
      <c r="L171" s="635"/>
      <c r="N171" s="526"/>
      <c r="O171" s="479"/>
      <c r="P171" s="2"/>
    </row>
    <row r="172" spans="1:16">
      <c r="A172" s="1"/>
      <c r="B172" s="2"/>
      <c r="C172" s="479"/>
      <c r="D172" s="479"/>
      <c r="E172" s="479"/>
      <c r="F172" s="479"/>
      <c r="G172" s="479"/>
      <c r="H172" s="479"/>
      <c r="I172" s="479"/>
      <c r="J172" s="479"/>
      <c r="K172" s="479"/>
      <c r="L172" s="557"/>
      <c r="M172" s="602"/>
      <c r="N172" s="479"/>
      <c r="O172" s="479"/>
      <c r="P172" s="2"/>
    </row>
    <row r="173" spans="1:16">
      <c r="A173" s="1" t="s">
        <v>2</v>
      </c>
      <c r="B173" s="2" t="s">
        <v>232</v>
      </c>
      <c r="D173" s="479"/>
      <c r="E173" s="479"/>
      <c r="F173" s="479"/>
      <c r="G173" s="479"/>
      <c r="H173" s="479"/>
      <c r="I173" s="479"/>
      <c r="J173" s="479"/>
      <c r="K173" s="479"/>
      <c r="L173" s="557"/>
      <c r="M173" s="602"/>
      <c r="N173" s="479"/>
      <c r="O173" s="479"/>
      <c r="P173" s="2"/>
    </row>
    <row r="174" spans="1:16">
      <c r="A174" s="1"/>
      <c r="B174" s="2" t="s">
        <v>82</v>
      </c>
      <c r="E174" s="479"/>
      <c r="F174" s="479"/>
      <c r="H174" s="479"/>
      <c r="J174" s="479"/>
      <c r="K174" s="524"/>
      <c r="L174" s="555"/>
      <c r="N174" s="528"/>
      <c r="O174" s="1"/>
      <c r="P174" s="2"/>
    </row>
    <row r="175" spans="1:16">
      <c r="A175" s="1">
        <v>13</v>
      </c>
      <c r="B175" s="2" t="s">
        <v>83</v>
      </c>
      <c r="C175" s="479"/>
      <c r="D175" s="16">
        <f>+'Taxes Sched 5'!D10</f>
        <v>124580.26000000001</v>
      </c>
      <c r="E175" s="479"/>
      <c r="F175" s="479" t="s">
        <v>55</v>
      </c>
      <c r="G175" s="485">
        <f>+G169</f>
        <v>0.13090475375886951</v>
      </c>
      <c r="H175" s="479"/>
      <c r="I175" s="484">
        <f>+G175*D175</f>
        <v>16308.148258515941</v>
      </c>
      <c r="J175" s="479"/>
      <c r="K175" s="524"/>
      <c r="L175" s="635"/>
      <c r="N175" s="528"/>
      <c r="O175" s="1"/>
      <c r="P175" s="2"/>
    </row>
    <row r="176" spans="1:16">
      <c r="A176" s="1">
        <v>14</v>
      </c>
      <c r="B176" s="2" t="s">
        <v>84</v>
      </c>
      <c r="C176" s="479"/>
      <c r="D176" s="16">
        <v>0</v>
      </c>
      <c r="E176" s="479"/>
      <c r="F176" s="484" t="str">
        <f>+F175</f>
        <v>W/S</v>
      </c>
      <c r="G176" s="485">
        <f>+G175</f>
        <v>0.13090475375886951</v>
      </c>
      <c r="H176" s="479"/>
      <c r="I176" s="484">
        <f>+G176*D176</f>
        <v>0</v>
      </c>
      <c r="J176" s="479"/>
      <c r="K176" s="524"/>
      <c r="L176" s="635"/>
      <c r="N176" s="528"/>
      <c r="O176" s="1"/>
      <c r="P176" s="2"/>
    </row>
    <row r="177" spans="1:16">
      <c r="A177" s="1">
        <v>15</v>
      </c>
      <c r="B177" s="2" t="s">
        <v>85</v>
      </c>
      <c r="C177" s="479"/>
      <c r="D177" s="3"/>
      <c r="E177" s="479"/>
      <c r="F177" s="479"/>
      <c r="H177" s="479"/>
      <c r="J177" s="479"/>
      <c r="K177" s="524"/>
      <c r="L177" s="555"/>
      <c r="N177" s="528"/>
      <c r="O177" s="1"/>
      <c r="P177" s="2"/>
    </row>
    <row r="178" spans="1:16">
      <c r="A178" s="1">
        <v>16</v>
      </c>
      <c r="B178" s="2" t="s">
        <v>86</v>
      </c>
      <c r="C178" s="479"/>
      <c r="D178" s="16">
        <v>0</v>
      </c>
      <c r="E178" s="479"/>
      <c r="F178" s="479" t="s">
        <v>75</v>
      </c>
      <c r="G178" s="485">
        <f>+G95</f>
        <v>0.21870065553281753</v>
      </c>
      <c r="H178" s="479"/>
      <c r="I178" s="484">
        <f>+G178*D178</f>
        <v>0</v>
      </c>
      <c r="J178" s="479"/>
      <c r="K178" s="524"/>
      <c r="L178" s="635"/>
      <c r="N178" s="528"/>
      <c r="O178" s="1"/>
      <c r="P178" s="2"/>
    </row>
    <row r="179" spans="1:16">
      <c r="A179" s="1">
        <v>17</v>
      </c>
      <c r="B179" s="2" t="s">
        <v>87</v>
      </c>
      <c r="C179" s="479"/>
      <c r="D179" s="16">
        <v>0</v>
      </c>
      <c r="E179" s="479"/>
      <c r="F179" s="479" t="s">
        <v>51</v>
      </c>
      <c r="G179" s="538" t="s">
        <v>176</v>
      </c>
      <c r="H179" s="479"/>
      <c r="I179" s="479">
        <v>0</v>
      </c>
      <c r="J179" s="479"/>
      <c r="K179" s="524"/>
      <c r="L179" s="557"/>
      <c r="N179" s="528"/>
      <c r="O179" s="1"/>
      <c r="P179" s="2"/>
    </row>
    <row r="180" spans="1:16">
      <c r="A180" s="1">
        <v>18</v>
      </c>
      <c r="B180" s="2" t="s">
        <v>88</v>
      </c>
      <c r="C180" s="479"/>
      <c r="D180" s="16">
        <v>0</v>
      </c>
      <c r="E180" s="479"/>
      <c r="F180" s="484" t="str">
        <f>+F178</f>
        <v>GP</v>
      </c>
      <c r="G180" s="485">
        <f>+G178</f>
        <v>0.21870065553281753</v>
      </c>
      <c r="H180" s="479"/>
      <c r="I180" s="484">
        <f>+G180*D180</f>
        <v>0</v>
      </c>
      <c r="J180" s="479"/>
      <c r="K180" s="524"/>
      <c r="L180" s="635"/>
      <c r="N180" s="528"/>
      <c r="O180" s="1"/>
      <c r="P180" s="2"/>
    </row>
    <row r="181" spans="1:16" ht="16.2" thickBot="1">
      <c r="A181" s="1">
        <v>19</v>
      </c>
      <c r="B181" s="2" t="s">
        <v>89</v>
      </c>
      <c r="C181" s="479"/>
      <c r="D181" s="15">
        <f>+'Taxes other than inc tax'!C13</f>
        <v>864746</v>
      </c>
      <c r="E181" s="479"/>
      <c r="F181" s="479" t="s">
        <v>75</v>
      </c>
      <c r="G181" s="485">
        <f>+G180</f>
        <v>0.21870065553281753</v>
      </c>
      <c r="H181" s="479"/>
      <c r="I181" s="487">
        <f>+G181*D181</f>
        <v>189120.51706938184</v>
      </c>
      <c r="J181" s="479"/>
      <c r="L181" s="635"/>
      <c r="N181" s="528"/>
      <c r="O181" s="1"/>
      <c r="P181" s="2"/>
    </row>
    <row r="182" spans="1:16">
      <c r="A182" s="1">
        <v>20</v>
      </c>
      <c r="B182" s="2" t="s">
        <v>90</v>
      </c>
      <c r="C182" s="479"/>
      <c r="D182" s="484">
        <f>SUM(D175:D181)</f>
        <v>989326.26</v>
      </c>
      <c r="E182" s="479"/>
      <c r="F182" s="479"/>
      <c r="G182" s="489"/>
      <c r="H182" s="479"/>
      <c r="I182" s="484">
        <f>SUM(I175:I181)</f>
        <v>205428.66532789779</v>
      </c>
      <c r="J182" s="479"/>
      <c r="K182" s="479"/>
      <c r="L182" s="635"/>
      <c r="N182" s="526"/>
      <c r="O182" s="479"/>
      <c r="P182" s="2"/>
    </row>
    <row r="183" spans="1:16">
      <c r="A183" s="1" t="s">
        <v>91</v>
      </c>
      <c r="B183" s="2"/>
      <c r="C183" s="479"/>
      <c r="D183" s="479"/>
      <c r="E183" s="479"/>
      <c r="F183" s="479"/>
      <c r="G183" s="489"/>
      <c r="H183" s="479"/>
      <c r="I183" s="479"/>
      <c r="J183" s="479"/>
      <c r="K183" s="479"/>
      <c r="L183" s="557"/>
      <c r="M183" s="602"/>
      <c r="N183" s="479"/>
      <c r="O183" s="479"/>
      <c r="P183" s="2"/>
    </row>
    <row r="184" spans="1:16">
      <c r="A184" s="1" t="s">
        <v>2</v>
      </c>
      <c r="B184" s="2" t="s">
        <v>92</v>
      </c>
      <c r="C184" s="539" t="s">
        <v>208</v>
      </c>
      <c r="D184" s="479"/>
      <c r="E184" s="479"/>
      <c r="F184" s="479" t="s">
        <v>51</v>
      </c>
      <c r="G184" s="21"/>
      <c r="H184" s="479"/>
      <c r="I184" s="479"/>
      <c r="J184" s="479"/>
      <c r="L184" s="557"/>
      <c r="M184" s="602"/>
      <c r="N184" s="479"/>
      <c r="O184" s="4"/>
      <c r="P184" s="479" t="s">
        <v>2</v>
      </c>
    </row>
    <row r="185" spans="1:16">
      <c r="A185" s="1">
        <v>21</v>
      </c>
      <c r="B185" s="18" t="s">
        <v>93</v>
      </c>
      <c r="C185" s="479"/>
      <c r="D185" s="540">
        <f>IF(D301&gt;0,1-(((1-D302)*(1-D301))/(1-D302*D301*D303)),0)</f>
        <v>0</v>
      </c>
      <c r="E185" s="479"/>
      <c r="G185" s="21"/>
      <c r="H185" s="479"/>
      <c r="J185" s="479"/>
      <c r="L185" s="555"/>
      <c r="N185" s="479"/>
      <c r="O185" s="4"/>
      <c r="P185" s="479"/>
    </row>
    <row r="186" spans="1:16">
      <c r="A186" s="1">
        <v>22</v>
      </c>
      <c r="B186" s="475" t="s">
        <v>94</v>
      </c>
      <c r="C186" s="479"/>
      <c r="D186" s="540">
        <f>IF(I257&gt;0,(D185/(1-D185))*(1-I255/I257),0)</f>
        <v>0</v>
      </c>
      <c r="E186" s="479"/>
      <c r="G186" s="21"/>
      <c r="H186" s="479"/>
      <c r="J186" s="479"/>
      <c r="L186" s="555"/>
      <c r="N186" s="479"/>
      <c r="O186" s="1"/>
      <c r="P186" s="479"/>
    </row>
    <row r="187" spans="1:16">
      <c r="A187" s="1"/>
      <c r="B187" s="2" t="s">
        <v>290</v>
      </c>
      <c r="C187" s="479"/>
      <c r="D187" s="479"/>
      <c r="E187" s="479"/>
      <c r="G187" s="21"/>
      <c r="H187" s="479"/>
      <c r="J187" s="479"/>
      <c r="L187" s="555"/>
      <c r="N187" s="479"/>
      <c r="O187" s="1"/>
      <c r="P187" s="479"/>
    </row>
    <row r="188" spans="1:16">
      <c r="A188" s="1"/>
      <c r="B188" s="2" t="s">
        <v>95</v>
      </c>
      <c r="C188" s="479"/>
      <c r="D188" s="479"/>
      <c r="E188" s="479"/>
      <c r="G188" s="21"/>
      <c r="H188" s="479"/>
      <c r="J188" s="479"/>
      <c r="L188" s="555"/>
      <c r="N188" s="479"/>
      <c r="O188" s="1"/>
      <c r="P188" s="479"/>
    </row>
    <row r="189" spans="1:16">
      <c r="A189" s="1">
        <v>23</v>
      </c>
      <c r="B189" s="18" t="s">
        <v>96</v>
      </c>
      <c r="C189" s="479"/>
      <c r="D189" s="541">
        <f>IF(D185&gt;0,1/(1-D185),0)</f>
        <v>0</v>
      </c>
      <c r="E189" s="479"/>
      <c r="G189" s="21"/>
      <c r="H189" s="479"/>
      <c r="J189" s="479"/>
      <c r="L189" s="555"/>
      <c r="N189" s="479"/>
      <c r="O189" s="1"/>
      <c r="P189" s="479"/>
    </row>
    <row r="190" spans="1:16">
      <c r="A190" s="1">
        <v>24</v>
      </c>
      <c r="B190" s="519" t="s">
        <v>293</v>
      </c>
      <c r="C190" s="479"/>
      <c r="D190" s="525">
        <v>0</v>
      </c>
      <c r="E190" s="479"/>
      <c r="G190" s="21"/>
      <c r="H190" s="479"/>
      <c r="J190" s="479"/>
      <c r="L190" s="555"/>
      <c r="N190" s="479"/>
      <c r="O190" s="1"/>
      <c r="P190" s="479"/>
    </row>
    <row r="191" spans="1:16">
      <c r="A191" s="1"/>
      <c r="B191" s="2"/>
      <c r="C191" s="479"/>
      <c r="D191" s="479"/>
      <c r="E191" s="479"/>
      <c r="G191" s="21"/>
      <c r="H191" s="479"/>
      <c r="J191" s="479"/>
      <c r="L191" s="555"/>
      <c r="N191" s="479"/>
      <c r="O191" s="1"/>
      <c r="P191" s="479"/>
    </row>
    <row r="192" spans="1:16">
      <c r="A192" s="1">
        <v>25</v>
      </c>
      <c r="B192" s="18" t="s">
        <v>97</v>
      </c>
      <c r="C192" s="539"/>
      <c r="D192" s="484">
        <f>D186*D196</f>
        <v>0</v>
      </c>
      <c r="E192" s="479"/>
      <c r="F192" s="479" t="s">
        <v>51</v>
      </c>
      <c r="G192" s="489"/>
      <c r="H192" s="479"/>
      <c r="I192" s="484">
        <f>D186*I196</f>
        <v>0</v>
      </c>
      <c r="J192" s="479"/>
      <c r="L192" s="635"/>
      <c r="N192" s="479"/>
      <c r="O192" s="1"/>
      <c r="P192" s="479"/>
    </row>
    <row r="193" spans="1:16" ht="16.2" thickBot="1">
      <c r="A193" s="1">
        <v>26</v>
      </c>
      <c r="B193" s="475" t="s">
        <v>98</v>
      </c>
      <c r="C193" s="539"/>
      <c r="D193" s="487">
        <f>D189*D190</f>
        <v>0</v>
      </c>
      <c r="E193" s="479"/>
      <c r="F193" s="475" t="s">
        <v>62</v>
      </c>
      <c r="G193" s="485">
        <f>G111</f>
        <v>0.19215308795852271</v>
      </c>
      <c r="H193" s="479"/>
      <c r="I193" s="487">
        <f>G193*D193</f>
        <v>0</v>
      </c>
      <c r="J193" s="479"/>
      <c r="L193" s="635"/>
      <c r="N193" s="479"/>
      <c r="O193" s="1"/>
      <c r="P193" s="479"/>
    </row>
    <row r="194" spans="1:16">
      <c r="A194" s="1">
        <v>27</v>
      </c>
      <c r="B194" s="18" t="s">
        <v>99</v>
      </c>
      <c r="C194" s="475" t="s">
        <v>100</v>
      </c>
      <c r="D194" s="542">
        <f>+D192+D193</f>
        <v>0</v>
      </c>
      <c r="E194" s="479"/>
      <c r="F194" s="479" t="s">
        <v>2</v>
      </c>
      <c r="G194" s="489" t="s">
        <v>2</v>
      </c>
      <c r="H194" s="479"/>
      <c r="I194" s="542">
        <f>+I192+I193</f>
        <v>0</v>
      </c>
      <c r="J194" s="479"/>
      <c r="L194" s="636"/>
      <c r="N194" s="479"/>
      <c r="O194" s="1"/>
      <c r="P194" s="479"/>
    </row>
    <row r="195" spans="1:16">
      <c r="A195" s="1" t="s">
        <v>2</v>
      </c>
      <c r="C195" s="543"/>
      <c r="D195" s="479"/>
      <c r="E195" s="479"/>
      <c r="F195" s="479"/>
      <c r="G195" s="489"/>
      <c r="H195" s="479"/>
      <c r="I195" s="479"/>
      <c r="J195" s="479"/>
      <c r="K195" s="479"/>
      <c r="L195" s="557"/>
      <c r="N195" s="479"/>
      <c r="O195" s="479"/>
      <c r="P195" s="2"/>
    </row>
    <row r="196" spans="1:16">
      <c r="A196" s="1">
        <v>28</v>
      </c>
      <c r="B196" s="2" t="s">
        <v>101</v>
      </c>
      <c r="C196" s="524"/>
      <c r="D196" s="484">
        <f>+$I257*D129</f>
        <v>4166412.1089274283</v>
      </c>
      <c r="E196" s="479"/>
      <c r="F196" s="479" t="s">
        <v>51</v>
      </c>
      <c r="G196" s="21"/>
      <c r="H196" s="479"/>
      <c r="I196" s="484">
        <f>+$I257*I129</f>
        <v>804393.51590875327</v>
      </c>
      <c r="J196" s="479"/>
      <c r="L196" s="635"/>
      <c r="N196" s="479"/>
      <c r="O196" s="1"/>
      <c r="P196" s="479" t="s">
        <v>2</v>
      </c>
    </row>
    <row r="197" spans="1:16">
      <c r="A197" s="1"/>
      <c r="B197" s="18" t="s">
        <v>102</v>
      </c>
      <c r="D197" s="479"/>
      <c r="E197" s="479"/>
      <c r="F197" s="479"/>
      <c r="G197" s="21"/>
      <c r="H197" s="479"/>
      <c r="I197" s="479"/>
      <c r="J197" s="479"/>
      <c r="K197" s="524"/>
      <c r="L197" s="557"/>
      <c r="N197" s="479"/>
      <c r="O197" s="1"/>
      <c r="P197" s="479"/>
    </row>
    <row r="198" spans="1:16">
      <c r="A198" s="1"/>
      <c r="B198" s="2"/>
      <c r="D198" s="544"/>
      <c r="E198" s="479"/>
      <c r="F198" s="479"/>
      <c r="G198" s="21"/>
      <c r="H198" s="479"/>
      <c r="I198" s="544"/>
      <c r="J198" s="479"/>
      <c r="K198" s="524"/>
      <c r="L198" s="557"/>
      <c r="N198" s="479"/>
      <c r="O198" s="1"/>
      <c r="P198" s="479"/>
    </row>
    <row r="199" spans="1:16">
      <c r="A199" s="1">
        <v>29</v>
      </c>
      <c r="B199" s="2" t="s">
        <v>233</v>
      </c>
      <c r="C199" s="479"/>
      <c r="D199" s="545">
        <f>+D196+D194+D182+D171+D165</f>
        <v>7351693.0489274282</v>
      </c>
      <c r="E199" s="479"/>
      <c r="F199" s="479"/>
      <c r="G199" s="479"/>
      <c r="H199" s="479"/>
      <c r="I199" s="545">
        <f>+I196+I194+I182+I171+I165</f>
        <v>2092432.8078005009</v>
      </c>
      <c r="J199" s="5"/>
      <c r="K199" s="5"/>
      <c r="L199" s="635"/>
      <c r="N199" s="5"/>
      <c r="O199" s="4"/>
      <c r="P199" s="2"/>
    </row>
    <row r="200" spans="1:16">
      <c r="A200" s="1"/>
      <c r="B200" s="2"/>
      <c r="C200" s="479"/>
      <c r="D200" s="544"/>
      <c r="E200" s="479"/>
      <c r="F200" s="479"/>
      <c r="G200" s="479"/>
      <c r="H200" s="479"/>
      <c r="I200" s="544"/>
      <c r="J200" s="5"/>
      <c r="K200" s="5"/>
      <c r="L200" s="557"/>
      <c r="N200" s="5"/>
      <c r="O200" s="4"/>
      <c r="P200" s="2"/>
    </row>
    <row r="201" spans="1:16">
      <c r="A201" s="1">
        <v>30</v>
      </c>
      <c r="B201" s="475" t="s">
        <v>268</v>
      </c>
      <c r="J201" s="5"/>
      <c r="K201" s="5"/>
      <c r="L201" s="555"/>
      <c r="N201" s="5"/>
      <c r="O201" s="4"/>
      <c r="P201" s="2"/>
    </row>
    <row r="202" spans="1:16">
      <c r="A202" s="1"/>
      <c r="B202" s="475" t="s">
        <v>203</v>
      </c>
      <c r="J202" s="5"/>
      <c r="K202" s="5"/>
      <c r="L202" s="555"/>
      <c r="N202" s="5"/>
      <c r="O202" s="4"/>
      <c r="P202" s="2"/>
    </row>
    <row r="203" spans="1:16">
      <c r="A203" s="1"/>
      <c r="B203" s="475" t="s">
        <v>204</v>
      </c>
      <c r="D203" s="546">
        <v>0</v>
      </c>
      <c r="E203" s="2"/>
      <c r="F203" s="2"/>
      <c r="G203" s="2"/>
      <c r="H203" s="2"/>
      <c r="I203" s="546">
        <v>0</v>
      </c>
      <c r="J203" s="5"/>
      <c r="K203" s="5"/>
      <c r="L203" s="40"/>
      <c r="N203" s="5"/>
      <c r="O203" s="4"/>
      <c r="P203" s="2"/>
    </row>
    <row r="204" spans="1:16">
      <c r="A204" s="1"/>
      <c r="B204" s="2"/>
      <c r="C204" s="479"/>
      <c r="D204" s="544"/>
      <c r="E204" s="479"/>
      <c r="F204" s="479"/>
      <c r="G204" s="479"/>
      <c r="H204" s="479"/>
      <c r="I204" s="544"/>
      <c r="J204" s="5"/>
      <c r="K204" s="5"/>
      <c r="L204" s="557"/>
      <c r="N204" s="5"/>
      <c r="O204" s="4"/>
      <c r="P204" s="2"/>
    </row>
    <row r="205" spans="1:16">
      <c r="A205" s="1" t="s">
        <v>272</v>
      </c>
      <c r="B205" s="534" t="s">
        <v>294</v>
      </c>
      <c r="C205" s="534"/>
      <c r="D205" s="534"/>
      <c r="J205" s="479"/>
      <c r="K205" s="479"/>
      <c r="L205" s="555"/>
      <c r="N205" s="479"/>
      <c r="O205" s="1"/>
      <c r="P205" s="479" t="s">
        <v>2</v>
      </c>
    </row>
    <row r="206" spans="1:16">
      <c r="A206" s="1"/>
      <c r="B206" s="475" t="s">
        <v>203</v>
      </c>
      <c r="J206" s="479"/>
      <c r="K206" s="479"/>
      <c r="L206" s="555"/>
      <c r="N206" s="479"/>
      <c r="O206" s="1"/>
      <c r="P206" s="479"/>
    </row>
    <row r="207" spans="1:16" ht="16.2" thickBot="1">
      <c r="A207" s="1"/>
      <c r="B207" s="475" t="s">
        <v>273</v>
      </c>
      <c r="D207" s="547">
        <v>0</v>
      </c>
      <c r="E207" s="2"/>
      <c r="F207" s="2"/>
      <c r="G207" s="2"/>
      <c r="H207" s="2"/>
      <c r="I207" s="547">
        <v>0</v>
      </c>
      <c r="J207" s="479"/>
      <c r="K207" s="479"/>
      <c r="L207" s="40"/>
      <c r="N207" s="479"/>
      <c r="O207" s="1"/>
      <c r="P207" s="479"/>
    </row>
    <row r="208" spans="1:16" ht="16.2" thickBot="1">
      <c r="A208" s="17">
        <v>31</v>
      </c>
      <c r="B208" s="534" t="s">
        <v>202</v>
      </c>
      <c r="C208" s="534"/>
      <c r="D208" s="548">
        <f>+D199-D203-D207</f>
        <v>7351693.0489274282</v>
      </c>
      <c r="E208" s="534"/>
      <c r="F208" s="534"/>
      <c r="G208" s="534"/>
      <c r="H208" s="534"/>
      <c r="I208" s="548">
        <f>+I199-I203-I207</f>
        <v>2092432.8078005009</v>
      </c>
      <c r="J208" s="533"/>
      <c r="K208" s="533"/>
      <c r="L208" s="635"/>
      <c r="N208" s="533"/>
      <c r="O208" s="1"/>
      <c r="P208" s="479"/>
    </row>
    <row r="209" spans="1:16" ht="16.2" thickTop="1">
      <c r="A209" s="1"/>
      <c r="B209" s="475" t="s">
        <v>274</v>
      </c>
      <c r="J209" s="479"/>
      <c r="K209" s="479"/>
      <c r="L209" s="630"/>
      <c r="N209" s="479"/>
      <c r="O209" s="1"/>
      <c r="P209" s="479"/>
    </row>
    <row r="210" spans="1:16" s="549" customFormat="1">
      <c r="A210" s="19"/>
      <c r="J210" s="550"/>
      <c r="K210" s="550"/>
      <c r="L210" s="637"/>
      <c r="M210" s="604"/>
      <c r="N210" s="550"/>
      <c r="O210" s="19"/>
      <c r="P210" s="550"/>
    </row>
    <row r="211" spans="1:16" s="549" customFormat="1">
      <c r="A211" s="19"/>
      <c r="J211" s="550"/>
      <c r="K211" s="550"/>
      <c r="L211" s="637"/>
      <c r="M211" s="604"/>
      <c r="N211" s="550"/>
      <c r="O211" s="19"/>
      <c r="P211" s="550"/>
    </row>
    <row r="212" spans="1:16" s="549" customFormat="1">
      <c r="A212" s="19"/>
      <c r="J212" s="550"/>
      <c r="K212" s="550"/>
      <c r="L212" s="637"/>
      <c r="M212" s="604"/>
      <c r="N212" s="550"/>
      <c r="O212" s="19"/>
      <c r="P212" s="550"/>
    </row>
    <row r="213" spans="1:16">
      <c r="B213" s="2"/>
      <c r="C213" s="2"/>
      <c r="D213" s="4"/>
      <c r="E213" s="2"/>
      <c r="F213" s="2"/>
      <c r="G213" s="2"/>
      <c r="H213" s="5"/>
      <c r="I213" s="5"/>
      <c r="J213" s="5"/>
      <c r="K213" s="476" t="s">
        <v>186</v>
      </c>
      <c r="L213" s="606"/>
      <c r="N213" s="5"/>
      <c r="O213" s="5"/>
      <c r="P213" s="5"/>
    </row>
    <row r="214" spans="1:16">
      <c r="A214" s="1"/>
      <c r="J214" s="479"/>
      <c r="K214" s="479"/>
      <c r="N214" s="479"/>
      <c r="O214" s="1"/>
      <c r="P214" s="479"/>
    </row>
    <row r="215" spans="1:16">
      <c r="A215" s="1"/>
      <c r="B215" s="510" t="str">
        <f>B3</f>
        <v xml:space="preserve">Formula Rate - Non-Levelized </v>
      </c>
      <c r="D215" s="532" t="str">
        <f>D3</f>
        <v xml:space="preserve">   Rate Formula Template</v>
      </c>
      <c r="J215" s="479"/>
      <c r="K215" s="551" t="str">
        <f>K3</f>
        <v>For the 12 months ended 12/31/16</v>
      </c>
      <c r="N215" s="479"/>
      <c r="O215" s="479"/>
      <c r="P215" s="2"/>
    </row>
    <row r="216" spans="1:16">
      <c r="A216" s="1"/>
      <c r="B216" s="2"/>
      <c r="D216" s="532" t="str">
        <f>D4</f>
        <v>Utilizing EIA Form 412 Data</v>
      </c>
      <c r="J216" s="479"/>
      <c r="K216" s="479"/>
      <c r="N216" s="479"/>
      <c r="O216" s="479"/>
      <c r="P216" s="2"/>
    </row>
    <row r="217" spans="1:16" ht="9" customHeight="1">
      <c r="A217" s="1"/>
      <c r="J217" s="479"/>
      <c r="K217" s="479"/>
      <c r="N217" s="479"/>
      <c r="O217" s="479"/>
      <c r="P217" s="2"/>
    </row>
    <row r="218" spans="1:16">
      <c r="A218" s="1"/>
      <c r="D218" s="532" t="str">
        <f>D6</f>
        <v xml:space="preserve">Marshall (Minnesota) Municipal Utilities </v>
      </c>
      <c r="J218" s="479"/>
      <c r="K218" s="479"/>
      <c r="N218" s="479"/>
      <c r="O218" s="479"/>
      <c r="P218" s="2"/>
    </row>
    <row r="219" spans="1:16">
      <c r="A219" s="1" t="s">
        <v>4</v>
      </c>
      <c r="C219" s="2"/>
      <c r="D219" s="2"/>
      <c r="E219" s="2"/>
      <c r="F219" s="2"/>
      <c r="G219" s="2"/>
      <c r="H219" s="2"/>
      <c r="I219" s="2"/>
      <c r="J219" s="2"/>
      <c r="K219" s="2"/>
      <c r="L219" s="605"/>
      <c r="N219" s="2"/>
      <c r="O219" s="2"/>
      <c r="P219" s="2"/>
    </row>
    <row r="220" spans="1:16" ht="16.2" thickBot="1">
      <c r="A220" s="7" t="s">
        <v>6</v>
      </c>
      <c r="C220" s="552" t="s">
        <v>103</v>
      </c>
      <c r="E220" s="5"/>
      <c r="F220" s="5"/>
      <c r="G220" s="5"/>
      <c r="H220" s="5"/>
      <c r="I220" s="5"/>
      <c r="J220" s="479"/>
      <c r="K220" s="479"/>
      <c r="L220" s="605"/>
      <c r="N220" s="5"/>
      <c r="O220" s="479"/>
      <c r="P220" s="2"/>
    </row>
    <row r="221" spans="1:16">
      <c r="A221" s="1"/>
      <c r="B221" s="2" t="s">
        <v>106</v>
      </c>
      <c r="C221" s="5"/>
      <c r="D221" s="5"/>
      <c r="E221" s="5"/>
      <c r="F221" s="5"/>
      <c r="G221" s="5"/>
      <c r="H221" s="5"/>
      <c r="I221" s="5"/>
      <c r="J221" s="479"/>
      <c r="K221" s="479"/>
      <c r="N221" s="5"/>
      <c r="O221" s="479"/>
      <c r="P221" s="2"/>
    </row>
    <row r="222" spans="1:16">
      <c r="A222" s="1">
        <v>1</v>
      </c>
      <c r="B222" s="5" t="s">
        <v>234</v>
      </c>
      <c r="C222" s="5"/>
      <c r="D222" s="479"/>
      <c r="E222" s="479"/>
      <c r="F222" s="479"/>
      <c r="G222" s="479"/>
      <c r="H222" s="479"/>
      <c r="I222" s="484">
        <f>D91</f>
        <v>16404370</v>
      </c>
      <c r="J222" s="479"/>
      <c r="K222" s="479"/>
      <c r="N222" s="5"/>
      <c r="O222" s="479"/>
      <c r="P222" s="2"/>
    </row>
    <row r="223" spans="1:16">
      <c r="A223" s="1">
        <v>2</v>
      </c>
      <c r="B223" s="5" t="s">
        <v>235</v>
      </c>
      <c r="I223" s="525">
        <v>0</v>
      </c>
      <c r="J223" s="479"/>
      <c r="K223" s="479"/>
      <c r="N223" s="5"/>
      <c r="O223" s="479"/>
      <c r="P223" s="2"/>
    </row>
    <row r="224" spans="1:16" ht="16.2" thickBot="1">
      <c r="A224" s="1">
        <v>3</v>
      </c>
      <c r="B224" s="20" t="s">
        <v>236</v>
      </c>
      <c r="C224" s="20"/>
      <c r="D224" s="544"/>
      <c r="E224" s="479"/>
      <c r="F224" s="479"/>
      <c r="G224" s="528"/>
      <c r="H224" s="479"/>
      <c r="I224" s="522">
        <v>0</v>
      </c>
      <c r="J224" s="479"/>
      <c r="K224" s="479"/>
      <c r="N224" s="5"/>
      <c r="O224" s="479"/>
      <c r="P224" s="2"/>
    </row>
    <row r="225" spans="1:17">
      <c r="A225" s="1">
        <v>4</v>
      </c>
      <c r="B225" s="5" t="s">
        <v>178</v>
      </c>
      <c r="C225" s="5"/>
      <c r="D225" s="479"/>
      <c r="E225" s="479"/>
      <c r="F225" s="479"/>
      <c r="G225" s="528"/>
      <c r="H225" s="479"/>
      <c r="I225" s="484">
        <f>I222-I223-I224</f>
        <v>16404370</v>
      </c>
      <c r="J225" s="479"/>
      <c r="K225" s="479"/>
      <c r="N225" s="5"/>
      <c r="O225" s="479"/>
      <c r="P225" s="2"/>
    </row>
    <row r="226" spans="1:17">
      <c r="A226" s="1"/>
      <c r="C226" s="5"/>
      <c r="D226" s="479"/>
      <c r="E226" s="479"/>
      <c r="F226" s="479"/>
      <c r="G226" s="528"/>
      <c r="H226" s="479"/>
      <c r="J226" s="479"/>
      <c r="K226" s="479"/>
    </row>
    <row r="227" spans="1:17">
      <c r="A227" s="1">
        <v>5</v>
      </c>
      <c r="B227" s="5" t="s">
        <v>237</v>
      </c>
      <c r="C227" s="482"/>
      <c r="D227" s="553"/>
      <c r="E227" s="553"/>
      <c r="F227" s="553"/>
      <c r="G227" s="514"/>
      <c r="H227" s="479" t="s">
        <v>107</v>
      </c>
      <c r="I227" s="554">
        <f>IF(I222&gt;0,I225/I222,0)</f>
        <v>1</v>
      </c>
      <c r="J227" s="479"/>
      <c r="K227" s="479"/>
    </row>
    <row r="228" spans="1:17">
      <c r="J228" s="479"/>
      <c r="K228" s="479"/>
      <c r="L228" s="606"/>
      <c r="M228" s="607"/>
      <c r="N228" s="555"/>
      <c r="O228" s="555"/>
      <c r="P228" s="555"/>
      <c r="Q228" s="555"/>
    </row>
    <row r="229" spans="1:17">
      <c r="B229" s="2" t="s">
        <v>104</v>
      </c>
      <c r="J229" s="479"/>
      <c r="K229" s="479"/>
      <c r="L229" s="606"/>
      <c r="M229" s="606"/>
      <c r="N229" s="555"/>
      <c r="O229" s="555"/>
      <c r="P229" s="555"/>
      <c r="Q229" s="555"/>
    </row>
    <row r="230" spans="1:17">
      <c r="A230" s="1">
        <v>6</v>
      </c>
      <c r="B230" s="475" t="s">
        <v>238</v>
      </c>
      <c r="D230" s="5"/>
      <c r="E230" s="5"/>
      <c r="F230" s="5"/>
      <c r="G230" s="1"/>
      <c r="H230" s="5"/>
      <c r="I230" s="484">
        <f>D156</f>
        <v>6836903.6600000001</v>
      </c>
      <c r="J230" s="479"/>
      <c r="K230" s="479"/>
      <c r="L230" s="639"/>
      <c r="M230" s="639"/>
      <c r="N230" s="639"/>
      <c r="O230" s="639"/>
      <c r="P230" s="639"/>
      <c r="Q230" s="639"/>
    </row>
    <row r="231" spans="1:17" ht="16.2" thickBot="1">
      <c r="A231" s="1">
        <v>7</v>
      </c>
      <c r="B231" s="20" t="s">
        <v>239</v>
      </c>
      <c r="C231" s="20"/>
      <c r="D231" s="544"/>
      <c r="E231" s="544"/>
      <c r="F231" s="479"/>
      <c r="G231" s="479"/>
      <c r="H231" s="479"/>
      <c r="I231" s="522">
        <v>0</v>
      </c>
      <c r="J231" s="479"/>
      <c r="K231" s="479"/>
      <c r="L231" s="606"/>
      <c r="M231" s="608"/>
      <c r="N231" s="41"/>
      <c r="O231" s="557"/>
      <c r="P231" s="40"/>
      <c r="Q231" s="555"/>
    </row>
    <row r="232" spans="1:17">
      <c r="A232" s="1">
        <v>8</v>
      </c>
      <c r="B232" s="5" t="s">
        <v>264</v>
      </c>
      <c r="C232" s="482"/>
      <c r="D232" s="553"/>
      <c r="E232" s="553"/>
      <c r="F232" s="553"/>
      <c r="G232" s="514"/>
      <c r="H232" s="553"/>
      <c r="I232" s="484">
        <f>+I230-I231</f>
        <v>6836903.6600000001</v>
      </c>
      <c r="J232" s="479"/>
      <c r="K232" s="479"/>
      <c r="L232" s="606"/>
      <c r="M232" s="608"/>
      <c r="N232" s="555"/>
      <c r="O232" s="555"/>
      <c r="P232" s="555"/>
      <c r="Q232" s="555"/>
    </row>
    <row r="233" spans="1:17">
      <c r="A233" s="1"/>
      <c r="B233" s="5"/>
      <c r="C233" s="5"/>
      <c r="D233" s="479"/>
      <c r="E233" s="479"/>
      <c r="F233" s="479"/>
      <c r="G233" s="479"/>
      <c r="J233" s="479"/>
      <c r="K233" s="479"/>
      <c r="L233" s="606"/>
      <c r="M233" s="608"/>
      <c r="N233" s="555"/>
      <c r="O233" s="555"/>
      <c r="P233" s="555"/>
      <c r="Q233" s="555"/>
    </row>
    <row r="234" spans="1:17">
      <c r="A234" s="1">
        <v>9</v>
      </c>
      <c r="B234" s="5" t="s">
        <v>240</v>
      </c>
      <c r="C234" s="5"/>
      <c r="D234" s="479"/>
      <c r="E234" s="479"/>
      <c r="F234" s="479"/>
      <c r="G234" s="479"/>
      <c r="H234" s="479"/>
      <c r="I234" s="521">
        <f>IF(I230&gt;0,I232/I230,0)</f>
        <v>1</v>
      </c>
      <c r="J234" s="479"/>
      <c r="K234" s="479"/>
      <c r="L234" s="609"/>
      <c r="M234" s="610"/>
      <c r="N234" s="558"/>
      <c r="O234" s="558"/>
      <c r="P234" s="558"/>
      <c r="Q234" s="558"/>
    </row>
    <row r="235" spans="1:17">
      <c r="A235" s="1">
        <v>10</v>
      </c>
      <c r="B235" s="5" t="s">
        <v>241</v>
      </c>
      <c r="C235" s="5"/>
      <c r="D235" s="479"/>
      <c r="E235" s="479"/>
      <c r="F235" s="479"/>
      <c r="G235" s="479"/>
      <c r="H235" s="5" t="s">
        <v>12</v>
      </c>
      <c r="I235" s="559">
        <f>I227</f>
        <v>1</v>
      </c>
      <c r="J235" s="479"/>
      <c r="K235" s="479"/>
      <c r="L235" s="606"/>
      <c r="M235" s="611"/>
      <c r="N235" s="557"/>
      <c r="O235" s="40"/>
      <c r="P235" s="555"/>
      <c r="Q235" s="555"/>
    </row>
    <row r="236" spans="1:17">
      <c r="A236" s="1">
        <v>11</v>
      </c>
      <c r="B236" s="5" t="s">
        <v>242</v>
      </c>
      <c r="C236" s="5"/>
      <c r="D236" s="5"/>
      <c r="E236" s="5"/>
      <c r="F236" s="5"/>
      <c r="G236" s="5"/>
      <c r="H236" s="5" t="s">
        <v>105</v>
      </c>
      <c r="I236" s="560">
        <f>+I235*I234</f>
        <v>1</v>
      </c>
      <c r="J236" s="479"/>
      <c r="K236" s="479"/>
      <c r="L236" s="606"/>
      <c r="M236" s="611"/>
      <c r="N236" s="557"/>
      <c r="O236" s="40"/>
      <c r="P236" s="555"/>
      <c r="Q236" s="555"/>
    </row>
    <row r="237" spans="1:17">
      <c r="A237" s="1"/>
      <c r="C237" s="5"/>
      <c r="D237" s="479"/>
      <c r="E237" s="479"/>
      <c r="F237" s="479"/>
      <c r="G237" s="528"/>
      <c r="H237" s="479"/>
      <c r="L237" s="606"/>
      <c r="M237" s="611"/>
      <c r="N237" s="557"/>
      <c r="O237" s="40"/>
      <c r="P237" s="555"/>
      <c r="Q237" s="555"/>
    </row>
    <row r="238" spans="1:17" ht="16.2" thickBot="1">
      <c r="A238" s="1" t="s">
        <v>2</v>
      </c>
      <c r="B238" s="2" t="s">
        <v>108</v>
      </c>
      <c r="C238" s="479"/>
      <c r="D238" s="561" t="s">
        <v>109</v>
      </c>
      <c r="E238" s="561" t="s">
        <v>12</v>
      </c>
      <c r="F238" s="479"/>
      <c r="G238" s="561" t="s">
        <v>110</v>
      </c>
      <c r="H238" s="479"/>
      <c r="I238" s="479"/>
      <c r="L238" s="606"/>
      <c r="M238" s="608"/>
      <c r="N238" s="555"/>
      <c r="O238" s="555"/>
      <c r="P238" s="555"/>
      <c r="Q238" s="555"/>
    </row>
    <row r="239" spans="1:17">
      <c r="A239" s="1">
        <v>12</v>
      </c>
      <c r="B239" s="2" t="s">
        <v>50</v>
      </c>
      <c r="C239" s="479"/>
      <c r="D239" s="16">
        <f>+Salaries!J11</f>
        <v>11297</v>
      </c>
      <c r="E239" s="562">
        <v>0</v>
      </c>
      <c r="F239" s="562"/>
      <c r="G239" s="484">
        <f>D239*E239</f>
        <v>0</v>
      </c>
      <c r="H239" s="479"/>
      <c r="I239" s="479"/>
      <c r="J239" s="479"/>
      <c r="K239" s="479"/>
      <c r="L239" s="606"/>
      <c r="M239" s="608"/>
      <c r="N239" s="555"/>
      <c r="O239" s="555"/>
      <c r="P239" s="555"/>
      <c r="Q239" s="555"/>
    </row>
    <row r="240" spans="1:17">
      <c r="A240" s="1">
        <v>13</v>
      </c>
      <c r="B240" s="2" t="s">
        <v>52</v>
      </c>
      <c r="C240" s="479"/>
      <c r="D240" s="16">
        <f>+Salaries!J20</f>
        <v>166057</v>
      </c>
      <c r="E240" s="562">
        <v>1</v>
      </c>
      <c r="F240" s="562"/>
      <c r="G240" s="484">
        <f>D240*E240</f>
        <v>166057</v>
      </c>
      <c r="H240" s="479"/>
      <c r="I240" s="479"/>
      <c r="J240" s="479"/>
      <c r="K240" s="479"/>
      <c r="L240" s="606"/>
      <c r="M240" s="608"/>
      <c r="N240" s="557"/>
      <c r="O240" s="40"/>
      <c r="P240" s="555"/>
      <c r="Q240" s="555"/>
    </row>
    <row r="241" spans="1:16">
      <c r="A241" s="1">
        <v>14</v>
      </c>
      <c r="B241" s="2" t="s">
        <v>53</v>
      </c>
      <c r="C241" s="479"/>
      <c r="D241" s="16">
        <f>+Salaries!J31</f>
        <v>770481</v>
      </c>
      <c r="E241" s="562">
        <v>0</v>
      </c>
      <c r="F241" s="562"/>
      <c r="G241" s="484">
        <f>D241*E241</f>
        <v>0</v>
      </c>
      <c r="H241" s="479"/>
      <c r="I241" s="563" t="s">
        <v>111</v>
      </c>
      <c r="J241" s="479"/>
      <c r="K241" s="479"/>
      <c r="L241" s="602"/>
      <c r="N241" s="479"/>
      <c r="O241" s="479"/>
      <c r="P241" s="2"/>
    </row>
    <row r="242" spans="1:16" ht="16.2" thickBot="1">
      <c r="A242" s="1">
        <v>15</v>
      </c>
      <c r="B242" s="2" t="s">
        <v>112</v>
      </c>
      <c r="C242" s="479"/>
      <c r="D242" s="15">
        <f>+Salaries!J37</f>
        <v>320698</v>
      </c>
      <c r="E242" s="562">
        <v>0</v>
      </c>
      <c r="F242" s="562"/>
      <c r="G242" s="487">
        <f>D242*E242</f>
        <v>0</v>
      </c>
      <c r="H242" s="479"/>
      <c r="I242" s="7" t="s">
        <v>113</v>
      </c>
      <c r="J242" s="479"/>
      <c r="K242" s="479"/>
      <c r="L242" s="602"/>
      <c r="N242" s="479"/>
      <c r="O242" s="479"/>
      <c r="P242" s="2"/>
    </row>
    <row r="243" spans="1:16">
      <c r="A243" s="1">
        <v>16</v>
      </c>
      <c r="B243" s="2" t="s">
        <v>244</v>
      </c>
      <c r="C243" s="479"/>
      <c r="D243" s="484">
        <f>SUM(D239:D242)</f>
        <v>1268533</v>
      </c>
      <c r="E243" s="479"/>
      <c r="F243" s="479"/>
      <c r="G243" s="484">
        <f>SUM(G239:G242)</f>
        <v>166057</v>
      </c>
      <c r="H243" s="1" t="s">
        <v>114</v>
      </c>
      <c r="I243" s="521">
        <f>IF(G243&gt;0,G240/D243,0)</f>
        <v>0.13090475375886951</v>
      </c>
      <c r="J243" s="479" t="s">
        <v>114</v>
      </c>
      <c r="K243" s="479" t="s">
        <v>55</v>
      </c>
      <c r="L243" s="602"/>
      <c r="N243" s="479"/>
      <c r="O243" s="479"/>
      <c r="P243" s="2"/>
    </row>
    <row r="244" spans="1:16">
      <c r="A244" s="1" t="s">
        <v>2</v>
      </c>
      <c r="B244" s="2" t="s">
        <v>2</v>
      </c>
      <c r="C244" s="479" t="s">
        <v>2</v>
      </c>
      <c r="E244" s="479"/>
      <c r="F244" s="479"/>
      <c r="L244" s="602"/>
      <c r="N244" s="479"/>
      <c r="O244" s="479"/>
      <c r="P244" s="2"/>
    </row>
    <row r="245" spans="1:16">
      <c r="A245" s="1"/>
      <c r="B245" s="2" t="s">
        <v>243</v>
      </c>
      <c r="C245" s="479"/>
      <c r="D245" s="515" t="s">
        <v>109</v>
      </c>
      <c r="E245" s="479"/>
      <c r="F245" s="479"/>
      <c r="G245" s="528" t="s">
        <v>115</v>
      </c>
      <c r="H245" s="21" t="s">
        <v>2</v>
      </c>
      <c r="I245" s="524" t="s">
        <v>116</v>
      </c>
      <c r="J245" s="479"/>
      <c r="K245" s="479"/>
      <c r="L245" s="602"/>
      <c r="N245" s="479"/>
      <c r="O245" s="479"/>
      <c r="P245" s="2"/>
    </row>
    <row r="246" spans="1:16">
      <c r="A246" s="1">
        <v>17</v>
      </c>
      <c r="B246" s="2" t="s">
        <v>117</v>
      </c>
      <c r="C246" s="479"/>
      <c r="D246" s="16">
        <f>+D95</f>
        <v>79330392.384615377</v>
      </c>
      <c r="E246" s="479"/>
      <c r="G246" s="1" t="s">
        <v>118</v>
      </c>
      <c r="H246" s="21"/>
      <c r="I246" s="1" t="s">
        <v>119</v>
      </c>
      <c r="J246" s="479"/>
      <c r="K246" s="1" t="s">
        <v>57</v>
      </c>
      <c r="L246" s="602"/>
      <c r="N246" s="479"/>
      <c r="O246" s="479"/>
      <c r="P246" s="2"/>
    </row>
    <row r="247" spans="1:16">
      <c r="A247" s="1">
        <v>18</v>
      </c>
      <c r="B247" s="2" t="s">
        <v>120</v>
      </c>
      <c r="C247" s="479"/>
      <c r="D247" s="525">
        <v>56197515</v>
      </c>
      <c r="E247" s="479"/>
      <c r="G247" s="485">
        <f>IF(D249&gt;0,D246/D249,0)</f>
        <v>0.58534359391740065</v>
      </c>
      <c r="H247" s="528" t="s">
        <v>121</v>
      </c>
      <c r="I247" s="485">
        <f>I243</f>
        <v>0.13090475375886951</v>
      </c>
      <c r="J247" s="21" t="s">
        <v>114</v>
      </c>
      <c r="K247" s="485">
        <f>I247*G247</f>
        <v>7.6624259026089034E-2</v>
      </c>
      <c r="L247" s="602"/>
      <c r="N247" s="479"/>
      <c r="O247" s="479"/>
      <c r="P247" s="2"/>
    </row>
    <row r="248" spans="1:16" ht="16.2" thickBot="1">
      <c r="A248" s="1">
        <v>19</v>
      </c>
      <c r="B248" s="564" t="s">
        <v>122</v>
      </c>
      <c r="C248" s="565"/>
      <c r="D248" s="522">
        <v>0</v>
      </c>
      <c r="E248" s="479"/>
      <c r="F248" s="479"/>
      <c r="G248" s="479" t="s">
        <v>2</v>
      </c>
      <c r="H248" s="479"/>
      <c r="I248" s="479"/>
      <c r="L248" s="602"/>
      <c r="N248" s="479"/>
      <c r="O248" s="479"/>
      <c r="P248" s="2"/>
    </row>
    <row r="249" spans="1:16">
      <c r="A249" s="1">
        <v>20</v>
      </c>
      <c r="B249" s="2" t="s">
        <v>170</v>
      </c>
      <c r="C249" s="479"/>
      <c r="D249" s="484">
        <f>D246+D247+D248</f>
        <v>135527907.38461536</v>
      </c>
      <c r="E249" s="479"/>
      <c r="F249" s="479"/>
      <c r="G249" s="479"/>
      <c r="H249" s="479"/>
      <c r="I249" s="479"/>
      <c r="J249" s="479"/>
      <c r="K249" s="479"/>
      <c r="L249" s="602"/>
      <c r="N249" s="479"/>
      <c r="O249" s="479"/>
      <c r="P249" s="2"/>
    </row>
    <row r="250" spans="1:16">
      <c r="A250" s="1"/>
      <c r="B250" s="2" t="s">
        <v>2</v>
      </c>
      <c r="C250" s="479"/>
      <c r="E250" s="479"/>
      <c r="F250" s="479"/>
      <c r="G250" s="479"/>
      <c r="H250" s="479"/>
      <c r="I250" s="479" t="s">
        <v>2</v>
      </c>
      <c r="J250" s="479"/>
      <c r="K250" s="479"/>
      <c r="L250" s="602"/>
      <c r="N250" s="479"/>
      <c r="O250" s="479"/>
      <c r="P250" s="2"/>
    </row>
    <row r="251" spans="1:16" ht="16.2" thickBot="1">
      <c r="A251" s="1"/>
      <c r="B251" s="2" t="s">
        <v>123</v>
      </c>
      <c r="C251" s="479"/>
      <c r="D251" s="561" t="s">
        <v>109</v>
      </c>
      <c r="E251" s="479"/>
      <c r="F251" s="479"/>
      <c r="G251" s="479"/>
      <c r="H251" s="479"/>
      <c r="J251" s="479" t="s">
        <v>2</v>
      </c>
      <c r="K251" s="479"/>
      <c r="L251" s="602"/>
      <c r="N251" s="479"/>
      <c r="O251" s="479"/>
      <c r="P251" s="2"/>
    </row>
    <row r="252" spans="1:16">
      <c r="A252" s="1">
        <v>21</v>
      </c>
      <c r="B252" s="479" t="s">
        <v>124</v>
      </c>
      <c r="C252" s="5" t="s">
        <v>265</v>
      </c>
      <c r="D252" s="22">
        <f>+'Income Sched 3'!C24+'Income Sched 3'!C25</f>
        <v>892136</v>
      </c>
      <c r="E252" s="479"/>
      <c r="F252" s="479"/>
      <c r="G252" s="479"/>
      <c r="H252" s="479"/>
      <c r="I252" s="479"/>
      <c r="J252" s="479"/>
      <c r="K252" s="479"/>
      <c r="L252" s="602"/>
      <c r="N252" s="479"/>
      <c r="O252" s="479"/>
      <c r="P252" s="2"/>
    </row>
    <row r="253" spans="1:16">
      <c r="A253" s="1"/>
      <c r="B253" s="2"/>
      <c r="D253" s="479"/>
      <c r="E253" s="479"/>
      <c r="F253" s="479"/>
      <c r="G253" s="528" t="s">
        <v>125</v>
      </c>
      <c r="H253" s="479"/>
      <c r="I253" s="479"/>
      <c r="J253" s="479"/>
      <c r="K253" s="479"/>
      <c r="L253" s="602"/>
      <c r="N253" s="479"/>
      <c r="O253" s="479"/>
      <c r="P253" s="2"/>
    </row>
    <row r="254" spans="1:16" ht="16.2" thickBot="1">
      <c r="A254" s="1"/>
      <c r="B254" s="2"/>
      <c r="C254" s="5"/>
      <c r="D254" s="7" t="s">
        <v>109</v>
      </c>
      <c r="E254" s="7" t="s">
        <v>126</v>
      </c>
      <c r="F254" s="479"/>
      <c r="G254" s="7" t="s">
        <v>127</v>
      </c>
      <c r="H254" s="479"/>
      <c r="I254" s="7" t="s">
        <v>128</v>
      </c>
      <c r="J254" s="479"/>
      <c r="K254" s="479"/>
      <c r="L254" s="602"/>
      <c r="N254" s="479"/>
      <c r="O254" s="479"/>
      <c r="P254" s="2"/>
    </row>
    <row r="255" spans="1:16">
      <c r="A255" s="1">
        <v>22</v>
      </c>
      <c r="B255" s="2" t="s">
        <v>129</v>
      </c>
      <c r="C255" s="331" t="s">
        <v>746</v>
      </c>
      <c r="D255" s="16">
        <f>+'Capital Structure'!F24-'Capital Structure'!G24</f>
        <v>19636232.615384612</v>
      </c>
      <c r="E255" s="566">
        <f>IF($D$257&gt;0,D255/$D$257,0)</f>
        <v>0.29810517081378196</v>
      </c>
      <c r="F255" s="567"/>
      <c r="G255" s="568">
        <f>IF(D255&gt;0,D252/D255,0)</f>
        <v>4.5433154998430224E-2</v>
      </c>
      <c r="I255" s="569">
        <f>G255*E255</f>
        <v>1.3543858431416074E-2</v>
      </c>
      <c r="J255" s="570" t="s">
        <v>130</v>
      </c>
      <c r="K255" s="479"/>
      <c r="L255" s="602"/>
      <c r="N255" s="479"/>
      <c r="O255" s="479"/>
      <c r="P255" s="2"/>
    </row>
    <row r="256" spans="1:16" ht="16.2" thickBot="1">
      <c r="A256" s="1">
        <v>23</v>
      </c>
      <c r="B256" s="2" t="s">
        <v>131</v>
      </c>
      <c r="C256" s="331" t="s">
        <v>747</v>
      </c>
      <c r="D256" s="15">
        <f>+'Capital Structure'!H24</f>
        <v>46233918.384615384</v>
      </c>
      <c r="E256" s="571">
        <f>IF($D$257&gt;0,D256/$D$257,0)</f>
        <v>0.70189482918621793</v>
      </c>
      <c r="F256" s="567"/>
      <c r="G256" s="572">
        <f>I259+I260</f>
        <v>0.12379999999999999</v>
      </c>
      <c r="I256" s="573">
        <f>G256*E256</f>
        <v>8.6894579853253773E-2</v>
      </c>
      <c r="L256" s="602"/>
      <c r="N256" s="479"/>
      <c r="O256" s="479"/>
      <c r="P256" s="2"/>
    </row>
    <row r="257" spans="1:16">
      <c r="A257" s="1">
        <v>24</v>
      </c>
      <c r="B257" s="2" t="s">
        <v>171</v>
      </c>
      <c r="C257" s="5"/>
      <c r="D257" s="484">
        <f>SUM(D255:D256)</f>
        <v>65870151</v>
      </c>
      <c r="E257" s="574">
        <f>SUM(E255+E256)</f>
        <v>0.99999999999999989</v>
      </c>
      <c r="F257" s="567"/>
      <c r="G257" s="567"/>
      <c r="I257" s="569">
        <f>SUM(I255:I256)</f>
        <v>0.10043843828466985</v>
      </c>
      <c r="J257" s="570" t="s">
        <v>132</v>
      </c>
      <c r="L257" s="602"/>
      <c r="N257" s="479"/>
      <c r="O257" s="479"/>
      <c r="P257" s="2"/>
    </row>
    <row r="258" spans="1:16">
      <c r="A258" s="1" t="s">
        <v>2</v>
      </c>
      <c r="B258" s="2"/>
      <c r="D258" s="479"/>
      <c r="E258" s="479" t="s">
        <v>2</v>
      </c>
      <c r="F258" s="479"/>
      <c r="G258" s="479"/>
      <c r="H258" s="479"/>
      <c r="I258" s="567"/>
      <c r="L258" s="602"/>
      <c r="N258" s="479"/>
      <c r="O258" s="479"/>
      <c r="P258" s="2"/>
    </row>
    <row r="259" spans="1:16">
      <c r="A259" s="1">
        <v>25</v>
      </c>
      <c r="E259" s="479"/>
      <c r="F259" s="479"/>
      <c r="G259" s="479"/>
      <c r="H259" s="575" t="s">
        <v>205</v>
      </c>
      <c r="I259" s="576">
        <v>0.12379999999999999</v>
      </c>
      <c r="L259" s="602"/>
      <c r="N259" s="479"/>
      <c r="O259" s="479"/>
      <c r="P259" s="2"/>
    </row>
    <row r="260" spans="1:16">
      <c r="A260" s="577" t="s">
        <v>748</v>
      </c>
      <c r="E260" s="479"/>
      <c r="F260" s="479"/>
      <c r="G260" s="479"/>
      <c r="H260" s="578" t="s">
        <v>749</v>
      </c>
      <c r="I260" s="576">
        <v>0</v>
      </c>
      <c r="L260" s="602"/>
      <c r="N260" s="479"/>
      <c r="O260" s="479"/>
      <c r="P260" s="2"/>
    </row>
    <row r="261" spans="1:16">
      <c r="A261" s="1">
        <v>26</v>
      </c>
      <c r="H261" s="579" t="s">
        <v>206</v>
      </c>
      <c r="I261" s="580">
        <f>IF(G255&gt;0,I257/G255,0)</f>
        <v>2.210685969049258</v>
      </c>
      <c r="L261" s="602"/>
      <c r="N261" s="479"/>
      <c r="O261" s="479"/>
      <c r="P261" s="2"/>
    </row>
    <row r="262" spans="1:16">
      <c r="A262" s="1"/>
      <c r="B262" s="2" t="s">
        <v>133</v>
      </c>
      <c r="C262" s="5"/>
      <c r="D262" s="5"/>
      <c r="E262" s="5"/>
      <c r="F262" s="5"/>
      <c r="G262" s="5"/>
      <c r="H262" s="5"/>
      <c r="I262" s="5"/>
      <c r="K262" s="479"/>
      <c r="L262" s="602"/>
      <c r="N262" s="479"/>
      <c r="O262" s="479"/>
      <c r="P262" s="2"/>
    </row>
    <row r="263" spans="1:16" ht="16.2" thickBot="1">
      <c r="A263" s="1"/>
      <c r="B263" s="2"/>
      <c r="C263" s="2"/>
      <c r="D263" s="2"/>
      <c r="E263" s="2"/>
      <c r="F263" s="2"/>
      <c r="G263" s="2"/>
      <c r="H263" s="2"/>
      <c r="I263" s="7" t="s">
        <v>134</v>
      </c>
      <c r="J263" s="5"/>
      <c r="K263" s="5"/>
      <c r="L263" s="602"/>
      <c r="N263" s="479"/>
      <c r="O263" s="479"/>
      <c r="P263" s="2"/>
    </row>
    <row r="264" spans="1:16">
      <c r="A264" s="1"/>
      <c r="B264" s="2" t="s">
        <v>135</v>
      </c>
      <c r="C264" s="5"/>
      <c r="D264" s="5"/>
      <c r="E264" s="5"/>
      <c r="F264" s="5"/>
      <c r="G264" s="23" t="s">
        <v>2</v>
      </c>
      <c r="H264" s="549"/>
      <c r="I264" s="534"/>
      <c r="J264" s="2"/>
      <c r="K264" s="2"/>
      <c r="L264" s="602"/>
      <c r="N264" s="479"/>
      <c r="O264" s="479"/>
      <c r="P264" s="2"/>
    </row>
    <row r="265" spans="1:16">
      <c r="A265" s="1">
        <v>27</v>
      </c>
      <c r="B265" s="475" t="s">
        <v>136</v>
      </c>
      <c r="C265" s="5"/>
      <c r="D265" s="5"/>
      <c r="E265" s="5" t="s">
        <v>137</v>
      </c>
      <c r="F265" s="5"/>
      <c r="H265" s="549"/>
      <c r="I265" s="525">
        <v>0</v>
      </c>
      <c r="J265" s="2"/>
      <c r="K265" s="2"/>
      <c r="L265" s="602"/>
      <c r="N265" s="528"/>
      <c r="O265" s="479"/>
      <c r="P265" s="2"/>
    </row>
    <row r="266" spans="1:16" ht="16.2" thickBot="1">
      <c r="A266" s="1">
        <v>28</v>
      </c>
      <c r="B266" s="529" t="s">
        <v>172</v>
      </c>
      <c r="C266" s="20"/>
      <c r="D266" s="581"/>
      <c r="E266" s="26"/>
      <c r="F266" s="26"/>
      <c r="G266" s="26"/>
      <c r="H266" s="5"/>
      <c r="I266" s="522">
        <v>0</v>
      </c>
      <c r="J266" s="2"/>
      <c r="K266" s="2"/>
      <c r="L266" s="602"/>
      <c r="N266" s="2"/>
      <c r="O266" s="479"/>
      <c r="P266" s="2"/>
    </row>
    <row r="267" spans="1:16">
      <c r="A267" s="1">
        <v>29</v>
      </c>
      <c r="B267" s="475" t="s">
        <v>138</v>
      </c>
      <c r="C267" s="5"/>
      <c r="D267" s="581"/>
      <c r="E267" s="26"/>
      <c r="F267" s="26"/>
      <c r="G267" s="26"/>
      <c r="H267" s="5"/>
      <c r="I267" s="582">
        <f>+I265-I266</f>
        <v>0</v>
      </c>
      <c r="J267" s="2"/>
      <c r="K267" s="2"/>
      <c r="L267" s="602"/>
      <c r="N267" s="2"/>
      <c r="O267" s="479"/>
      <c r="P267" s="2"/>
    </row>
    <row r="268" spans="1:16">
      <c r="A268" s="1"/>
      <c r="B268" s="475" t="s">
        <v>2</v>
      </c>
      <c r="C268" s="5"/>
      <c r="D268" s="581"/>
      <c r="E268" s="26"/>
      <c r="F268" s="26"/>
      <c r="G268" s="35"/>
      <c r="H268" s="5"/>
      <c r="I268" s="583" t="s">
        <v>2</v>
      </c>
      <c r="J268" s="2"/>
      <c r="K268" s="2"/>
      <c r="L268" s="602"/>
      <c r="N268" s="2"/>
      <c r="O268" s="479"/>
      <c r="P268" s="2"/>
    </row>
    <row r="269" spans="1:16">
      <c r="A269" s="1">
        <v>30</v>
      </c>
      <c r="B269" s="2" t="s">
        <v>245</v>
      </c>
      <c r="C269" s="5"/>
      <c r="D269" s="581"/>
      <c r="E269" s="26"/>
      <c r="F269" s="26"/>
      <c r="G269" s="35"/>
      <c r="H269" s="5"/>
      <c r="I269" s="584">
        <v>0</v>
      </c>
      <c r="J269" s="2"/>
      <c r="K269" s="2"/>
      <c r="L269" s="602"/>
      <c r="N269" s="2"/>
      <c r="O269" s="479"/>
      <c r="P269" s="2"/>
    </row>
    <row r="270" spans="1:16">
      <c r="A270" s="1"/>
      <c r="C270" s="5"/>
      <c r="D270" s="26"/>
      <c r="E270" s="26"/>
      <c r="F270" s="26"/>
      <c r="G270" s="26"/>
      <c r="H270" s="5"/>
      <c r="I270" s="583"/>
      <c r="J270" s="2"/>
      <c r="K270" s="2"/>
      <c r="L270" s="602"/>
      <c r="N270" s="2"/>
      <c r="O270" s="479"/>
      <c r="P270" s="2"/>
    </row>
    <row r="271" spans="1:16">
      <c r="B271" s="2" t="s">
        <v>197</v>
      </c>
      <c r="C271" s="5"/>
      <c r="D271" s="26"/>
      <c r="E271" s="26"/>
      <c r="F271" s="26"/>
      <c r="G271" s="26"/>
      <c r="H271" s="5"/>
      <c r="J271" s="2"/>
      <c r="K271" s="2"/>
      <c r="L271" s="602"/>
      <c r="N271" s="2"/>
      <c r="O271" s="479"/>
      <c r="P271" s="2"/>
    </row>
    <row r="272" spans="1:16">
      <c r="A272" s="1">
        <v>31</v>
      </c>
      <c r="B272" s="2" t="s">
        <v>139</v>
      </c>
      <c r="C272" s="479"/>
      <c r="D272" s="544"/>
      <c r="E272" s="544"/>
      <c r="F272" s="544"/>
      <c r="G272" s="544"/>
      <c r="H272" s="479"/>
      <c r="I272" s="24">
        <f>+'Account 456.1'!H37</f>
        <v>2112406.8699999996</v>
      </c>
      <c r="J272" s="473" t="s">
        <v>191</v>
      </c>
      <c r="K272" s="2"/>
      <c r="L272" s="612"/>
      <c r="N272" s="2"/>
      <c r="O272" s="479"/>
      <c r="P272" s="2"/>
    </row>
    <row r="273" spans="1:17">
      <c r="A273" s="1">
        <v>32</v>
      </c>
      <c r="B273" s="25" t="s">
        <v>173</v>
      </c>
      <c r="C273" s="26"/>
      <c r="D273" s="26"/>
      <c r="E273" s="26"/>
      <c r="F273" s="26"/>
      <c r="G273" s="26"/>
      <c r="H273" s="5"/>
      <c r="I273" s="24">
        <f>+'Account 456.1'!H29</f>
        <v>2056923.3599999999</v>
      </c>
      <c r="J273" s="473" t="s">
        <v>192</v>
      </c>
      <c r="K273" s="2"/>
      <c r="L273" s="613"/>
      <c r="N273" s="2"/>
      <c r="O273" s="479"/>
      <c r="P273" s="2"/>
    </row>
    <row r="274" spans="1:17">
      <c r="A274" s="1" t="s">
        <v>199</v>
      </c>
      <c r="B274" s="40" t="s">
        <v>295</v>
      </c>
      <c r="C274" s="41"/>
      <c r="D274" s="26"/>
      <c r="E274" s="26"/>
      <c r="F274" s="26"/>
      <c r="G274" s="26"/>
      <c r="H274" s="5"/>
      <c r="I274" s="24">
        <v>0</v>
      </c>
      <c r="J274" s="2"/>
      <c r="K274" s="2"/>
      <c r="L274" s="614"/>
      <c r="N274" s="2"/>
      <c r="O274" s="479"/>
      <c r="P274" s="2"/>
    </row>
    <row r="275" spans="1:17" ht="16.2" thickBot="1">
      <c r="A275" s="1" t="s">
        <v>275</v>
      </c>
      <c r="B275" s="42" t="s">
        <v>296</v>
      </c>
      <c r="C275" s="43"/>
      <c r="D275" s="26"/>
      <c r="E275" s="26"/>
      <c r="F275" s="26"/>
      <c r="G275" s="26"/>
      <c r="H275" s="5"/>
      <c r="I275" s="39">
        <v>0</v>
      </c>
      <c r="J275" s="2"/>
      <c r="K275" s="2"/>
      <c r="L275" s="614"/>
      <c r="N275" s="2"/>
      <c r="O275" s="479"/>
      <c r="P275" s="2"/>
    </row>
    <row r="276" spans="1:17" s="549" customFormat="1">
      <c r="A276" s="1">
        <v>33</v>
      </c>
      <c r="B276" s="475" t="s">
        <v>276</v>
      </c>
      <c r="C276" s="1"/>
      <c r="D276" s="544"/>
      <c r="E276" s="544"/>
      <c r="F276" s="544"/>
      <c r="G276" s="544"/>
      <c r="H276" s="5"/>
      <c r="I276" s="28">
        <f>+I272-I273-I274-I275</f>
        <v>55483.509999999776</v>
      </c>
      <c r="J276" s="2"/>
      <c r="K276" s="2"/>
      <c r="L276" s="615"/>
      <c r="M276" s="499"/>
      <c r="N276" s="2"/>
      <c r="O276" s="5"/>
      <c r="P276" s="2"/>
      <c r="Q276" s="475"/>
    </row>
    <row r="277" spans="1:17">
      <c r="A277" s="1"/>
      <c r="B277" s="29"/>
      <c r="C277" s="1"/>
      <c r="D277" s="544"/>
      <c r="E277" s="544"/>
      <c r="F277" s="544"/>
      <c r="G277" s="544"/>
      <c r="H277" s="5"/>
      <c r="I277" s="556"/>
      <c r="J277" s="2"/>
      <c r="K277" s="2"/>
      <c r="L277" s="615"/>
      <c r="M277" s="604"/>
      <c r="N277" s="27"/>
      <c r="O277" s="23"/>
      <c r="P277" s="27"/>
      <c r="Q277" s="549"/>
    </row>
    <row r="278" spans="1:17">
      <c r="A278" s="1"/>
      <c r="B278" s="29"/>
      <c r="C278" s="1"/>
      <c r="D278" s="544"/>
      <c r="E278" s="544"/>
      <c r="F278" s="544"/>
      <c r="G278" s="544"/>
      <c r="H278" s="5"/>
      <c r="I278" s="556"/>
      <c r="J278" s="2"/>
      <c r="K278" s="2"/>
      <c r="L278" s="615"/>
      <c r="N278" s="2"/>
      <c r="O278" s="5"/>
      <c r="P278" s="2"/>
    </row>
    <row r="279" spans="1:17">
      <c r="A279" s="1"/>
      <c r="B279" s="29"/>
      <c r="C279" s="1"/>
      <c r="D279" s="544"/>
      <c r="E279" s="544"/>
      <c r="F279" s="544"/>
      <c r="G279" s="544"/>
      <c r="H279" s="5"/>
      <c r="I279" s="556"/>
      <c r="J279" s="2"/>
      <c r="K279" s="2"/>
      <c r="L279" s="615"/>
      <c r="N279" s="2"/>
      <c r="O279" s="5"/>
      <c r="P279" s="2"/>
    </row>
    <row r="280" spans="1:17">
      <c r="A280" s="1"/>
      <c r="B280" s="29"/>
      <c r="C280" s="1"/>
      <c r="D280" s="544"/>
      <c r="E280" s="544"/>
      <c r="F280" s="544"/>
      <c r="G280" s="544"/>
      <c r="H280" s="5"/>
      <c r="I280" s="556"/>
      <c r="J280" s="2"/>
      <c r="K280" s="2"/>
      <c r="L280" s="615"/>
      <c r="N280" s="2"/>
      <c r="O280" s="5"/>
      <c r="P280" s="2"/>
    </row>
    <row r="281" spans="1:17">
      <c r="B281" s="2"/>
      <c r="C281" s="2"/>
      <c r="E281" s="2"/>
      <c r="F281" s="2"/>
      <c r="G281" s="2"/>
      <c r="H281" s="5"/>
      <c r="I281" s="5"/>
      <c r="K281" s="476" t="s">
        <v>187</v>
      </c>
      <c r="L281" s="597"/>
      <c r="N281" s="5"/>
      <c r="O281" s="5"/>
      <c r="P281" s="5"/>
    </row>
    <row r="282" spans="1:17">
      <c r="A282" s="1"/>
      <c r="B282" s="585" t="str">
        <f>B3</f>
        <v xml:space="preserve">Formula Rate - Non-Levelized </v>
      </c>
      <c r="C282" s="640" t="str">
        <f>D3</f>
        <v xml:space="preserve">   Rate Formula Template</v>
      </c>
      <c r="D282" s="640"/>
      <c r="E282" s="479"/>
      <c r="F282" s="479"/>
      <c r="G282" s="479"/>
      <c r="H282" s="30"/>
      <c r="J282" s="5"/>
      <c r="K282" s="586" t="str">
        <f>K3</f>
        <v>For the 12 months ended 12/31/16</v>
      </c>
      <c r="L282" s="597"/>
      <c r="N282" s="5"/>
      <c r="O282" s="5"/>
      <c r="P282" s="5"/>
    </row>
    <row r="283" spans="1:17">
      <c r="A283" s="1"/>
      <c r="B283" s="29"/>
      <c r="C283" s="1"/>
      <c r="D283" s="484" t="str">
        <f>D4</f>
        <v>Utilizing EIA Form 412 Data</v>
      </c>
      <c r="E283" s="479"/>
      <c r="F283" s="479"/>
      <c r="G283" s="479"/>
      <c r="H283" s="5"/>
      <c r="I283" s="31"/>
      <c r="J283" s="534"/>
      <c r="K283" s="533"/>
      <c r="L283" s="597"/>
      <c r="N283" s="5"/>
      <c r="O283" s="5"/>
      <c r="P283" s="5"/>
    </row>
    <row r="284" spans="1:17">
      <c r="A284" s="1"/>
      <c r="B284" s="29"/>
      <c r="C284" s="1"/>
      <c r="D284" s="484" t="str">
        <f>D6</f>
        <v xml:space="preserve">Marshall (Minnesota) Municipal Utilities </v>
      </c>
      <c r="E284" s="479"/>
      <c r="F284" s="479"/>
      <c r="G284" s="479"/>
      <c r="H284" s="5"/>
      <c r="I284" s="31"/>
      <c r="J284" s="534"/>
      <c r="K284" s="533"/>
      <c r="L284" s="597"/>
      <c r="N284" s="5"/>
      <c r="O284" s="5"/>
      <c r="P284" s="5"/>
    </row>
    <row r="285" spans="1:17">
      <c r="A285" s="1"/>
      <c r="B285" s="2" t="s">
        <v>140</v>
      </c>
      <c r="C285" s="1"/>
      <c r="D285" s="479"/>
      <c r="E285" s="479"/>
      <c r="F285" s="479"/>
      <c r="G285" s="479"/>
      <c r="H285" s="5"/>
      <c r="I285" s="479"/>
      <c r="J285" s="534"/>
      <c r="K285" s="533"/>
      <c r="L285" s="597"/>
      <c r="N285" s="1"/>
      <c r="O285" s="5"/>
      <c r="P285" s="2"/>
    </row>
    <row r="286" spans="1:17">
      <c r="A286" s="1"/>
      <c r="B286" s="34" t="s">
        <v>211</v>
      </c>
      <c r="C286" s="1"/>
      <c r="D286" s="479"/>
      <c r="E286" s="479"/>
      <c r="F286" s="479"/>
      <c r="G286" s="479"/>
      <c r="H286" s="5"/>
      <c r="I286" s="479"/>
      <c r="J286" s="5"/>
      <c r="K286" s="479"/>
      <c r="L286" s="597"/>
      <c r="N286" s="1"/>
      <c r="O286" s="5"/>
      <c r="P286" s="2"/>
    </row>
    <row r="287" spans="1:17">
      <c r="B287" s="34" t="s">
        <v>210</v>
      </c>
      <c r="C287" s="1"/>
      <c r="D287" s="479"/>
      <c r="E287" s="479"/>
      <c r="F287" s="479"/>
      <c r="G287" s="479"/>
      <c r="H287" s="5"/>
      <c r="I287" s="479"/>
      <c r="J287" s="5"/>
      <c r="K287" s="479"/>
      <c r="L287" s="597"/>
      <c r="N287" s="1"/>
      <c r="O287" s="5"/>
      <c r="P287" s="5"/>
    </row>
    <row r="288" spans="1:17">
      <c r="A288" s="1" t="s">
        <v>141</v>
      </c>
      <c r="B288" s="2" t="s">
        <v>209</v>
      </c>
      <c r="C288" s="5"/>
      <c r="D288" s="479"/>
      <c r="E288" s="479"/>
      <c r="F288" s="479"/>
      <c r="G288" s="488"/>
      <c r="H288" s="5"/>
      <c r="I288" s="479"/>
      <c r="J288" s="5"/>
      <c r="K288" s="479"/>
      <c r="L288" s="597"/>
      <c r="N288" s="1"/>
      <c r="O288" s="5"/>
      <c r="P288" s="5"/>
    </row>
    <row r="289" spans="1:16" ht="16.2" thickBot="1">
      <c r="A289" s="7" t="s">
        <v>142</v>
      </c>
      <c r="C289" s="5"/>
      <c r="D289" s="479"/>
      <c r="E289" s="479"/>
      <c r="F289" s="479"/>
      <c r="G289" s="479"/>
      <c r="H289" s="5"/>
      <c r="I289" s="479"/>
      <c r="J289" s="5"/>
      <c r="K289" s="479"/>
      <c r="L289" s="597"/>
      <c r="N289" s="1"/>
      <c r="O289" s="5"/>
      <c r="P289" s="5"/>
    </row>
    <row r="290" spans="1:16" ht="32.25" customHeight="1">
      <c r="A290" s="36" t="s">
        <v>143</v>
      </c>
      <c r="B290" s="641" t="s">
        <v>269</v>
      </c>
      <c r="C290" s="641"/>
      <c r="D290" s="641"/>
      <c r="E290" s="641"/>
      <c r="F290" s="641"/>
      <c r="G290" s="641"/>
      <c r="H290" s="641"/>
      <c r="I290" s="641"/>
      <c r="J290" s="641"/>
      <c r="K290" s="641"/>
      <c r="L290" s="597"/>
      <c r="N290" s="1"/>
      <c r="O290" s="5"/>
      <c r="P290" s="5"/>
    </row>
    <row r="291" spans="1:16" ht="63" customHeight="1">
      <c r="A291" s="36" t="s">
        <v>144</v>
      </c>
      <c r="B291" s="641" t="s">
        <v>270</v>
      </c>
      <c r="C291" s="641"/>
      <c r="D291" s="641"/>
      <c r="E291" s="641"/>
      <c r="F291" s="641"/>
      <c r="G291" s="641"/>
      <c r="H291" s="641"/>
      <c r="I291" s="641"/>
      <c r="J291" s="641"/>
      <c r="K291" s="641"/>
      <c r="L291" s="597"/>
      <c r="N291" s="1"/>
      <c r="O291" s="5"/>
      <c r="P291" s="5"/>
    </row>
    <row r="292" spans="1:16">
      <c r="A292" s="36" t="s">
        <v>145</v>
      </c>
      <c r="B292" s="641" t="s">
        <v>271</v>
      </c>
      <c r="C292" s="641"/>
      <c r="D292" s="641"/>
      <c r="E292" s="641"/>
      <c r="F292" s="641"/>
      <c r="G292" s="641"/>
      <c r="H292" s="641"/>
      <c r="I292" s="641"/>
      <c r="J292" s="641"/>
      <c r="K292" s="641"/>
      <c r="L292" s="597"/>
      <c r="N292" s="1"/>
      <c r="O292" s="5"/>
      <c r="P292" s="5"/>
    </row>
    <row r="293" spans="1:16">
      <c r="A293" s="36" t="s">
        <v>146</v>
      </c>
      <c r="B293" s="641" t="s">
        <v>271</v>
      </c>
      <c r="C293" s="641"/>
      <c r="D293" s="641"/>
      <c r="E293" s="641"/>
      <c r="F293" s="641"/>
      <c r="G293" s="641"/>
      <c r="H293" s="641"/>
      <c r="I293" s="641"/>
      <c r="J293" s="641"/>
      <c r="K293" s="641"/>
      <c r="L293" s="597"/>
      <c r="N293" s="1"/>
      <c r="O293" s="5"/>
      <c r="P293" s="5"/>
    </row>
    <row r="294" spans="1:16">
      <c r="A294" s="36" t="s">
        <v>147</v>
      </c>
      <c r="B294" s="641" t="s">
        <v>283</v>
      </c>
      <c r="C294" s="641"/>
      <c r="D294" s="641"/>
      <c r="E294" s="641"/>
      <c r="F294" s="641"/>
      <c r="G294" s="641"/>
      <c r="H294" s="641"/>
      <c r="I294" s="641"/>
      <c r="J294" s="641"/>
      <c r="K294" s="641"/>
      <c r="L294" s="597"/>
      <c r="N294" s="1"/>
      <c r="O294" s="5"/>
      <c r="P294" s="5"/>
    </row>
    <row r="295" spans="1:16" ht="48" customHeight="1">
      <c r="A295" s="36" t="s">
        <v>148</v>
      </c>
      <c r="B295" s="638" t="s">
        <v>247</v>
      </c>
      <c r="C295" s="638"/>
      <c r="D295" s="638"/>
      <c r="E295" s="638"/>
      <c r="F295" s="638"/>
      <c r="G295" s="638"/>
      <c r="H295" s="638"/>
      <c r="I295" s="638"/>
      <c r="J295" s="638"/>
      <c r="K295" s="638"/>
      <c r="L295" s="597"/>
      <c r="N295" s="1"/>
      <c r="O295" s="5"/>
      <c r="P295" s="5"/>
    </row>
    <row r="296" spans="1:16">
      <c r="A296" s="36" t="s">
        <v>149</v>
      </c>
      <c r="B296" s="638" t="s">
        <v>179</v>
      </c>
      <c r="C296" s="638"/>
      <c r="D296" s="638"/>
      <c r="E296" s="638"/>
      <c r="F296" s="638"/>
      <c r="G296" s="638"/>
      <c r="H296" s="638"/>
      <c r="I296" s="638"/>
      <c r="J296" s="638"/>
      <c r="K296" s="638"/>
      <c r="L296" s="597"/>
      <c r="N296" s="1"/>
      <c r="O296" s="5"/>
      <c r="P296" s="5"/>
    </row>
    <row r="297" spans="1:16" ht="32.25" customHeight="1">
      <c r="A297" s="36" t="s">
        <v>150</v>
      </c>
      <c r="B297" s="638" t="s">
        <v>248</v>
      </c>
      <c r="C297" s="638"/>
      <c r="D297" s="638"/>
      <c r="E297" s="638"/>
      <c r="F297" s="638"/>
      <c r="G297" s="638"/>
      <c r="H297" s="638"/>
      <c r="I297" s="638"/>
      <c r="J297" s="638"/>
      <c r="K297" s="638"/>
      <c r="L297" s="597"/>
      <c r="N297" s="1"/>
      <c r="O297" s="5"/>
      <c r="P297" s="5"/>
    </row>
    <row r="298" spans="1:16" ht="32.25" customHeight="1">
      <c r="A298" s="36" t="s">
        <v>151</v>
      </c>
      <c r="B298" s="641" t="s">
        <v>249</v>
      </c>
      <c r="C298" s="641"/>
      <c r="D298" s="641"/>
      <c r="E298" s="641"/>
      <c r="F298" s="641"/>
      <c r="G298" s="641"/>
      <c r="H298" s="641"/>
      <c r="I298" s="641"/>
      <c r="J298" s="641"/>
      <c r="K298" s="641"/>
      <c r="L298" s="597"/>
      <c r="N298" s="1"/>
      <c r="O298" s="5"/>
      <c r="P298" s="5"/>
    </row>
    <row r="299" spans="1:16" ht="32.25" customHeight="1">
      <c r="A299" s="36" t="s">
        <v>152</v>
      </c>
      <c r="B299" s="638" t="s">
        <v>250</v>
      </c>
      <c r="C299" s="638"/>
      <c r="D299" s="638"/>
      <c r="E299" s="638"/>
      <c r="F299" s="638"/>
      <c r="G299" s="638"/>
      <c r="H299" s="638"/>
      <c r="I299" s="638"/>
      <c r="J299" s="638"/>
      <c r="K299" s="638"/>
      <c r="L299" s="597"/>
      <c r="N299" s="1"/>
      <c r="O299" s="4"/>
      <c r="P299" s="5"/>
    </row>
    <row r="300" spans="1:16" ht="84" customHeight="1">
      <c r="A300" s="36" t="s">
        <v>153</v>
      </c>
      <c r="B300" s="638" t="s">
        <v>251</v>
      </c>
      <c r="C300" s="638"/>
      <c r="D300" s="638"/>
      <c r="E300" s="638"/>
      <c r="F300" s="638"/>
      <c r="G300" s="638"/>
      <c r="H300" s="638"/>
      <c r="I300" s="638"/>
      <c r="J300" s="638"/>
      <c r="K300" s="638"/>
      <c r="L300" s="597"/>
      <c r="N300" s="1"/>
      <c r="O300" s="5"/>
      <c r="P300" s="5"/>
    </row>
    <row r="301" spans="1:16">
      <c r="A301" s="36" t="s">
        <v>2</v>
      </c>
      <c r="B301" s="38" t="s">
        <v>246</v>
      </c>
      <c r="C301" s="444" t="s">
        <v>154</v>
      </c>
      <c r="D301" s="37">
        <v>0</v>
      </c>
      <c r="E301" s="444"/>
      <c r="F301" s="587"/>
      <c r="G301" s="587"/>
      <c r="H301" s="445"/>
      <c r="I301" s="587"/>
      <c r="J301" s="445"/>
      <c r="K301" s="587"/>
      <c r="L301" s="597"/>
      <c r="N301" s="1"/>
      <c r="O301" s="5"/>
      <c r="P301" s="5"/>
    </row>
    <row r="302" spans="1:16">
      <c r="A302" s="36"/>
      <c r="B302" s="444"/>
      <c r="C302" s="444" t="s">
        <v>155</v>
      </c>
      <c r="D302" s="37">
        <v>0</v>
      </c>
      <c r="E302" s="638" t="s">
        <v>156</v>
      </c>
      <c r="F302" s="638"/>
      <c r="G302" s="638"/>
      <c r="H302" s="638"/>
      <c r="I302" s="638"/>
      <c r="J302" s="638"/>
      <c r="K302" s="638"/>
      <c r="N302" s="1"/>
      <c r="O302" s="5"/>
      <c r="P302" s="5"/>
    </row>
    <row r="303" spans="1:16" ht="20.25" customHeight="1">
      <c r="A303" s="36"/>
      <c r="B303" s="444"/>
      <c r="C303" s="444" t="s">
        <v>157</v>
      </c>
      <c r="D303" s="37">
        <v>0</v>
      </c>
      <c r="E303" s="642" t="s">
        <v>158</v>
      </c>
      <c r="F303" s="642"/>
      <c r="G303" s="642"/>
      <c r="H303" s="642"/>
      <c r="I303" s="642"/>
      <c r="J303" s="642"/>
      <c r="K303" s="642"/>
      <c r="L303" s="597"/>
      <c r="N303" s="1"/>
      <c r="O303" s="5"/>
      <c r="P303" s="5"/>
    </row>
    <row r="304" spans="1:16">
      <c r="A304" s="36" t="s">
        <v>159</v>
      </c>
      <c r="B304" s="638" t="s">
        <v>198</v>
      </c>
      <c r="C304" s="638"/>
      <c r="D304" s="638"/>
      <c r="E304" s="638"/>
      <c r="F304" s="638"/>
      <c r="G304" s="638"/>
      <c r="H304" s="638"/>
      <c r="I304" s="638"/>
      <c r="J304" s="638"/>
      <c r="K304" s="638"/>
      <c r="L304" s="597"/>
      <c r="N304" s="1"/>
      <c r="O304" s="5"/>
      <c r="P304" s="5"/>
    </row>
    <row r="305" spans="1:16" ht="32.25" customHeight="1">
      <c r="A305" s="36" t="s">
        <v>160</v>
      </c>
      <c r="B305" s="638" t="s">
        <v>750</v>
      </c>
      <c r="C305" s="638"/>
      <c r="D305" s="638"/>
      <c r="E305" s="638"/>
      <c r="F305" s="638"/>
      <c r="G305" s="638"/>
      <c r="H305" s="638"/>
      <c r="I305" s="638"/>
      <c r="J305" s="638"/>
      <c r="K305" s="638"/>
      <c r="L305" s="474" t="s">
        <v>190</v>
      </c>
      <c r="N305" s="1"/>
      <c r="O305" s="5"/>
      <c r="P305" s="5"/>
    </row>
    <row r="306" spans="1:16" ht="48" customHeight="1">
      <c r="A306" s="36" t="s">
        <v>161</v>
      </c>
      <c r="B306" s="638" t="s">
        <v>267</v>
      </c>
      <c r="C306" s="638"/>
      <c r="D306" s="638"/>
      <c r="E306" s="638"/>
      <c r="F306" s="638"/>
      <c r="G306" s="638"/>
      <c r="H306" s="638"/>
      <c r="I306" s="638"/>
      <c r="J306" s="638"/>
      <c r="K306" s="638"/>
      <c r="L306" s="597"/>
      <c r="N306" s="1"/>
      <c r="O306" s="5"/>
      <c r="P306" s="5"/>
    </row>
    <row r="307" spans="1:16">
      <c r="A307" s="36" t="s">
        <v>162</v>
      </c>
      <c r="B307" s="638" t="s">
        <v>180</v>
      </c>
      <c r="C307" s="638"/>
      <c r="D307" s="638"/>
      <c r="E307" s="638"/>
      <c r="F307" s="638"/>
      <c r="G307" s="638"/>
      <c r="H307" s="638"/>
      <c r="I307" s="638"/>
      <c r="J307" s="638"/>
      <c r="K307" s="638"/>
      <c r="L307" s="597"/>
      <c r="N307" s="1"/>
      <c r="O307" s="4"/>
      <c r="P307" s="5"/>
    </row>
    <row r="308" spans="1:16" ht="196.5" customHeight="1">
      <c r="A308" s="36" t="s">
        <v>163</v>
      </c>
      <c r="B308" s="641" t="s">
        <v>751</v>
      </c>
      <c r="C308" s="641"/>
      <c r="D308" s="641"/>
      <c r="E308" s="641"/>
      <c r="F308" s="641"/>
      <c r="G308" s="641"/>
      <c r="H308" s="641"/>
      <c r="I308" s="641"/>
      <c r="J308" s="641"/>
      <c r="K308" s="641"/>
      <c r="L308" s="597"/>
      <c r="N308" s="1"/>
      <c r="O308" s="4"/>
      <c r="P308" s="5"/>
    </row>
    <row r="309" spans="1:16" ht="32.25" customHeight="1">
      <c r="A309" s="36" t="s">
        <v>164</v>
      </c>
      <c r="B309" s="638" t="s">
        <v>252</v>
      </c>
      <c r="C309" s="638"/>
      <c r="D309" s="638"/>
      <c r="E309" s="638"/>
      <c r="F309" s="638"/>
      <c r="G309" s="638"/>
      <c r="H309" s="638"/>
      <c r="I309" s="638"/>
      <c r="J309" s="638"/>
      <c r="K309" s="638"/>
      <c r="L309" s="597"/>
      <c r="N309" s="1"/>
      <c r="O309" s="5"/>
      <c r="P309" s="5"/>
    </row>
    <row r="310" spans="1:16">
      <c r="A310" s="36" t="s">
        <v>165</v>
      </c>
      <c r="B310" s="638" t="s">
        <v>166</v>
      </c>
      <c r="C310" s="638"/>
      <c r="D310" s="638"/>
      <c r="E310" s="638"/>
      <c r="F310" s="638"/>
      <c r="G310" s="638"/>
      <c r="H310" s="638"/>
      <c r="I310" s="638"/>
      <c r="J310" s="638"/>
      <c r="K310" s="638"/>
      <c r="L310" s="597"/>
      <c r="N310" s="1"/>
      <c r="O310" s="5"/>
      <c r="P310" s="5"/>
    </row>
    <row r="311" spans="1:16" ht="48" customHeight="1">
      <c r="A311" s="36" t="s">
        <v>181</v>
      </c>
      <c r="B311" s="638" t="s">
        <v>752</v>
      </c>
      <c r="C311" s="638"/>
      <c r="D311" s="638"/>
      <c r="E311" s="638"/>
      <c r="F311" s="638"/>
      <c r="G311" s="638"/>
      <c r="H311" s="638"/>
      <c r="I311" s="638"/>
      <c r="J311" s="638"/>
      <c r="K311" s="638"/>
      <c r="L311" s="597"/>
      <c r="N311" s="1"/>
      <c r="O311" s="5"/>
      <c r="P311" s="5"/>
    </row>
    <row r="312" spans="1:16" ht="65.25" customHeight="1">
      <c r="A312" s="588" t="s">
        <v>182</v>
      </c>
      <c r="B312" s="638" t="s">
        <v>266</v>
      </c>
      <c r="C312" s="638"/>
      <c r="D312" s="638"/>
      <c r="E312" s="638"/>
      <c r="F312" s="638"/>
      <c r="G312" s="638"/>
      <c r="H312" s="638"/>
      <c r="I312" s="638"/>
      <c r="J312" s="638"/>
      <c r="K312" s="638"/>
      <c r="L312" s="597"/>
      <c r="N312" s="1"/>
      <c r="O312" s="5"/>
      <c r="P312" s="5"/>
    </row>
    <row r="313" spans="1:16">
      <c r="A313" s="588" t="s">
        <v>193</v>
      </c>
      <c r="B313" s="638" t="s">
        <v>291</v>
      </c>
      <c r="C313" s="638"/>
      <c r="D313" s="638"/>
      <c r="E313" s="638"/>
      <c r="F313" s="638"/>
      <c r="G313" s="638"/>
      <c r="H313" s="638"/>
      <c r="I313" s="638"/>
      <c r="J313" s="638"/>
      <c r="K313" s="638"/>
      <c r="L313" s="597"/>
      <c r="N313" s="1"/>
      <c r="O313" s="5"/>
      <c r="P313" s="5"/>
    </row>
    <row r="314" spans="1:16">
      <c r="A314" s="589" t="s">
        <v>195</v>
      </c>
      <c r="B314" s="638" t="s">
        <v>292</v>
      </c>
      <c r="C314" s="638"/>
      <c r="D314" s="638"/>
      <c r="E314" s="638"/>
      <c r="F314" s="638"/>
      <c r="G314" s="638"/>
      <c r="H314" s="638"/>
      <c r="I314" s="638"/>
      <c r="J314" s="638"/>
      <c r="K314" s="638"/>
      <c r="L314" s="597"/>
      <c r="N314" s="528"/>
      <c r="O314" s="5"/>
      <c r="P314" s="5"/>
    </row>
    <row r="315" spans="1:16">
      <c r="A315" s="589" t="s">
        <v>200</v>
      </c>
      <c r="B315" s="638" t="s">
        <v>297</v>
      </c>
      <c r="C315" s="638"/>
      <c r="D315" s="638"/>
      <c r="E315" s="638"/>
      <c r="F315" s="638"/>
      <c r="G315" s="638"/>
      <c r="H315" s="638"/>
      <c r="I315" s="638"/>
      <c r="J315" s="638"/>
      <c r="K315" s="638"/>
      <c r="L315" s="597"/>
      <c r="N315" s="528"/>
      <c r="O315" s="5"/>
      <c r="P315" s="5"/>
    </row>
    <row r="316" spans="1:16" s="534" customFormat="1" ht="32.25" customHeight="1">
      <c r="A316" s="588" t="s">
        <v>201</v>
      </c>
      <c r="B316" s="638" t="s">
        <v>298</v>
      </c>
      <c r="C316" s="638"/>
      <c r="D316" s="638"/>
      <c r="E316" s="638"/>
      <c r="F316" s="638"/>
      <c r="G316" s="638"/>
      <c r="H316" s="638"/>
      <c r="I316" s="638"/>
      <c r="J316" s="638"/>
      <c r="K316" s="638"/>
      <c r="L316" s="600"/>
      <c r="M316" s="602"/>
      <c r="N316" s="17"/>
      <c r="O316" s="331"/>
      <c r="P316" s="331"/>
    </row>
    <row r="317" spans="1:16" s="549" customFormat="1">
      <c r="A317" s="589" t="s">
        <v>277</v>
      </c>
      <c r="B317" s="638" t="s">
        <v>299</v>
      </c>
      <c r="C317" s="638"/>
      <c r="D317" s="638"/>
      <c r="E317" s="638"/>
      <c r="F317" s="638"/>
      <c r="G317" s="638"/>
      <c r="H317" s="638"/>
      <c r="I317" s="638"/>
      <c r="J317" s="638"/>
      <c r="K317" s="638"/>
      <c r="L317" s="603"/>
      <c r="M317" s="604"/>
      <c r="N317" s="19"/>
      <c r="O317" s="23"/>
      <c r="P317" s="23"/>
    </row>
    <row r="318" spans="1:16" s="549" customFormat="1" ht="33" customHeight="1">
      <c r="A318" s="588" t="s">
        <v>278</v>
      </c>
      <c r="B318" s="638" t="s">
        <v>300</v>
      </c>
      <c r="C318" s="638"/>
      <c r="D318" s="638"/>
      <c r="E318" s="638"/>
      <c r="F318" s="638"/>
      <c r="G318" s="638"/>
      <c r="H318" s="638"/>
      <c r="I318" s="638"/>
      <c r="J318" s="638"/>
      <c r="K318" s="638"/>
      <c r="L318" s="603"/>
      <c r="M318" s="604"/>
      <c r="N318" s="19"/>
      <c r="O318" s="23"/>
      <c r="P318" s="23"/>
    </row>
    <row r="319" spans="1:16" s="549" customFormat="1" ht="15" customHeight="1">
      <c r="A319" s="588" t="s">
        <v>279</v>
      </c>
      <c r="B319" s="590" t="s">
        <v>280</v>
      </c>
      <c r="C319" s="591"/>
      <c r="D319" s="591"/>
      <c r="E319" s="591"/>
      <c r="F319" s="591"/>
      <c r="G319" s="591"/>
      <c r="H319" s="591"/>
      <c r="I319" s="591"/>
      <c r="J319" s="591"/>
      <c r="K319" s="591"/>
      <c r="L319" s="603"/>
      <c r="M319" s="604"/>
      <c r="N319" s="19"/>
      <c r="O319" s="23"/>
      <c r="P319" s="23"/>
    </row>
    <row r="320" spans="1:16" s="549" customFormat="1" ht="15" customHeight="1">
      <c r="A320" s="588" t="s">
        <v>281</v>
      </c>
      <c r="B320" s="592" t="s">
        <v>282</v>
      </c>
      <c r="C320" s="591"/>
      <c r="D320" s="591"/>
      <c r="E320" s="591"/>
      <c r="F320" s="591"/>
      <c r="G320" s="591"/>
      <c r="H320" s="591"/>
      <c r="I320" s="591"/>
      <c r="J320" s="591"/>
      <c r="K320" s="591"/>
      <c r="L320" s="603"/>
      <c r="M320" s="604"/>
      <c r="N320" s="19"/>
      <c r="O320" s="23"/>
      <c r="P320" s="23"/>
    </row>
    <row r="321" spans="1:16" s="549" customFormat="1" ht="15" customHeight="1">
      <c r="A321" s="589" t="s">
        <v>716</v>
      </c>
      <c r="B321" s="643" t="s">
        <v>717</v>
      </c>
      <c r="C321" s="643"/>
      <c r="D321" s="643"/>
      <c r="E321" s="643"/>
      <c r="F321" s="643"/>
      <c r="G321" s="643"/>
      <c r="H321" s="643"/>
      <c r="I321" s="643"/>
      <c r="J321" s="643"/>
      <c r="K321" s="643"/>
      <c r="L321" s="603"/>
      <c r="M321" s="604"/>
      <c r="N321" s="19"/>
      <c r="O321" s="23"/>
      <c r="P321" s="23"/>
    </row>
    <row r="322" spans="1:16" s="549" customFormat="1" ht="15" customHeight="1">
      <c r="A322" s="588"/>
      <c r="B322" s="444"/>
      <c r="C322" s="445"/>
      <c r="D322" s="445"/>
      <c r="E322" s="445"/>
      <c r="F322" s="445"/>
      <c r="G322" s="445"/>
      <c r="H322" s="445"/>
      <c r="I322" s="445"/>
      <c r="J322" s="445"/>
      <c r="K322" s="445"/>
      <c r="L322" s="603"/>
      <c r="M322" s="604"/>
      <c r="N322" s="19"/>
      <c r="O322" s="23"/>
      <c r="P322" s="23"/>
    </row>
    <row r="323" spans="1:16">
      <c r="A323" s="1"/>
      <c r="B323" s="5"/>
      <c r="C323" s="13" t="s">
        <v>753</v>
      </c>
      <c r="D323" s="5"/>
      <c r="E323" s="5"/>
      <c r="F323" s="5"/>
      <c r="G323" s="5"/>
      <c r="H323" s="5"/>
      <c r="I323" s="5"/>
      <c r="J323" s="5"/>
      <c r="K323" s="5"/>
      <c r="N323" s="1"/>
      <c r="O323" s="5"/>
      <c r="P323" s="5"/>
    </row>
    <row r="324" spans="1:16">
      <c r="A324" s="1"/>
      <c r="B324" s="5"/>
      <c r="C324" s="13" t="s">
        <v>754</v>
      </c>
      <c r="D324" s="5"/>
      <c r="E324" s="5"/>
      <c r="F324" s="5"/>
      <c r="G324" s="5"/>
      <c r="H324" s="5"/>
      <c r="I324" s="5"/>
      <c r="J324" s="5"/>
      <c r="K324" s="5"/>
      <c r="N324" s="1"/>
      <c r="O324" s="5"/>
      <c r="P324" s="5"/>
    </row>
    <row r="325" spans="1:16">
      <c r="A325" s="1"/>
      <c r="B325" s="5"/>
      <c r="C325" s="5"/>
      <c r="D325" s="5"/>
      <c r="E325" s="5"/>
      <c r="F325" s="5"/>
      <c r="G325" s="5"/>
      <c r="H325" s="5"/>
      <c r="I325" s="5"/>
      <c r="J325" s="5"/>
      <c r="K325" s="5"/>
      <c r="N325" s="1"/>
      <c r="O325" s="5"/>
      <c r="P325" s="5"/>
    </row>
    <row r="326" spans="1:16">
      <c r="A326" s="1"/>
      <c r="C326" s="593"/>
      <c r="D326" s="594" t="s">
        <v>755</v>
      </c>
      <c r="E326" s="594"/>
      <c r="F326" s="594"/>
      <c r="G326" s="594" t="s">
        <v>756</v>
      </c>
      <c r="H326" s="594"/>
      <c r="I326" s="594"/>
      <c r="J326" s="594"/>
      <c r="K326" s="594"/>
      <c r="N326" s="1"/>
      <c r="O326" s="5"/>
      <c r="P326" s="5"/>
    </row>
    <row r="327" spans="1:16">
      <c r="A327" s="1"/>
      <c r="B327" s="594" t="s">
        <v>757</v>
      </c>
      <c r="C327" s="594" t="s">
        <v>758</v>
      </c>
      <c r="D327" s="594" t="s">
        <v>759</v>
      </c>
      <c r="E327" s="594"/>
      <c r="F327" s="594"/>
      <c r="G327" s="594" t="s">
        <v>754</v>
      </c>
      <c r="H327" s="594"/>
      <c r="I327" s="594"/>
      <c r="J327" s="594"/>
      <c r="K327" s="594"/>
      <c r="N327" s="1"/>
      <c r="O327" s="5"/>
      <c r="P327" s="5"/>
    </row>
    <row r="328" spans="1:16">
      <c r="A328" s="1"/>
      <c r="B328" s="1">
        <v>353</v>
      </c>
      <c r="C328" s="5" t="s">
        <v>760</v>
      </c>
      <c r="D328" s="1">
        <v>30</v>
      </c>
      <c r="E328" s="5"/>
      <c r="F328" s="5"/>
      <c r="G328" s="595">
        <v>3.3300000000000003E-2</v>
      </c>
      <c r="H328" s="5"/>
      <c r="I328" s="5"/>
      <c r="J328" s="5"/>
      <c r="K328" s="5"/>
      <c r="N328" s="1"/>
      <c r="O328" s="5"/>
      <c r="P328" s="5"/>
    </row>
    <row r="329" spans="1:16">
      <c r="A329" s="1"/>
      <c r="B329" s="1">
        <v>355</v>
      </c>
      <c r="C329" s="5" t="s">
        <v>761</v>
      </c>
      <c r="D329" s="1">
        <v>32</v>
      </c>
      <c r="E329" s="5"/>
      <c r="F329" s="5"/>
      <c r="G329" s="595">
        <v>3.1300000000000001E-2</v>
      </c>
      <c r="H329" s="5"/>
      <c r="I329" s="5"/>
      <c r="J329" s="5"/>
      <c r="K329" s="5"/>
      <c r="N329" s="1"/>
      <c r="O329" s="5"/>
      <c r="P329" s="5"/>
    </row>
    <row r="330" spans="1:16">
      <c r="A330" s="1"/>
      <c r="B330" s="1"/>
      <c r="C330" s="5"/>
      <c r="D330" s="1"/>
      <c r="E330" s="5"/>
      <c r="F330" s="5"/>
      <c r="G330" s="5"/>
      <c r="H330" s="5"/>
      <c r="I330" s="5"/>
      <c r="J330" s="5"/>
      <c r="K330" s="5"/>
      <c r="N330" s="1"/>
      <c r="O330" s="5"/>
      <c r="P330" s="5"/>
    </row>
    <row r="331" spans="1:16">
      <c r="A331" s="1"/>
      <c r="B331" s="1"/>
      <c r="C331" s="594" t="s">
        <v>762</v>
      </c>
      <c r="D331" s="1"/>
      <c r="E331" s="5"/>
      <c r="F331" s="5"/>
      <c r="G331" s="5"/>
      <c r="H331" s="5"/>
      <c r="I331" s="5"/>
      <c r="J331" s="5"/>
      <c r="K331" s="5"/>
      <c r="N331" s="1"/>
      <c r="O331" s="5"/>
      <c r="P331" s="5"/>
    </row>
    <row r="332" spans="1:16">
      <c r="A332" s="1"/>
      <c r="B332" s="1">
        <v>390</v>
      </c>
      <c r="C332" s="5" t="s">
        <v>763</v>
      </c>
      <c r="D332" s="1">
        <v>24</v>
      </c>
      <c r="E332" s="5"/>
      <c r="F332" s="5"/>
      <c r="G332" s="595">
        <v>4.1700000000000001E-2</v>
      </c>
      <c r="H332" s="5"/>
      <c r="I332" s="5"/>
      <c r="J332" s="5"/>
      <c r="K332" s="5"/>
      <c r="N332" s="1"/>
      <c r="O332" s="5"/>
      <c r="P332" s="5"/>
    </row>
    <row r="333" spans="1:16">
      <c r="A333" s="1"/>
      <c r="B333" s="1">
        <v>391</v>
      </c>
      <c r="C333" s="5" t="s">
        <v>764</v>
      </c>
      <c r="D333" s="1">
        <v>5</v>
      </c>
      <c r="E333" s="5"/>
      <c r="F333" s="5"/>
      <c r="G333" s="595">
        <v>0.2</v>
      </c>
      <c r="H333" s="5"/>
      <c r="I333" s="5"/>
      <c r="J333" s="5"/>
      <c r="K333" s="5"/>
      <c r="N333" s="1"/>
      <c r="O333" s="5"/>
      <c r="P333" s="5"/>
    </row>
    <row r="334" spans="1:16">
      <c r="A334" s="1"/>
      <c r="B334" s="1">
        <v>392</v>
      </c>
      <c r="C334" s="5" t="s">
        <v>765</v>
      </c>
      <c r="D334" s="1">
        <v>5</v>
      </c>
      <c r="E334" s="5"/>
      <c r="F334" s="5"/>
      <c r="G334" s="595">
        <v>0.2</v>
      </c>
      <c r="H334" s="5"/>
      <c r="I334" s="5"/>
      <c r="J334" s="5"/>
      <c r="K334" s="5"/>
      <c r="N334" s="1"/>
      <c r="O334" s="5"/>
      <c r="P334" s="5"/>
    </row>
    <row r="335" spans="1:16">
      <c r="A335" s="1"/>
      <c r="B335" s="1">
        <v>393</v>
      </c>
      <c r="C335" s="5" t="s">
        <v>766</v>
      </c>
      <c r="D335" s="1">
        <v>5</v>
      </c>
      <c r="E335" s="5"/>
      <c r="F335" s="5"/>
      <c r="G335" s="595">
        <v>0.2</v>
      </c>
      <c r="H335" s="5"/>
      <c r="I335" s="5"/>
      <c r="J335" s="5"/>
      <c r="K335" s="5"/>
      <c r="N335" s="1"/>
      <c r="O335" s="5"/>
      <c r="P335" s="5"/>
    </row>
    <row r="336" spans="1:16">
      <c r="A336" s="1"/>
      <c r="B336" s="1">
        <v>394</v>
      </c>
      <c r="C336" s="5" t="s">
        <v>767</v>
      </c>
      <c r="D336" s="1">
        <v>5</v>
      </c>
      <c r="E336" s="5"/>
      <c r="F336" s="5"/>
      <c r="G336" s="595">
        <v>0.2</v>
      </c>
      <c r="H336" s="5"/>
      <c r="I336" s="5"/>
      <c r="J336" s="5"/>
      <c r="K336" s="5"/>
      <c r="N336" s="1"/>
      <c r="O336" s="5"/>
      <c r="P336" s="5"/>
    </row>
    <row r="337" spans="1:16">
      <c r="A337" s="1"/>
      <c r="B337" s="1">
        <v>396</v>
      </c>
      <c r="C337" s="5" t="s">
        <v>768</v>
      </c>
      <c r="D337" s="1">
        <v>5</v>
      </c>
      <c r="E337" s="5"/>
      <c r="F337" s="5"/>
      <c r="G337" s="595">
        <v>0.2</v>
      </c>
      <c r="H337" s="5"/>
      <c r="I337" s="5"/>
      <c r="J337" s="5"/>
      <c r="K337" s="5"/>
      <c r="N337" s="1"/>
      <c r="O337" s="5"/>
      <c r="P337" s="5"/>
    </row>
    <row r="338" spans="1:16">
      <c r="B338" s="1">
        <v>397</v>
      </c>
      <c r="C338" s="5" t="s">
        <v>769</v>
      </c>
      <c r="D338" s="1">
        <v>10</v>
      </c>
      <c r="E338" s="5"/>
      <c r="F338" s="5"/>
      <c r="G338" s="595">
        <v>0.1</v>
      </c>
      <c r="H338" s="5"/>
      <c r="I338" s="5"/>
      <c r="J338" s="5"/>
      <c r="K338" s="5"/>
      <c r="N338" s="1"/>
      <c r="O338" s="5"/>
      <c r="P338" s="5"/>
    </row>
    <row r="339" spans="1:16">
      <c r="B339" s="1">
        <v>398</v>
      </c>
      <c r="C339" s="5" t="s">
        <v>770</v>
      </c>
      <c r="D339" s="1">
        <v>5</v>
      </c>
      <c r="E339" s="5"/>
      <c r="F339" s="5"/>
      <c r="G339" s="595">
        <v>0.2</v>
      </c>
      <c r="H339" s="5"/>
      <c r="I339" s="5"/>
      <c r="J339" s="5"/>
      <c r="K339" s="5"/>
      <c r="N339" s="1"/>
      <c r="O339" s="5"/>
      <c r="P339" s="5"/>
    </row>
    <row r="340" spans="1:16">
      <c r="B340" s="1"/>
      <c r="C340" s="5"/>
      <c r="D340" s="1"/>
      <c r="E340" s="5"/>
      <c r="F340" s="5"/>
      <c r="G340" s="5"/>
      <c r="H340" s="5"/>
      <c r="I340" s="5"/>
      <c r="J340" s="5"/>
      <c r="K340" s="5"/>
      <c r="N340" s="1"/>
      <c r="O340" s="5"/>
      <c r="P340" s="5"/>
    </row>
    <row r="341" spans="1:16">
      <c r="B341" s="1"/>
      <c r="C341" s="5"/>
      <c r="D341" s="1"/>
      <c r="E341" s="5"/>
      <c r="F341" s="5"/>
      <c r="G341" s="5"/>
      <c r="H341" s="5"/>
      <c r="I341" s="5"/>
      <c r="J341" s="5"/>
      <c r="K341" s="5"/>
      <c r="N341" s="5"/>
      <c r="O341" s="5"/>
      <c r="P341" s="5"/>
    </row>
    <row r="342" spans="1:16">
      <c r="B342" s="4" t="s">
        <v>771</v>
      </c>
      <c r="C342" s="5"/>
      <c r="D342" s="1"/>
      <c r="E342" s="5"/>
      <c r="F342" s="5"/>
      <c r="G342" s="5"/>
      <c r="H342" s="5"/>
      <c r="I342" s="5"/>
      <c r="J342" s="5"/>
      <c r="K342" s="5"/>
      <c r="N342" s="5"/>
      <c r="O342" s="5"/>
      <c r="P342" s="5"/>
    </row>
    <row r="343" spans="1:16">
      <c r="B343" s="4" t="s">
        <v>772</v>
      </c>
      <c r="C343" s="5"/>
      <c r="D343" s="1"/>
      <c r="E343" s="5"/>
      <c r="F343" s="5"/>
      <c r="G343" s="5"/>
      <c r="H343" s="5"/>
      <c r="I343" s="5"/>
      <c r="J343" s="5"/>
      <c r="K343" s="5"/>
      <c r="N343" s="5"/>
      <c r="O343" s="5"/>
      <c r="P343" s="5"/>
    </row>
    <row r="344" spans="1:16">
      <c r="B344" s="1"/>
      <c r="C344" s="5"/>
      <c r="D344" s="1"/>
      <c r="E344" s="5"/>
      <c r="F344" s="5"/>
      <c r="G344" s="5"/>
      <c r="H344" s="5"/>
      <c r="I344" s="5"/>
      <c r="J344" s="5"/>
      <c r="K344" s="5"/>
      <c r="N344" s="5"/>
      <c r="O344" s="5"/>
      <c r="P344" s="5"/>
    </row>
    <row r="345" spans="1:16">
      <c r="B345" s="1"/>
      <c r="C345" s="5"/>
      <c r="D345" s="1"/>
      <c r="E345" s="5"/>
      <c r="F345" s="5"/>
      <c r="G345" s="5"/>
      <c r="H345" s="5"/>
      <c r="I345" s="5"/>
      <c r="J345" s="5"/>
      <c r="K345" s="5"/>
      <c r="N345" s="5"/>
      <c r="O345" s="5"/>
      <c r="P345" s="5"/>
    </row>
    <row r="346" spans="1:16">
      <c r="B346" s="1"/>
      <c r="C346" s="5"/>
      <c r="D346" s="1"/>
      <c r="E346" s="5"/>
      <c r="F346" s="5"/>
      <c r="G346" s="5"/>
      <c r="H346" s="5"/>
      <c r="I346" s="5"/>
      <c r="J346" s="5"/>
      <c r="K346" s="5"/>
      <c r="N346" s="5"/>
      <c r="O346" s="5"/>
      <c r="P346" s="5"/>
    </row>
    <row r="347" spans="1:16">
      <c r="B347" s="507"/>
      <c r="D347" s="507"/>
      <c r="J347" s="5"/>
      <c r="K347" s="5"/>
      <c r="N347" s="5"/>
      <c r="O347" s="5"/>
      <c r="P347" s="5"/>
    </row>
    <row r="348" spans="1:16">
      <c r="B348" s="507"/>
      <c r="N348" s="5"/>
      <c r="O348" s="5"/>
      <c r="P348" s="5"/>
    </row>
    <row r="349" spans="1:16">
      <c r="B349" s="507"/>
      <c r="N349" s="5"/>
      <c r="O349" s="5"/>
      <c r="P349" s="5"/>
    </row>
    <row r="350" spans="1:16">
      <c r="B350" s="507"/>
    </row>
    <row r="351" spans="1:16">
      <c r="B351" s="507"/>
    </row>
    <row r="352" spans="1:16">
      <c r="B352" s="507"/>
    </row>
    <row r="353" spans="2:2">
      <c r="B353" s="507"/>
    </row>
    <row r="354" spans="2:2">
      <c r="B354" s="507"/>
    </row>
  </sheetData>
  <mergeCells count="31">
    <mergeCell ref="B321:K321"/>
    <mergeCell ref="B313:K313"/>
    <mergeCell ref="B314:K314"/>
    <mergeCell ref="B315:K315"/>
    <mergeCell ref="B316:K316"/>
    <mergeCell ref="B317:K317"/>
    <mergeCell ref="B318:K318"/>
    <mergeCell ref="B312:K312"/>
    <mergeCell ref="B300:K300"/>
    <mergeCell ref="E302:K302"/>
    <mergeCell ref="E303:K303"/>
    <mergeCell ref="B304:K304"/>
    <mergeCell ref="B305:K305"/>
    <mergeCell ref="B306:K306"/>
    <mergeCell ref="B307:K307"/>
    <mergeCell ref="B308:K308"/>
    <mergeCell ref="B309:K309"/>
    <mergeCell ref="B310:K310"/>
    <mergeCell ref="B311:K311"/>
    <mergeCell ref="B299:K299"/>
    <mergeCell ref="L230:Q230"/>
    <mergeCell ref="C282:D282"/>
    <mergeCell ref="B290:K290"/>
    <mergeCell ref="B291:K291"/>
    <mergeCell ref="B292:K292"/>
    <mergeCell ref="B293:K293"/>
    <mergeCell ref="B294:K294"/>
    <mergeCell ref="B295:K295"/>
    <mergeCell ref="B296:K296"/>
    <mergeCell ref="B297:K297"/>
    <mergeCell ref="B298:K29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zoomScaleSheetLayoutView="100" workbookViewId="0">
      <selection activeCell="A3" sqref="A3:B3"/>
    </sheetView>
  </sheetViews>
  <sheetFormatPr defaultColWidth="8.90625" defaultRowHeight="14.4"/>
  <cols>
    <col min="1" max="1" width="39" style="251" customWidth="1"/>
    <col min="2" max="2" width="9.90625" style="251" customWidth="1"/>
    <col min="3" max="3" width="4" style="251" customWidth="1"/>
    <col min="4" max="4" width="57.1796875" style="251" bestFit="1" customWidth="1"/>
    <col min="5" max="16384" width="8.90625" style="251"/>
  </cols>
  <sheetData>
    <row r="1" spans="1:4" ht="21">
      <c r="A1" s="667" t="str">
        <f>'EPRI Reg Comm Non Safety'!A1</f>
        <v>Marshall (Minnesota) Municipal Utilities</v>
      </c>
      <c r="B1" s="667"/>
      <c r="C1" s="254"/>
      <c r="D1" s="254"/>
    </row>
    <row r="2" spans="1:4" ht="21">
      <c r="A2" s="333" t="str">
        <f>'EPRI Reg Comm Non Safety'!A2</f>
        <v>12 Months Ended December 31,</v>
      </c>
      <c r="B2" s="288">
        <f>+'Taxes other than inc tax'!C3</f>
        <v>2016</v>
      </c>
      <c r="C2" s="282"/>
      <c r="D2" s="282"/>
    </row>
    <row r="3" spans="1:4" ht="21">
      <c r="A3" s="667" t="s">
        <v>653</v>
      </c>
      <c r="B3" s="667"/>
      <c r="C3" s="254"/>
    </row>
    <row r="4" spans="1:4" ht="21">
      <c r="A4" s="289"/>
      <c r="B4" s="289"/>
      <c r="D4" s="342"/>
    </row>
    <row r="5" spans="1:4" ht="21">
      <c r="A5" s="235" t="s">
        <v>654</v>
      </c>
      <c r="B5" s="235"/>
      <c r="C5" s="234"/>
    </row>
    <row r="8" spans="1:4">
      <c r="A8" s="236" t="s">
        <v>655</v>
      </c>
      <c r="B8" s="233" t="s">
        <v>7</v>
      </c>
    </row>
    <row r="10" spans="1:4" ht="15.6">
      <c r="A10" s="251" t="s">
        <v>656</v>
      </c>
      <c r="B10" s="263">
        <v>0</v>
      </c>
    </row>
    <row r="11" spans="1:4" ht="15.6">
      <c r="A11" s="251" t="s">
        <v>656</v>
      </c>
      <c r="B11" s="283">
        <v>0</v>
      </c>
    </row>
    <row r="12" spans="1:4" ht="15.6">
      <c r="A12" s="251" t="s">
        <v>656</v>
      </c>
      <c r="B12" s="274">
        <v>0</v>
      </c>
    </row>
    <row r="13" spans="1:4">
      <c r="A13" s="251" t="s">
        <v>656</v>
      </c>
      <c r="B13" s="284">
        <v>0</v>
      </c>
      <c r="D13" s="259"/>
    </row>
    <row r="14" spans="1:4">
      <c r="A14" s="251" t="s">
        <v>657</v>
      </c>
      <c r="B14" s="324">
        <f>SUM(B10:B13)</f>
        <v>0</v>
      </c>
      <c r="D14" s="330" t="s">
        <v>714</v>
      </c>
    </row>
    <row r="15" spans="1:4" ht="16.5" customHeight="1">
      <c r="D15" s="285"/>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workbookViewId="0">
      <selection activeCell="A3" sqref="A3:H3"/>
    </sheetView>
  </sheetViews>
  <sheetFormatPr defaultColWidth="8.81640625" defaultRowHeight="13.8"/>
  <cols>
    <col min="1" max="1" width="10.90625" style="373" customWidth="1"/>
    <col min="2" max="2" width="9.1796875" style="373" bestFit="1" customWidth="1"/>
    <col min="3" max="3" width="11.54296875" style="373" customWidth="1"/>
    <col min="4" max="4" width="13.453125" style="373" customWidth="1"/>
    <col min="5" max="5" width="8.81640625" style="373"/>
    <col min="6" max="6" width="3.36328125" style="373" customWidth="1"/>
    <col min="7" max="7" width="8.81640625" style="373"/>
    <col min="8" max="8" width="11" style="373" customWidth="1"/>
    <col min="9" max="19" width="8.81640625" style="403"/>
    <col min="20" max="16384" width="8.81640625" style="373"/>
  </cols>
  <sheetData>
    <row r="1" spans="1:9">
      <c r="A1" s="669" t="s">
        <v>486</v>
      </c>
      <c r="B1" s="669"/>
      <c r="C1" s="669"/>
      <c r="D1" s="669"/>
      <c r="E1" s="669"/>
      <c r="F1" s="669"/>
      <c r="G1" s="669"/>
      <c r="H1" s="669"/>
    </row>
    <row r="2" spans="1:9">
      <c r="A2" s="670" t="s">
        <v>773</v>
      </c>
      <c r="B2" s="670"/>
      <c r="C2" s="670"/>
      <c r="D2" s="670"/>
      <c r="E2" s="670"/>
      <c r="F2" s="670"/>
      <c r="G2" s="670"/>
      <c r="H2" s="670"/>
    </row>
    <row r="3" spans="1:9">
      <c r="A3" s="671" t="s">
        <v>731</v>
      </c>
      <c r="B3" s="671"/>
      <c r="C3" s="671"/>
      <c r="D3" s="671"/>
      <c r="E3" s="671"/>
      <c r="F3" s="671"/>
      <c r="G3" s="671"/>
      <c r="H3" s="671"/>
    </row>
    <row r="6" spans="1:9" ht="15" customHeight="1">
      <c r="A6" s="352">
        <v>2016</v>
      </c>
      <c r="B6" s="353" t="s">
        <v>723</v>
      </c>
      <c r="C6" s="353" t="s">
        <v>724</v>
      </c>
      <c r="D6" s="353" t="s">
        <v>9</v>
      </c>
      <c r="E6" s="374"/>
      <c r="F6" s="374"/>
      <c r="G6" s="472"/>
      <c r="H6" s="472"/>
      <c r="I6" s="470"/>
    </row>
    <row r="7" spans="1:9" ht="15" customHeight="1">
      <c r="A7" s="354"/>
      <c r="B7" s="355"/>
      <c r="C7" s="355"/>
      <c r="D7" s="355"/>
      <c r="E7" s="374"/>
      <c r="F7" s="374"/>
      <c r="G7" s="472"/>
      <c r="H7" s="472"/>
      <c r="I7" s="470"/>
    </row>
    <row r="8" spans="1:9" ht="15" customHeight="1">
      <c r="A8" s="356" t="s">
        <v>501</v>
      </c>
      <c r="B8" s="397">
        <v>3940.66</v>
      </c>
      <c r="C8" s="397">
        <v>161363.41</v>
      </c>
      <c r="D8" s="398">
        <f>+B8+C8</f>
        <v>165304.07</v>
      </c>
      <c r="E8" s="374"/>
      <c r="F8" s="374"/>
      <c r="G8" s="472"/>
      <c r="H8" s="472"/>
      <c r="I8" s="470"/>
    </row>
    <row r="9" spans="1:9" ht="15" customHeight="1">
      <c r="A9" s="356" t="s">
        <v>502</v>
      </c>
      <c r="B9" s="397">
        <v>3648.88</v>
      </c>
      <c r="C9" s="397">
        <v>150587.68</v>
      </c>
      <c r="D9" s="398">
        <f t="shared" ref="D9:D19" si="0">+B9+C9</f>
        <v>154236.56</v>
      </c>
      <c r="E9" s="374"/>
      <c r="F9" s="374"/>
      <c r="G9" s="472"/>
      <c r="H9" s="472"/>
      <c r="I9" s="470"/>
    </row>
    <row r="10" spans="1:9" ht="15" customHeight="1">
      <c r="A10" s="356" t="s">
        <v>503</v>
      </c>
      <c r="B10" s="397">
        <v>3914.16</v>
      </c>
      <c r="C10" s="397">
        <v>147327.21</v>
      </c>
      <c r="D10" s="398">
        <f t="shared" si="0"/>
        <v>151241.37</v>
      </c>
      <c r="E10" s="374"/>
      <c r="F10" s="374"/>
      <c r="G10" s="472"/>
      <c r="H10" s="472"/>
      <c r="I10" s="470"/>
    </row>
    <row r="11" spans="1:9" ht="15" customHeight="1">
      <c r="A11" s="356" t="s">
        <v>504</v>
      </c>
      <c r="B11" s="397">
        <v>3575.04</v>
      </c>
      <c r="C11" s="397">
        <v>142951.19</v>
      </c>
      <c r="D11" s="398">
        <f t="shared" si="0"/>
        <v>146526.23000000001</v>
      </c>
      <c r="E11" s="374"/>
      <c r="F11" s="374"/>
      <c r="G11" s="472"/>
      <c r="H11" s="472"/>
      <c r="I11" s="470"/>
    </row>
    <row r="12" spans="1:9">
      <c r="A12" s="356" t="s">
        <v>505</v>
      </c>
      <c r="B12" s="397">
        <v>4511.16</v>
      </c>
      <c r="C12" s="397">
        <v>173320.52</v>
      </c>
      <c r="D12" s="398">
        <f t="shared" si="0"/>
        <v>177831.67999999999</v>
      </c>
      <c r="E12" s="374"/>
      <c r="F12" s="374"/>
      <c r="G12" s="471"/>
      <c r="H12" s="471"/>
      <c r="I12" s="470"/>
    </row>
    <row r="13" spans="1:9">
      <c r="A13" s="356" t="s">
        <v>506</v>
      </c>
      <c r="B13" s="397">
        <v>5652.16</v>
      </c>
      <c r="C13" s="397">
        <v>196003.34</v>
      </c>
      <c r="D13" s="398">
        <f t="shared" si="0"/>
        <v>201655.5</v>
      </c>
      <c r="E13" s="374"/>
      <c r="F13" s="374"/>
      <c r="G13" s="471"/>
      <c r="H13" s="471"/>
      <c r="I13" s="470"/>
    </row>
    <row r="14" spans="1:9">
      <c r="A14" s="356" t="s">
        <v>507</v>
      </c>
      <c r="B14" s="397">
        <v>6030.84</v>
      </c>
      <c r="C14" s="397">
        <v>230608.53</v>
      </c>
      <c r="D14" s="398">
        <f t="shared" si="0"/>
        <v>236639.37</v>
      </c>
      <c r="E14" s="374"/>
      <c r="F14" s="374"/>
      <c r="G14" s="471"/>
      <c r="H14" s="471"/>
      <c r="I14" s="470"/>
    </row>
    <row r="15" spans="1:9">
      <c r="A15" s="356" t="s">
        <v>508</v>
      </c>
      <c r="B15" s="397">
        <v>4369.25</v>
      </c>
      <c r="C15" s="397">
        <v>228653.78</v>
      </c>
      <c r="D15" s="398">
        <f t="shared" si="0"/>
        <v>233023.03</v>
      </c>
      <c r="E15" s="374"/>
      <c r="F15" s="374"/>
      <c r="G15" s="441"/>
      <c r="H15" s="441"/>
    </row>
    <row r="16" spans="1:9">
      <c r="A16" s="356" t="s">
        <v>509</v>
      </c>
      <c r="B16" s="397">
        <v>5752.6</v>
      </c>
      <c r="C16" s="397">
        <v>169765.99</v>
      </c>
      <c r="D16" s="398">
        <f t="shared" si="0"/>
        <v>175518.59</v>
      </c>
      <c r="E16" s="374"/>
      <c r="F16" s="374"/>
      <c r="G16" s="441"/>
      <c r="H16" s="441"/>
    </row>
    <row r="17" spans="1:13">
      <c r="A17" s="356" t="s">
        <v>510</v>
      </c>
      <c r="B17" s="397">
        <v>5744.99</v>
      </c>
      <c r="C17" s="397">
        <v>152696.21</v>
      </c>
      <c r="D17" s="398">
        <f t="shared" si="0"/>
        <v>158441.19999999998</v>
      </c>
      <c r="E17" s="374"/>
      <c r="F17" s="374"/>
      <c r="G17" s="441"/>
      <c r="H17" s="441"/>
      <c r="I17" s="442"/>
      <c r="J17" s="442"/>
      <c r="K17" s="442"/>
      <c r="L17" s="442"/>
      <c r="M17" s="442"/>
    </row>
    <row r="18" spans="1:13">
      <c r="A18" s="356" t="s">
        <v>511</v>
      </c>
      <c r="B18" s="399">
        <v>4285.07</v>
      </c>
      <c r="C18" s="399">
        <v>139966.75</v>
      </c>
      <c r="D18" s="398">
        <f t="shared" si="0"/>
        <v>144251.82</v>
      </c>
      <c r="E18" s="374"/>
      <c r="F18" s="374"/>
      <c r="G18" s="374"/>
      <c r="H18" s="374"/>
      <c r="I18" s="442"/>
      <c r="J18" s="442"/>
      <c r="K18" s="442"/>
      <c r="L18" s="442"/>
      <c r="M18" s="442"/>
    </row>
    <row r="19" spans="1:13">
      <c r="A19" s="356" t="s">
        <v>512</v>
      </c>
      <c r="B19" s="399">
        <v>4058.7</v>
      </c>
      <c r="C19" s="399">
        <v>163678.75</v>
      </c>
      <c r="D19" s="398">
        <f t="shared" si="0"/>
        <v>167737.45000000001</v>
      </c>
      <c r="E19" s="374"/>
      <c r="F19" s="358"/>
      <c r="G19" s="374"/>
      <c r="H19" s="374"/>
      <c r="I19" s="442"/>
      <c r="J19" s="442"/>
      <c r="K19" s="442"/>
      <c r="L19" s="442"/>
      <c r="M19" s="442"/>
    </row>
    <row r="20" spans="1:13">
      <c r="A20" s="374"/>
      <c r="B20" s="398"/>
      <c r="C20" s="398"/>
      <c r="D20" s="398"/>
      <c r="E20" s="374"/>
      <c r="F20" s="374"/>
      <c r="G20" s="374"/>
      <c r="H20" s="374"/>
      <c r="I20" s="442"/>
      <c r="J20" s="442"/>
      <c r="K20" s="442"/>
      <c r="L20" s="442"/>
      <c r="M20" s="442"/>
    </row>
    <row r="21" spans="1:13">
      <c r="A21" s="359" t="s">
        <v>9</v>
      </c>
      <c r="B21" s="400">
        <f>+SUM(B8:B20)</f>
        <v>55483.509999999995</v>
      </c>
      <c r="C21" s="400">
        <f t="shared" ref="C21:D21" si="1">+SUM(C8:C20)</f>
        <v>2056923.3599999999</v>
      </c>
      <c r="D21" s="400">
        <f t="shared" si="1"/>
        <v>2112406.87</v>
      </c>
      <c r="E21" s="401"/>
      <c r="F21" s="374"/>
      <c r="G21" s="374"/>
      <c r="H21" s="374"/>
      <c r="I21" s="442"/>
      <c r="J21" s="442"/>
      <c r="K21" s="442"/>
      <c r="L21" s="442"/>
      <c r="M21" s="442"/>
    </row>
    <row r="22" spans="1:13">
      <c r="A22" s="374"/>
      <c r="B22" s="398"/>
      <c r="C22" s="398"/>
      <c r="D22" s="398"/>
      <c r="E22" s="374"/>
      <c r="F22" s="374"/>
      <c r="G22" s="374"/>
      <c r="H22" s="374"/>
      <c r="I22" s="442"/>
      <c r="J22" s="442"/>
      <c r="K22" s="442"/>
      <c r="L22" s="442"/>
      <c r="M22" s="442"/>
    </row>
    <row r="23" spans="1:13">
      <c r="B23" s="402"/>
      <c r="C23" s="402"/>
      <c r="D23" s="402"/>
    </row>
    <row r="24" spans="1:13">
      <c r="B24" s="402"/>
      <c r="C24" s="402"/>
      <c r="D24" s="402"/>
    </row>
    <row r="25" spans="1:13">
      <c r="B25" s="403"/>
      <c r="C25" s="403"/>
      <c r="D25" s="403"/>
    </row>
    <row r="26" spans="1:13">
      <c r="B26" s="403"/>
      <c r="C26" s="403"/>
      <c r="D26" s="403"/>
    </row>
    <row r="27" spans="1:13">
      <c r="A27" s="360" t="s">
        <v>658</v>
      </c>
      <c r="B27" s="361"/>
      <c r="C27" s="361"/>
      <c r="D27" s="362"/>
      <c r="E27" s="361"/>
      <c r="F27" s="361"/>
      <c r="G27" s="361"/>
      <c r="H27" s="363"/>
      <c r="I27" s="442"/>
      <c r="J27" s="442"/>
      <c r="K27" s="442"/>
      <c r="L27" s="442"/>
      <c r="M27" s="442"/>
    </row>
    <row r="28" spans="1:13">
      <c r="A28" s="364" t="s">
        <v>659</v>
      </c>
      <c r="B28" s="361"/>
      <c r="C28" s="361"/>
      <c r="D28" s="362"/>
      <c r="E28" s="361"/>
      <c r="F28" s="361"/>
      <c r="G28" s="361"/>
      <c r="H28" s="365">
        <f>+B21</f>
        <v>55483.509999999995</v>
      </c>
      <c r="I28" s="443"/>
      <c r="J28" s="443"/>
      <c r="K28" s="443"/>
      <c r="L28" s="443"/>
      <c r="M28" s="443"/>
    </row>
    <row r="29" spans="1:13">
      <c r="A29" s="364" t="s">
        <v>660</v>
      </c>
      <c r="B29" s="361"/>
      <c r="C29" s="361"/>
      <c r="D29" s="362"/>
      <c r="E29" s="361"/>
      <c r="F29" s="361"/>
      <c r="G29" s="361"/>
      <c r="H29" s="365">
        <f>+C21</f>
        <v>2056923.3599999999</v>
      </c>
      <c r="I29" s="443"/>
      <c r="J29" s="443"/>
      <c r="K29" s="443"/>
      <c r="L29" s="443"/>
      <c r="M29" s="443"/>
    </row>
    <row r="30" spans="1:13">
      <c r="A30" s="364" t="s">
        <v>661</v>
      </c>
      <c r="B30" s="361"/>
      <c r="C30" s="361"/>
      <c r="D30" s="362"/>
      <c r="E30" s="361"/>
      <c r="F30" s="361"/>
      <c r="G30" s="361"/>
      <c r="H30" s="365">
        <v>0</v>
      </c>
      <c r="I30" s="443"/>
      <c r="J30" s="443"/>
      <c r="K30" s="443"/>
      <c r="L30" s="443"/>
      <c r="M30" s="443"/>
    </row>
    <row r="31" spans="1:13">
      <c r="A31" s="364" t="s">
        <v>662</v>
      </c>
      <c r="B31" s="361"/>
      <c r="C31" s="361"/>
      <c r="D31" s="362"/>
      <c r="E31" s="361"/>
      <c r="F31" s="361"/>
      <c r="G31" s="361"/>
      <c r="H31" s="365">
        <v>0</v>
      </c>
      <c r="I31" s="443"/>
      <c r="J31" s="443"/>
      <c r="K31" s="443"/>
      <c r="L31" s="443"/>
      <c r="M31" s="443"/>
    </row>
    <row r="32" spans="1:13">
      <c r="A32" s="364" t="s">
        <v>663</v>
      </c>
      <c r="B32" s="361"/>
      <c r="C32" s="361"/>
      <c r="D32" s="361"/>
      <c r="E32" s="361"/>
      <c r="F32" s="361"/>
      <c r="G32" s="361"/>
      <c r="H32" s="365">
        <v>0</v>
      </c>
      <c r="I32" s="443"/>
      <c r="J32" s="443"/>
      <c r="K32" s="443"/>
      <c r="L32" s="443"/>
      <c r="M32" s="443"/>
    </row>
    <row r="33" spans="1:13">
      <c r="A33" s="364" t="s">
        <v>664</v>
      </c>
      <c r="B33" s="361"/>
      <c r="C33" s="361"/>
      <c r="D33" s="361"/>
      <c r="E33" s="361"/>
      <c r="F33" s="361"/>
      <c r="G33" s="361"/>
      <c r="H33" s="365">
        <v>0</v>
      </c>
      <c r="I33" s="443"/>
      <c r="J33" s="443"/>
      <c r="K33" s="443"/>
      <c r="L33" s="443"/>
      <c r="M33" s="443"/>
    </row>
    <row r="34" spans="1:13">
      <c r="A34" s="364" t="s">
        <v>665</v>
      </c>
      <c r="B34" s="361"/>
      <c r="C34" s="361"/>
      <c r="D34" s="361"/>
      <c r="E34" s="361"/>
      <c r="F34" s="361"/>
      <c r="G34" s="361"/>
      <c r="H34" s="365">
        <v>0</v>
      </c>
      <c r="I34" s="443"/>
      <c r="J34" s="443"/>
      <c r="K34" s="443"/>
      <c r="L34" s="443"/>
      <c r="M34" s="443"/>
    </row>
    <row r="35" spans="1:13">
      <c r="A35" s="364" t="s">
        <v>666</v>
      </c>
      <c r="B35" s="361"/>
      <c r="C35" s="361"/>
      <c r="D35" s="361"/>
      <c r="E35" s="361"/>
      <c r="F35" s="361"/>
      <c r="G35" s="361"/>
      <c r="H35" s="365">
        <v>0</v>
      </c>
      <c r="I35" s="443"/>
      <c r="J35" s="443"/>
      <c r="K35" s="443"/>
      <c r="L35" s="443"/>
      <c r="M35" s="443"/>
    </row>
    <row r="36" spans="1:13">
      <c r="A36" s="364" t="s">
        <v>666</v>
      </c>
      <c r="B36" s="361"/>
      <c r="C36" s="361"/>
      <c r="D36" s="361"/>
      <c r="E36" s="361"/>
      <c r="F36" s="361"/>
      <c r="G36" s="361"/>
      <c r="H36" s="365">
        <v>0</v>
      </c>
      <c r="I36" s="443"/>
      <c r="J36" s="443"/>
      <c r="K36" s="443"/>
      <c r="L36" s="443"/>
      <c r="M36" s="443"/>
    </row>
    <row r="37" spans="1:13">
      <c r="A37" s="364" t="s">
        <v>667</v>
      </c>
      <c r="B37" s="361"/>
      <c r="C37" s="361"/>
      <c r="D37" s="361"/>
      <c r="E37" s="361"/>
      <c r="F37" s="361"/>
      <c r="G37" s="361"/>
      <c r="H37" s="366">
        <f>+H28+H29</f>
        <v>2112406.8699999996</v>
      </c>
      <c r="I37" s="443"/>
      <c r="J37" s="443"/>
      <c r="K37" s="443"/>
      <c r="L37" s="443"/>
      <c r="M37" s="443"/>
    </row>
    <row r="38" spans="1:13">
      <c r="A38" s="364"/>
      <c r="B38" s="361"/>
      <c r="C38" s="361"/>
      <c r="D38" s="361"/>
      <c r="E38" s="361"/>
      <c r="F38" s="361"/>
      <c r="G38" s="361"/>
      <c r="H38" s="367"/>
      <c r="I38" s="443"/>
      <c r="J38" s="443"/>
      <c r="K38" s="443"/>
      <c r="L38" s="443"/>
      <c r="M38" s="443"/>
    </row>
    <row r="39" spans="1:13">
      <c r="A39" s="364"/>
      <c r="B39" s="361"/>
      <c r="C39" s="361"/>
      <c r="D39" s="361"/>
      <c r="E39" s="361"/>
      <c r="F39" s="361"/>
      <c r="G39" s="361"/>
      <c r="H39" s="368"/>
      <c r="I39" s="443"/>
      <c r="J39" s="443"/>
      <c r="K39" s="443"/>
      <c r="L39" s="443"/>
      <c r="M39" s="443"/>
    </row>
    <row r="40" spans="1:13">
      <c r="A40" s="369" t="s">
        <v>139</v>
      </c>
      <c r="B40" s="361"/>
      <c r="C40" s="361"/>
      <c r="D40" s="361"/>
      <c r="E40" s="361"/>
      <c r="F40" s="361"/>
      <c r="G40" s="361"/>
      <c r="H40" s="368">
        <f>+D21</f>
        <v>2112406.87</v>
      </c>
      <c r="I40" s="443"/>
      <c r="J40" s="443"/>
      <c r="K40" s="443"/>
      <c r="L40" s="443"/>
      <c r="M40" s="443"/>
    </row>
    <row r="41" spans="1:13">
      <c r="A41" s="370" t="s">
        <v>668</v>
      </c>
      <c r="B41" s="361"/>
      <c r="C41" s="361"/>
      <c r="D41" s="361"/>
      <c r="E41" s="361"/>
      <c r="F41" s="361"/>
      <c r="G41" s="361"/>
      <c r="H41" s="368">
        <f>+C21</f>
        <v>2056923.3599999999</v>
      </c>
      <c r="I41" s="443"/>
      <c r="J41" s="443"/>
      <c r="K41" s="443"/>
      <c r="L41" s="443"/>
      <c r="M41" s="443"/>
    </row>
    <row r="42" spans="1:13">
      <c r="A42" s="371" t="s">
        <v>295</v>
      </c>
      <c r="B42" s="361"/>
      <c r="C42" s="361"/>
      <c r="D42" s="361"/>
      <c r="E42" s="361"/>
      <c r="F42" s="361"/>
      <c r="G42" s="361"/>
      <c r="H42" s="368">
        <v>0</v>
      </c>
      <c r="I42" s="443"/>
      <c r="J42" s="443"/>
      <c r="K42" s="443"/>
      <c r="L42" s="443"/>
      <c r="M42" s="443"/>
    </row>
    <row r="43" spans="1:13">
      <c r="A43" s="371" t="s">
        <v>296</v>
      </c>
      <c r="B43" s="361"/>
      <c r="C43" s="361"/>
      <c r="D43" s="361"/>
      <c r="E43" s="361"/>
      <c r="F43" s="361"/>
      <c r="G43" s="361"/>
      <c r="H43" s="368">
        <v>0</v>
      </c>
      <c r="I43" s="443"/>
      <c r="J43" s="443"/>
      <c r="K43" s="443"/>
      <c r="L43" s="443"/>
      <c r="M43" s="443"/>
    </row>
    <row r="44" spans="1:13">
      <c r="A44" s="371" t="s">
        <v>669</v>
      </c>
      <c r="B44" s="361"/>
      <c r="C44" s="361"/>
      <c r="D44" s="361"/>
      <c r="E44" s="361"/>
      <c r="F44" s="361"/>
      <c r="G44" s="361"/>
      <c r="H44" s="372">
        <f>+H40-H41</f>
        <v>55483.510000000242</v>
      </c>
      <c r="I44" s="443"/>
      <c r="J44" s="443"/>
      <c r="K44" s="443"/>
      <c r="L44" s="443"/>
      <c r="M44" s="443"/>
    </row>
    <row r="45" spans="1:13">
      <c r="A45" s="361"/>
      <c r="B45" s="361"/>
      <c r="C45" s="361"/>
      <c r="D45" s="361"/>
      <c r="E45" s="361"/>
      <c r="F45" s="361"/>
      <c r="G45" s="361"/>
      <c r="H45" s="357"/>
      <c r="I45" s="443"/>
      <c r="J45" s="443"/>
      <c r="K45" s="443"/>
      <c r="L45" s="443"/>
      <c r="M45" s="443"/>
    </row>
  </sheetData>
  <mergeCells count="3">
    <mergeCell ref="A1:H1"/>
    <mergeCell ref="A2:H2"/>
    <mergeCell ref="A3:H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7"/>
  <sheetViews>
    <sheetView topLeftCell="A19" zoomScale="80" workbookViewId="0">
      <selection activeCell="F26" sqref="F26"/>
    </sheetView>
  </sheetViews>
  <sheetFormatPr defaultColWidth="8.90625" defaultRowHeight="13.2"/>
  <cols>
    <col min="1" max="1" width="5.1796875" style="45" customWidth="1"/>
    <col min="2" max="2" width="35.81640625" style="45" customWidth="1"/>
    <col min="3" max="3" width="13" style="45" customWidth="1"/>
    <col min="4" max="4" width="5.1796875" style="45" customWidth="1"/>
    <col min="5" max="5" width="30.90625" style="45" customWidth="1"/>
    <col min="6" max="6" width="13" style="44" customWidth="1"/>
    <col min="7" max="16384" width="8.90625" style="45"/>
  </cols>
  <sheetData>
    <row r="1" spans="1:13" s="44" customFormat="1" ht="15.6">
      <c r="A1" s="644" t="str">
        <f>Coversheet!D3</f>
        <v>Marshall (Minnesota) Municipal Utilities</v>
      </c>
      <c r="B1" s="644"/>
      <c r="C1" s="644"/>
      <c r="D1" s="644"/>
      <c r="E1" s="644"/>
      <c r="F1" s="644"/>
    </row>
    <row r="2" spans="1:13" s="44" customFormat="1" ht="15">
      <c r="A2" s="645" t="s">
        <v>301</v>
      </c>
      <c r="B2" s="645"/>
      <c r="C2" s="645"/>
      <c r="D2" s="645"/>
      <c r="E2" s="645"/>
      <c r="F2" s="645"/>
    </row>
    <row r="3" spans="1:13" s="44" customFormat="1" ht="15">
      <c r="A3" s="645" t="s">
        <v>302</v>
      </c>
      <c r="B3" s="645"/>
      <c r="C3" s="645"/>
      <c r="D3" s="645"/>
      <c r="E3" s="645"/>
      <c r="F3" s="645"/>
    </row>
    <row r="4" spans="1:13" s="44" customFormat="1" ht="15.6">
      <c r="A4" s="646">
        <v>42735</v>
      </c>
      <c r="B4" s="646"/>
      <c r="C4" s="646"/>
      <c r="D4" s="646"/>
      <c r="E4" s="646"/>
      <c r="F4" s="646"/>
    </row>
    <row r="5" spans="1:13">
      <c r="A5" s="80"/>
      <c r="B5" s="80"/>
      <c r="C5" s="80"/>
      <c r="D5" s="80"/>
      <c r="E5" s="80"/>
      <c r="F5" s="149"/>
    </row>
    <row r="6" spans="1:13" ht="13.8">
      <c r="A6" s="647" t="s">
        <v>303</v>
      </c>
      <c r="B6" s="647"/>
      <c r="C6" s="647"/>
      <c r="D6" s="647"/>
      <c r="E6" s="647"/>
      <c r="F6" s="647"/>
    </row>
    <row r="7" spans="1:13">
      <c r="A7" s="52" t="s">
        <v>4</v>
      </c>
      <c r="B7" s="101"/>
      <c r="C7" s="71" t="s">
        <v>304</v>
      </c>
      <c r="D7" s="71" t="s">
        <v>4</v>
      </c>
      <c r="E7" s="101"/>
      <c r="F7" s="380" t="s">
        <v>304</v>
      </c>
    </row>
    <row r="8" spans="1:13">
      <c r="A8" s="59" t="s">
        <v>6</v>
      </c>
      <c r="B8" s="50" t="s">
        <v>305</v>
      </c>
      <c r="C8" s="50" t="s">
        <v>306</v>
      </c>
      <c r="D8" s="50" t="s">
        <v>307</v>
      </c>
      <c r="E8" s="50" t="s">
        <v>308</v>
      </c>
      <c r="F8" s="136" t="s">
        <v>306</v>
      </c>
    </row>
    <row r="9" spans="1:13" ht="15">
      <c r="A9" s="56"/>
      <c r="B9" s="53" t="s">
        <v>309</v>
      </c>
      <c r="C9" s="51"/>
      <c r="D9" s="52"/>
      <c r="E9" s="53" t="s">
        <v>704</v>
      </c>
      <c r="F9" s="137"/>
    </row>
    <row r="10" spans="1:13" ht="15">
      <c r="A10" s="56">
        <v>1</v>
      </c>
      <c r="B10" s="57" t="s">
        <v>310</v>
      </c>
      <c r="C10" s="55"/>
      <c r="D10" s="56"/>
      <c r="E10" s="57"/>
      <c r="F10" s="138"/>
    </row>
    <row r="11" spans="1:13">
      <c r="A11" s="59"/>
      <c r="B11" s="65" t="s">
        <v>311</v>
      </c>
      <c r="C11" s="58">
        <f>81129742-155261</f>
        <v>80974481</v>
      </c>
      <c r="D11" s="59">
        <v>30</v>
      </c>
      <c r="E11" s="60" t="s">
        <v>312</v>
      </c>
      <c r="F11" s="58">
        <v>0</v>
      </c>
      <c r="G11" s="450">
        <f>+C11-'Plant Sched 4'!G27</f>
        <v>1</v>
      </c>
    </row>
    <row r="12" spans="1:13">
      <c r="A12" s="62">
        <v>2</v>
      </c>
      <c r="B12" s="63" t="s">
        <v>313</v>
      </c>
      <c r="C12" s="147">
        <v>155261</v>
      </c>
      <c r="D12" s="62">
        <v>31</v>
      </c>
      <c r="E12" s="63" t="s">
        <v>314</v>
      </c>
      <c r="F12" s="139">
        <v>0</v>
      </c>
      <c r="G12" s="108">
        <f>+C12-'Plant Sched 4'!G29</f>
        <v>0</v>
      </c>
    </row>
    <row r="13" spans="1:13" ht="15">
      <c r="A13" s="56">
        <v>3</v>
      </c>
      <c r="B13" s="57" t="s">
        <v>315</v>
      </c>
      <c r="C13" s="55"/>
      <c r="D13" s="56"/>
      <c r="E13" s="57"/>
      <c r="F13" s="138"/>
    </row>
    <row r="14" spans="1:13" ht="15">
      <c r="A14" s="56"/>
      <c r="B14" s="381" t="s">
        <v>316</v>
      </c>
      <c r="C14" s="55"/>
      <c r="D14" s="56">
        <v>32</v>
      </c>
      <c r="E14" s="57" t="s">
        <v>317</v>
      </c>
      <c r="F14" s="138"/>
    </row>
    <row r="15" spans="1:13" ht="13.8" thickBot="1">
      <c r="A15" s="59"/>
      <c r="B15" s="65" t="s">
        <v>318</v>
      </c>
      <c r="C15" s="64">
        <v>39485538</v>
      </c>
      <c r="D15" s="59"/>
      <c r="E15" s="65" t="s">
        <v>319</v>
      </c>
      <c r="F15" s="64">
        <v>47228189</v>
      </c>
      <c r="G15" s="108">
        <f>+C15-'Plant Sched 4'!I30</f>
        <v>1</v>
      </c>
      <c r="H15" s="108">
        <f>+F15-'Capital Structure'!H22</f>
        <v>0</v>
      </c>
      <c r="I15" s="128"/>
      <c r="J15" s="80"/>
      <c r="K15" s="80"/>
      <c r="L15" s="80"/>
      <c r="M15" s="80"/>
    </row>
    <row r="16" spans="1:13" ht="13.8" thickBot="1">
      <c r="A16" s="62">
        <v>4</v>
      </c>
      <c r="B16" s="66" t="s">
        <v>320</v>
      </c>
      <c r="C16" s="382">
        <f>+C11+C12-C15</f>
        <v>41644204</v>
      </c>
      <c r="D16" s="67">
        <v>33</v>
      </c>
      <c r="E16" s="68" t="s">
        <v>321</v>
      </c>
      <c r="F16" s="382">
        <f>+F15+F11+F12</f>
        <v>47228189</v>
      </c>
      <c r="I16" s="80"/>
      <c r="J16" s="80"/>
      <c r="K16" s="80"/>
      <c r="L16" s="80"/>
      <c r="M16" s="80"/>
    </row>
    <row r="17" spans="1:13">
      <c r="A17" s="52">
        <v>5</v>
      </c>
      <c r="B17" s="57" t="s">
        <v>322</v>
      </c>
      <c r="C17" s="69">
        <v>0</v>
      </c>
      <c r="D17" s="56"/>
      <c r="E17" s="70" t="s">
        <v>323</v>
      </c>
      <c r="F17" s="138"/>
      <c r="I17" s="80"/>
      <c r="J17" s="80"/>
      <c r="K17" s="80"/>
      <c r="L17" s="80"/>
      <c r="M17" s="80"/>
    </row>
    <row r="18" spans="1:13" ht="15">
      <c r="A18" s="56">
        <v>6</v>
      </c>
      <c r="B18" s="383" t="s">
        <v>315</v>
      </c>
      <c r="C18" s="55"/>
      <c r="D18" s="71"/>
      <c r="E18" s="57"/>
      <c r="F18" s="138"/>
      <c r="I18" s="80"/>
      <c r="J18" s="80"/>
      <c r="K18" s="80"/>
      <c r="L18" s="80"/>
      <c r="M18" s="80"/>
    </row>
    <row r="19" spans="1:13" ht="15">
      <c r="A19" s="56"/>
      <c r="B19" s="381" t="s">
        <v>324</v>
      </c>
      <c r="C19" s="55"/>
      <c r="D19" s="56"/>
      <c r="E19" s="57"/>
      <c r="F19" s="138"/>
      <c r="I19" s="80"/>
      <c r="J19" s="80"/>
      <c r="K19" s="80"/>
      <c r="L19" s="80"/>
      <c r="M19" s="80"/>
    </row>
    <row r="20" spans="1:13">
      <c r="A20" s="56"/>
      <c r="B20" s="381" t="s">
        <v>325</v>
      </c>
      <c r="C20" s="64">
        <v>0</v>
      </c>
      <c r="D20" s="59">
        <v>34</v>
      </c>
      <c r="E20" s="60" t="s">
        <v>326</v>
      </c>
      <c r="F20" s="384">
        <v>17764400</v>
      </c>
      <c r="G20" s="108">
        <f>+F20-'Capital Structure'!F22</f>
        <v>0</v>
      </c>
    </row>
    <row r="21" spans="1:13" ht="13.8" thickBot="1">
      <c r="A21" s="385">
        <v>7</v>
      </c>
      <c r="B21" s="386" t="s">
        <v>327</v>
      </c>
      <c r="C21" s="72"/>
      <c r="D21" s="71">
        <v>35</v>
      </c>
      <c r="E21" s="57" t="s">
        <v>328</v>
      </c>
      <c r="F21" s="138"/>
    </row>
    <row r="22" spans="1:13" ht="13.8" thickBot="1">
      <c r="A22" s="59"/>
      <c r="B22" s="387" t="s">
        <v>329</v>
      </c>
      <c r="C22" s="382">
        <f>+C16+C17-C20</f>
        <v>41644204</v>
      </c>
      <c r="D22" s="50"/>
      <c r="E22" s="65" t="s">
        <v>330</v>
      </c>
      <c r="F22" s="148"/>
    </row>
    <row r="23" spans="1:13" ht="15">
      <c r="A23" s="56"/>
      <c r="B23" s="70" t="s">
        <v>331</v>
      </c>
      <c r="C23" s="55"/>
      <c r="D23" s="56">
        <v>36</v>
      </c>
      <c r="E23" s="57" t="s">
        <v>332</v>
      </c>
      <c r="F23" s="138"/>
    </row>
    <row r="24" spans="1:13">
      <c r="A24" s="59">
        <v>8</v>
      </c>
      <c r="B24" s="60" t="s">
        <v>333</v>
      </c>
      <c r="C24" s="74">
        <v>0</v>
      </c>
      <c r="D24" s="59"/>
      <c r="E24" s="65" t="s">
        <v>334</v>
      </c>
      <c r="F24" s="74">
        <v>0</v>
      </c>
    </row>
    <row r="25" spans="1:13" ht="15">
      <c r="A25" s="56">
        <v>9</v>
      </c>
      <c r="B25" s="57" t="s">
        <v>315</v>
      </c>
      <c r="C25" s="75"/>
      <c r="D25" s="56">
        <v>37</v>
      </c>
      <c r="E25" s="57" t="s">
        <v>335</v>
      </c>
      <c r="F25" s="140"/>
    </row>
    <row r="26" spans="1:13">
      <c r="A26" s="59"/>
      <c r="B26" s="65" t="s">
        <v>336</v>
      </c>
      <c r="C26" s="74">
        <v>0</v>
      </c>
      <c r="D26" s="59"/>
      <c r="E26" s="65" t="s">
        <v>337</v>
      </c>
      <c r="F26" s="74">
        <v>3742</v>
      </c>
      <c r="G26" s="80"/>
      <c r="H26" s="341"/>
      <c r="I26" s="80"/>
    </row>
    <row r="27" spans="1:13" ht="15.6" thickBot="1">
      <c r="A27" s="56">
        <v>10</v>
      </c>
      <c r="B27" s="57" t="s">
        <v>338</v>
      </c>
      <c r="C27" s="75"/>
      <c r="D27" s="56"/>
      <c r="E27" s="57"/>
      <c r="F27" s="140"/>
    </row>
    <row r="28" spans="1:13" ht="13.8" thickBot="1">
      <c r="A28" s="59"/>
      <c r="B28" s="65" t="s">
        <v>339</v>
      </c>
      <c r="C28" s="74">
        <v>0</v>
      </c>
      <c r="D28" s="59">
        <v>38</v>
      </c>
      <c r="E28" s="76" t="s">
        <v>340</v>
      </c>
      <c r="F28" s="377">
        <f>+F20+F22+F24-F26</f>
        <v>17760658</v>
      </c>
    </row>
    <row r="29" spans="1:13" ht="13.8" thickBot="1">
      <c r="A29" s="62">
        <v>11</v>
      </c>
      <c r="B29" s="63" t="s">
        <v>341</v>
      </c>
      <c r="C29" s="77">
        <v>3917118</v>
      </c>
      <c r="D29" s="59"/>
      <c r="E29" s="60"/>
      <c r="F29" s="141"/>
    </row>
    <row r="30" spans="1:13" ht="13.8" thickBot="1">
      <c r="A30" s="62">
        <v>12</v>
      </c>
      <c r="B30" s="68" t="s">
        <v>342</v>
      </c>
      <c r="C30" s="377">
        <f>+C24+C26+C28+C29</f>
        <v>3917118</v>
      </c>
      <c r="D30" s="50"/>
      <c r="E30" s="78" t="s">
        <v>343</v>
      </c>
      <c r="F30" s="141"/>
    </row>
    <row r="31" spans="1:13" ht="15">
      <c r="A31" s="56"/>
      <c r="B31" s="70" t="s">
        <v>344</v>
      </c>
      <c r="C31" s="75"/>
      <c r="D31" s="62">
        <v>39</v>
      </c>
      <c r="E31" s="63" t="s">
        <v>345</v>
      </c>
      <c r="F31" s="79">
        <v>0</v>
      </c>
    </row>
    <row r="32" spans="1:13" ht="15.6" thickBot="1">
      <c r="A32" s="56">
        <v>13</v>
      </c>
      <c r="B32" s="57" t="s">
        <v>346</v>
      </c>
      <c r="C32" s="75"/>
      <c r="D32" s="62">
        <v>40</v>
      </c>
      <c r="E32" s="63" t="s">
        <v>347</v>
      </c>
      <c r="F32" s="77">
        <v>0</v>
      </c>
    </row>
    <row r="33" spans="1:8" ht="13.8" thickBot="1">
      <c r="A33" s="59"/>
      <c r="B33" s="65" t="s">
        <v>348</v>
      </c>
      <c r="C33" s="74">
        <f>415571+20723979</f>
        <v>21139550</v>
      </c>
      <c r="D33" s="59">
        <v>41</v>
      </c>
      <c r="E33" s="76" t="s">
        <v>349</v>
      </c>
      <c r="F33" s="377">
        <f>SUM(F31:F32)</f>
        <v>0</v>
      </c>
    </row>
    <row r="34" spans="1:8" ht="15">
      <c r="A34" s="56">
        <v>14</v>
      </c>
      <c r="B34" s="57" t="s">
        <v>350</v>
      </c>
      <c r="C34" s="75"/>
      <c r="D34" s="56"/>
      <c r="E34" s="57"/>
      <c r="F34" s="140"/>
    </row>
    <row r="35" spans="1:8">
      <c r="A35" s="59"/>
      <c r="B35" s="65" t="s">
        <v>351</v>
      </c>
      <c r="C35" s="74"/>
      <c r="D35" s="59"/>
      <c r="E35" s="78" t="s">
        <v>352</v>
      </c>
      <c r="F35" s="141"/>
      <c r="H35" s="80"/>
    </row>
    <row r="36" spans="1:8">
      <c r="A36" s="62">
        <v>15</v>
      </c>
      <c r="B36" s="63" t="s">
        <v>719</v>
      </c>
      <c r="C36" s="79">
        <f>4102496+200245+110237</f>
        <v>4412978</v>
      </c>
      <c r="D36" s="59">
        <v>42</v>
      </c>
      <c r="E36" s="60" t="s">
        <v>353</v>
      </c>
      <c r="F36" s="74">
        <v>0</v>
      </c>
      <c r="H36" s="334"/>
    </row>
    <row r="37" spans="1:8" ht="15">
      <c r="A37" s="56">
        <v>16</v>
      </c>
      <c r="B37" s="57" t="s">
        <v>315</v>
      </c>
      <c r="C37" s="75"/>
      <c r="D37" s="56"/>
      <c r="E37" s="57"/>
      <c r="F37" s="140"/>
      <c r="H37" s="80"/>
    </row>
    <row r="38" spans="1:8">
      <c r="A38" s="59"/>
      <c r="B38" s="65" t="s">
        <v>354</v>
      </c>
      <c r="C38" s="74"/>
      <c r="D38" s="59">
        <v>43</v>
      </c>
      <c r="E38" s="60" t="s">
        <v>355</v>
      </c>
      <c r="F38" s="74">
        <v>3304184</v>
      </c>
    </row>
    <row r="39" spans="1:8" ht="15">
      <c r="A39" s="56">
        <v>17</v>
      </c>
      <c r="B39" s="57" t="s">
        <v>356</v>
      </c>
      <c r="C39" s="75"/>
      <c r="D39" s="56">
        <v>44</v>
      </c>
      <c r="E39" s="57" t="s">
        <v>357</v>
      </c>
      <c r="F39" s="140"/>
    </row>
    <row r="40" spans="1:8">
      <c r="A40" s="59"/>
      <c r="B40" s="65" t="s">
        <v>358</v>
      </c>
      <c r="C40" s="74"/>
      <c r="D40" s="59"/>
      <c r="E40" s="65" t="s">
        <v>359</v>
      </c>
      <c r="F40" s="74"/>
    </row>
    <row r="41" spans="1:8">
      <c r="A41" s="62">
        <v>18</v>
      </c>
      <c r="B41" s="63" t="s">
        <v>360</v>
      </c>
      <c r="C41" s="79">
        <v>526790</v>
      </c>
      <c r="D41" s="59">
        <v>45</v>
      </c>
      <c r="E41" s="60" t="s">
        <v>361</v>
      </c>
      <c r="F41" s="74">
        <v>60674</v>
      </c>
    </row>
    <row r="42" spans="1:8">
      <c r="A42" s="62">
        <v>19</v>
      </c>
      <c r="B42" s="63" t="s">
        <v>362</v>
      </c>
      <c r="C42" s="79"/>
      <c r="D42" s="59">
        <v>46</v>
      </c>
      <c r="E42" s="60" t="s">
        <v>363</v>
      </c>
      <c r="F42" s="74"/>
    </row>
    <row r="43" spans="1:8">
      <c r="A43" s="62">
        <v>20</v>
      </c>
      <c r="B43" s="63" t="s">
        <v>364</v>
      </c>
      <c r="C43" s="79">
        <v>77172</v>
      </c>
      <c r="D43" s="59">
        <v>47</v>
      </c>
      <c r="E43" s="60" t="s">
        <v>365</v>
      </c>
      <c r="F43" s="74">
        <v>311695</v>
      </c>
    </row>
    <row r="44" spans="1:8" ht="13.8" thickBot="1">
      <c r="A44" s="62">
        <v>21</v>
      </c>
      <c r="B44" s="63" t="s">
        <v>366</v>
      </c>
      <c r="C44" s="79">
        <v>0</v>
      </c>
      <c r="D44" s="59">
        <v>48</v>
      </c>
      <c r="E44" s="60" t="s">
        <v>367</v>
      </c>
      <c r="F44" s="81">
        <v>133251</v>
      </c>
    </row>
    <row r="45" spans="1:8" ht="13.8" thickBot="1">
      <c r="A45" s="62">
        <v>22</v>
      </c>
      <c r="B45" s="63" t="s">
        <v>368</v>
      </c>
      <c r="C45" s="77">
        <v>0</v>
      </c>
      <c r="D45" s="59">
        <v>49</v>
      </c>
      <c r="E45" s="76" t="s">
        <v>369</v>
      </c>
      <c r="F45" s="377">
        <f>+F44+F43+F42+F41+F40+F38+F36</f>
        <v>3809804</v>
      </c>
    </row>
    <row r="46" spans="1:8" ht="13.8" thickBot="1">
      <c r="A46" s="62">
        <v>23</v>
      </c>
      <c r="B46" s="68" t="s">
        <v>370</v>
      </c>
      <c r="C46" s="377">
        <f>+C33+C35+C36-C38+C40+C42+C43+C44+C45+C41</f>
        <v>26156490</v>
      </c>
      <c r="D46" s="50"/>
      <c r="E46" s="78" t="s">
        <v>371</v>
      </c>
      <c r="F46" s="141"/>
    </row>
    <row r="47" spans="1:8" ht="15">
      <c r="A47" s="57"/>
      <c r="B47" s="70" t="s">
        <v>372</v>
      </c>
      <c r="C47" s="75"/>
      <c r="D47" s="56">
        <v>50</v>
      </c>
      <c r="E47" s="57" t="s">
        <v>373</v>
      </c>
      <c r="F47" s="140"/>
    </row>
    <row r="48" spans="1:8">
      <c r="A48" s="59">
        <v>24</v>
      </c>
      <c r="B48" s="60" t="s">
        <v>374</v>
      </c>
      <c r="C48" s="74">
        <f>206291-152696</f>
        <v>53595</v>
      </c>
      <c r="D48" s="59"/>
      <c r="E48" s="82" t="s">
        <v>375</v>
      </c>
      <c r="F48" s="74">
        <v>0</v>
      </c>
      <c r="G48" s="619">
        <f>+C48-'Capital Structure'!G22</f>
        <v>49853</v>
      </c>
    </row>
    <row r="49" spans="1:13" ht="15">
      <c r="A49" s="56">
        <v>25</v>
      </c>
      <c r="B49" s="57" t="s">
        <v>376</v>
      </c>
      <c r="C49" s="75"/>
      <c r="D49" s="56">
        <v>51</v>
      </c>
      <c r="E49" s="57" t="s">
        <v>377</v>
      </c>
      <c r="F49" s="140"/>
    </row>
    <row r="50" spans="1:13">
      <c r="A50" s="60"/>
      <c r="B50" s="65" t="s">
        <v>378</v>
      </c>
      <c r="C50" s="74">
        <v>0</v>
      </c>
      <c r="D50" s="59"/>
      <c r="E50" s="65" t="s">
        <v>379</v>
      </c>
      <c r="F50" s="74">
        <f>1090914+2682684</f>
        <v>3773598</v>
      </c>
    </row>
    <row r="51" spans="1:13" ht="15">
      <c r="A51" s="56">
        <v>26</v>
      </c>
      <c r="B51" s="57" t="s">
        <v>380</v>
      </c>
      <c r="C51" s="75"/>
      <c r="D51" s="56"/>
      <c r="E51" s="57"/>
      <c r="F51" s="140"/>
    </row>
    <row r="52" spans="1:13" ht="15">
      <c r="A52" s="56"/>
      <c r="B52" s="381" t="s">
        <v>381</v>
      </c>
      <c r="C52" s="75">
        <v>0</v>
      </c>
      <c r="D52" s="56">
        <v>52</v>
      </c>
      <c r="E52" s="57" t="s">
        <v>382</v>
      </c>
      <c r="F52" s="140"/>
    </row>
    <row r="53" spans="1:13" ht="13.8" thickBot="1">
      <c r="A53" s="59"/>
      <c r="B53" s="65" t="s">
        <v>383</v>
      </c>
      <c r="C53" s="81"/>
      <c r="D53" s="59"/>
      <c r="E53" s="82" t="s">
        <v>384</v>
      </c>
      <c r="F53" s="81">
        <v>0</v>
      </c>
    </row>
    <row r="54" spans="1:13" ht="13.8" thickBot="1">
      <c r="A54" s="62">
        <v>27</v>
      </c>
      <c r="B54" s="68" t="s">
        <v>385</v>
      </c>
      <c r="C54" s="377">
        <f>C48+C50+C53</f>
        <v>53595</v>
      </c>
      <c r="D54" s="50">
        <v>53</v>
      </c>
      <c r="E54" s="76" t="s">
        <v>386</v>
      </c>
      <c r="F54" s="377">
        <f>+F53+F50+F48</f>
        <v>3773598</v>
      </c>
    </row>
    <row r="55" spans="1:13">
      <c r="A55" s="56"/>
      <c r="B55" s="388" t="s">
        <v>726</v>
      </c>
      <c r="C55" s="378"/>
      <c r="D55" s="71"/>
      <c r="E55" s="388" t="s">
        <v>729</v>
      </c>
      <c r="F55" s="378"/>
    </row>
    <row r="56" spans="1:13">
      <c r="A56" s="59">
        <v>28</v>
      </c>
      <c r="B56" s="340" t="s">
        <v>727</v>
      </c>
      <c r="C56" s="74">
        <v>1116389</v>
      </c>
      <c r="D56" s="50">
        <v>54</v>
      </c>
      <c r="E56" s="340" t="s">
        <v>730</v>
      </c>
      <c r="F56" s="74">
        <v>315547</v>
      </c>
    </row>
    <row r="57" spans="1:13" ht="27" thickBot="1">
      <c r="A57" s="389">
        <v>29</v>
      </c>
      <c r="B57" s="390" t="s">
        <v>728</v>
      </c>
      <c r="C57" s="379">
        <f>+C54+C46+C21+C22+C30+C56</f>
        <v>72887796</v>
      </c>
      <c r="D57" s="83">
        <v>55</v>
      </c>
      <c r="E57" s="84" t="s">
        <v>387</v>
      </c>
      <c r="F57" s="379">
        <f>+F54+F45+F28+F16+F33+F56</f>
        <v>72887796</v>
      </c>
      <c r="I57" s="436"/>
      <c r="J57" s="80"/>
      <c r="K57" s="80"/>
      <c r="L57" s="80"/>
      <c r="M57" s="80"/>
    </row>
    <row r="58" spans="1:13" ht="15">
      <c r="A58" s="87"/>
      <c r="B58" s="87"/>
      <c r="C58" s="86"/>
      <c r="D58" s="87"/>
      <c r="E58" s="87"/>
      <c r="F58" s="142"/>
      <c r="I58" s="80"/>
      <c r="J58" s="80"/>
      <c r="K58" s="80"/>
      <c r="L58" s="80"/>
      <c r="M58" s="80"/>
    </row>
    <row r="59" spans="1:13" ht="15">
      <c r="A59" s="87"/>
      <c r="B59" s="87"/>
      <c r="C59" s="86"/>
      <c r="D59" s="87"/>
      <c r="E59" s="87"/>
      <c r="F59" s="143"/>
    </row>
    <row r="60" spans="1:13">
      <c r="A60" s="87"/>
      <c r="B60" s="87"/>
      <c r="C60" s="88"/>
      <c r="D60" s="87"/>
      <c r="E60" s="87"/>
      <c r="F60" s="143"/>
    </row>
    <row r="61" spans="1:13">
      <c r="A61" s="87"/>
      <c r="B61" s="87"/>
      <c r="C61" s="88"/>
      <c r="D61" s="87"/>
      <c r="E61" s="87"/>
      <c r="F61" s="391"/>
    </row>
    <row r="62" spans="1:13">
      <c r="A62" s="85"/>
      <c r="B62" s="85"/>
      <c r="C62" s="88"/>
      <c r="D62" s="85"/>
      <c r="E62" s="85"/>
      <c r="F62" s="144"/>
    </row>
    <row r="63" spans="1:13">
      <c r="A63" s="85"/>
      <c r="B63" s="85"/>
      <c r="C63" s="88"/>
      <c r="D63" s="85"/>
      <c r="E63" s="85"/>
      <c r="F63" s="145"/>
    </row>
    <row r="64" spans="1:13">
      <c r="A64" s="85"/>
      <c r="B64" s="85"/>
      <c r="C64" s="88"/>
      <c r="D64" s="85"/>
      <c r="E64" s="85"/>
      <c r="F64" s="145"/>
    </row>
    <row r="65" spans="1:6">
      <c r="A65" s="85"/>
      <c r="B65" s="85"/>
      <c r="C65" s="89"/>
      <c r="D65" s="85"/>
      <c r="E65" s="85"/>
      <c r="F65" s="129"/>
    </row>
    <row r="66" spans="1:6">
      <c r="A66" s="85"/>
      <c r="B66" s="85"/>
      <c r="C66" s="89"/>
      <c r="D66" s="85"/>
      <c r="E66" s="85"/>
      <c r="F66" s="146"/>
    </row>
    <row r="67" spans="1:6">
      <c r="A67" s="85"/>
      <c r="B67" s="85"/>
      <c r="C67" s="89"/>
      <c r="D67" s="85"/>
      <c r="E67" s="85"/>
      <c r="F67" s="129"/>
    </row>
    <row r="68" spans="1:6">
      <c r="A68" s="85"/>
      <c r="B68" s="85"/>
      <c r="C68" s="89"/>
      <c r="D68" s="85"/>
      <c r="E68" s="85"/>
      <c r="F68" s="129"/>
    </row>
    <row r="69" spans="1:6">
      <c r="A69" s="85"/>
      <c r="B69" s="85"/>
      <c r="C69" s="89"/>
      <c r="D69" s="85"/>
      <c r="E69" s="85"/>
      <c r="F69" s="129"/>
    </row>
    <row r="70" spans="1:6">
      <c r="A70" s="85"/>
      <c r="B70" s="85"/>
      <c r="C70" s="85"/>
      <c r="D70" s="85"/>
      <c r="E70" s="85"/>
      <c r="F70" s="129"/>
    </row>
    <row r="71" spans="1:6">
      <c r="A71" s="85"/>
      <c r="B71" s="85"/>
      <c r="C71" s="85"/>
      <c r="D71" s="85"/>
      <c r="E71" s="85"/>
      <c r="F71" s="129"/>
    </row>
    <row r="72" spans="1:6">
      <c r="A72" s="85"/>
      <c r="B72" s="85"/>
      <c r="C72" s="85"/>
      <c r="D72" s="85"/>
      <c r="E72" s="85"/>
      <c r="F72" s="129"/>
    </row>
    <row r="73" spans="1:6">
      <c r="A73" s="85"/>
      <c r="B73" s="85"/>
      <c r="C73" s="85"/>
      <c r="D73" s="85"/>
      <c r="E73" s="85"/>
      <c r="F73" s="129"/>
    </row>
    <row r="74" spans="1:6">
      <c r="A74" s="85"/>
      <c r="B74" s="85"/>
      <c r="C74" s="85"/>
      <c r="D74" s="85"/>
      <c r="E74" s="85"/>
      <c r="F74" s="129"/>
    </row>
    <row r="75" spans="1:6">
      <c r="A75" s="85"/>
      <c r="B75" s="85"/>
      <c r="C75" s="85"/>
      <c r="D75" s="85"/>
      <c r="E75" s="85"/>
      <c r="F75" s="129"/>
    </row>
    <row r="76" spans="1:6">
      <c r="A76" s="85"/>
      <c r="B76" s="85"/>
      <c r="C76" s="85"/>
      <c r="D76" s="85"/>
      <c r="E76" s="85"/>
      <c r="F76" s="129"/>
    </row>
    <row r="77" spans="1:6">
      <c r="A77" s="85"/>
      <c r="B77" s="85"/>
      <c r="C77" s="85"/>
      <c r="D77" s="85"/>
      <c r="E77" s="85"/>
      <c r="F77" s="129"/>
    </row>
  </sheetData>
  <mergeCells count="5">
    <mergeCell ref="A1:F1"/>
    <mergeCell ref="A2:F2"/>
    <mergeCell ref="A3:F3"/>
    <mergeCell ref="A4:F4"/>
    <mergeCell ref="A6:F6"/>
  </mergeCells>
  <pageMargins left="0.47" right="0.45" top="1" bottom="0.5" header="0.5" footer="0.5"/>
  <pageSetup scale="78"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1" zoomScale="90" zoomScaleNormal="90" workbookViewId="0">
      <selection activeCell="H16" sqref="H16"/>
    </sheetView>
  </sheetViews>
  <sheetFormatPr defaultColWidth="8.90625" defaultRowHeight="13.2"/>
  <cols>
    <col min="1" max="1" width="5.1796875" style="45" customWidth="1"/>
    <col min="2" max="2" width="60" style="45" customWidth="1"/>
    <col min="3" max="3" width="13" style="45" customWidth="1"/>
    <col min="4" max="4" width="10.453125" style="45" bestFit="1" customWidth="1"/>
    <col min="5" max="5" width="16.90625" style="45" customWidth="1"/>
    <col min="6" max="6" width="10.81640625" style="45" bestFit="1" customWidth="1"/>
    <col min="7" max="7" width="3.6328125" style="45" customWidth="1"/>
    <col min="8" max="8" width="10.81640625" style="45" bestFit="1" customWidth="1"/>
    <col min="9" max="9" width="9" style="45" bestFit="1" customWidth="1"/>
    <col min="10" max="16384" width="8.90625" style="45"/>
  </cols>
  <sheetData>
    <row r="1" spans="1:10" s="44" customFormat="1" ht="15.6">
      <c r="A1" s="644" t="str">
        <f>Coversheet!D3</f>
        <v>Marshall (Minnesota) Municipal Utilities</v>
      </c>
      <c r="B1" s="644"/>
      <c r="C1" s="644"/>
      <c r="D1" s="90"/>
      <c r="E1" s="90"/>
      <c r="F1" s="90"/>
    </row>
    <row r="2" spans="1:10" s="44" customFormat="1" ht="15">
      <c r="A2" s="648" t="s">
        <v>301</v>
      </c>
      <c r="B2" s="648"/>
      <c r="C2" s="648"/>
      <c r="D2" s="90"/>
      <c r="E2" s="90"/>
      <c r="F2" s="90"/>
    </row>
    <row r="3" spans="1:10" s="44" customFormat="1" ht="15">
      <c r="A3" s="648" t="s">
        <v>388</v>
      </c>
      <c r="B3" s="648"/>
      <c r="C3" s="648"/>
      <c r="D3" s="90"/>
      <c r="E3" s="90"/>
      <c r="F3" s="90"/>
    </row>
    <row r="4" spans="1:10" s="44" customFormat="1" ht="15.6">
      <c r="A4" s="649">
        <f>+'Balance sheet Sched 2'!A4:F4</f>
        <v>42735</v>
      </c>
      <c r="B4" s="649"/>
      <c r="C4" s="649"/>
      <c r="D4" s="91"/>
      <c r="E4" s="91"/>
      <c r="F4" s="91"/>
    </row>
    <row r="5" spans="1:10" s="44" customFormat="1" ht="14.4">
      <c r="A5" s="92"/>
      <c r="B5" s="92"/>
      <c r="C5" s="92"/>
      <c r="D5" s="202"/>
      <c r="E5" s="202"/>
      <c r="F5" s="92"/>
    </row>
    <row r="6" spans="1:10" ht="14.4">
      <c r="A6" s="647" t="s">
        <v>389</v>
      </c>
      <c r="B6" s="647"/>
      <c r="C6" s="647"/>
      <c r="D6" s="201"/>
      <c r="E6" s="201"/>
      <c r="F6" s="93"/>
    </row>
    <row r="7" spans="1:10" ht="14.4">
      <c r="A7" s="94" t="s">
        <v>4</v>
      </c>
      <c r="B7" s="95"/>
      <c r="C7" s="96" t="s">
        <v>7</v>
      </c>
      <c r="D7" s="203"/>
      <c r="E7" s="375"/>
      <c r="F7" s="334"/>
      <c r="G7" s="334"/>
      <c r="H7" s="334"/>
      <c r="I7" s="334"/>
      <c r="J7" s="80"/>
    </row>
    <row r="8" spans="1:10" ht="14.4">
      <c r="A8" s="60" t="s">
        <v>6</v>
      </c>
      <c r="B8" s="97"/>
      <c r="C8" s="50" t="s">
        <v>306</v>
      </c>
      <c r="D8" s="203"/>
      <c r="E8" s="343"/>
      <c r="F8" s="80"/>
      <c r="G8" s="80"/>
      <c r="H8" s="80"/>
      <c r="I8" s="80"/>
      <c r="J8" s="80"/>
    </row>
    <row r="9" spans="1:10" ht="14.4">
      <c r="A9" s="59"/>
      <c r="B9" s="97" t="s">
        <v>390</v>
      </c>
      <c r="C9" s="620">
        <v>49803828</v>
      </c>
      <c r="D9" s="335"/>
      <c r="E9" s="343"/>
      <c r="F9" s="80"/>
      <c r="G9" s="80"/>
      <c r="H9" s="80"/>
      <c r="I9" s="80"/>
      <c r="J9" s="80"/>
    </row>
    <row r="10" spans="1:10" ht="14.4">
      <c r="A10" s="59">
        <v>2</v>
      </c>
      <c r="B10" s="97" t="s">
        <v>391</v>
      </c>
      <c r="C10" s="98">
        <f>'Op &amp; Maint Sched 7'!D31+'Op &amp; Maint Sched 7'!C31</f>
        <v>42690828</v>
      </c>
      <c r="D10" s="345"/>
      <c r="E10" s="343"/>
      <c r="F10" s="80"/>
      <c r="G10" s="80"/>
      <c r="H10" s="80"/>
      <c r="I10" s="80"/>
      <c r="J10" s="80"/>
    </row>
    <row r="11" spans="1:10" ht="14.4">
      <c r="A11" s="59">
        <v>3</v>
      </c>
      <c r="B11" s="97" t="s">
        <v>392</v>
      </c>
      <c r="C11" s="98">
        <f>'Op &amp; Maint Sched 7'!E31</f>
        <v>1419049</v>
      </c>
      <c r="D11" s="345"/>
      <c r="E11" s="343"/>
      <c r="F11" s="344"/>
      <c r="G11" s="164"/>
      <c r="H11" s="164"/>
      <c r="I11" s="164"/>
    </row>
    <row r="12" spans="1:10" ht="14.4">
      <c r="A12" s="62">
        <v>4</v>
      </c>
      <c r="B12" s="99" t="s">
        <v>393</v>
      </c>
      <c r="C12" s="100">
        <v>3037058</v>
      </c>
      <c r="D12" s="345"/>
      <c r="E12" s="345"/>
      <c r="F12" s="344"/>
      <c r="G12" s="164"/>
      <c r="H12" s="164"/>
      <c r="I12" s="164"/>
    </row>
    <row r="13" spans="1:10" ht="14.4">
      <c r="A13" s="59">
        <v>5</v>
      </c>
      <c r="B13" s="97" t="s">
        <v>394</v>
      </c>
      <c r="C13" s="98">
        <v>0</v>
      </c>
      <c r="D13" s="343"/>
      <c r="E13" s="343"/>
      <c r="F13" s="344"/>
      <c r="G13" s="164"/>
      <c r="H13" s="164"/>
      <c r="I13" s="164"/>
    </row>
    <row r="14" spans="1:10" ht="15" thickBot="1">
      <c r="A14" s="56">
        <v>6</v>
      </c>
      <c r="B14" s="101" t="s">
        <v>395</v>
      </c>
      <c r="C14" s="102">
        <f>'Taxes Sched 5'!D17</f>
        <v>864746</v>
      </c>
      <c r="D14" s="345"/>
      <c r="E14" s="343"/>
      <c r="F14" s="344"/>
      <c r="G14" s="164"/>
      <c r="H14" s="164"/>
      <c r="I14" s="164"/>
    </row>
    <row r="15" spans="1:10" ht="15" thickBot="1">
      <c r="A15" s="103">
        <v>7</v>
      </c>
      <c r="B15" s="104" t="s">
        <v>396</v>
      </c>
      <c r="C15" s="376">
        <f>SUM(C10:C14)</f>
        <v>48011681</v>
      </c>
      <c r="D15" s="345"/>
      <c r="E15" s="343"/>
      <c r="F15" s="344"/>
      <c r="G15" s="164"/>
      <c r="H15" s="164"/>
      <c r="I15" s="164"/>
    </row>
    <row r="16" spans="1:10" ht="15" thickBot="1">
      <c r="A16" s="103">
        <v>8</v>
      </c>
      <c r="B16" s="105" t="s">
        <v>720</v>
      </c>
      <c r="C16" s="376">
        <f>+C9-C15</f>
        <v>1792147</v>
      </c>
      <c r="D16" s="343"/>
      <c r="E16" s="343"/>
      <c r="F16" s="344"/>
      <c r="G16" s="164"/>
      <c r="H16" s="164"/>
      <c r="I16" s="164"/>
    </row>
    <row r="17" spans="1:13" ht="15" thickBot="1">
      <c r="A17" s="56">
        <v>9</v>
      </c>
      <c r="B17" s="101" t="s">
        <v>397</v>
      </c>
      <c r="C17" s="102">
        <v>411202</v>
      </c>
      <c r="D17" s="343"/>
      <c r="E17" s="343"/>
      <c r="F17" s="80"/>
    </row>
    <row r="18" spans="1:13" ht="15" thickBot="1">
      <c r="A18" s="106">
        <v>10</v>
      </c>
      <c r="B18" s="107" t="s">
        <v>398</v>
      </c>
      <c r="C18" s="376">
        <f>+C17+C16</f>
        <v>2203349</v>
      </c>
      <c r="D18" s="343"/>
      <c r="E18" s="343"/>
      <c r="F18" s="80"/>
    </row>
    <row r="19" spans="1:13" ht="14.4">
      <c r="A19" s="59">
        <v>11</v>
      </c>
      <c r="B19" s="97" t="s">
        <v>399</v>
      </c>
      <c r="C19" s="98">
        <f>718097-20389</f>
        <v>697708</v>
      </c>
      <c r="D19" s="345"/>
      <c r="E19" s="345"/>
      <c r="F19" s="80"/>
    </row>
    <row r="20" spans="1:13" ht="14.4">
      <c r="A20" s="59">
        <v>12</v>
      </c>
      <c r="B20" s="97" t="s">
        <v>400</v>
      </c>
      <c r="C20" s="98"/>
      <c r="D20" s="343"/>
      <c r="E20" s="343"/>
      <c r="F20" s="80"/>
    </row>
    <row r="21" spans="1:13" ht="14.4">
      <c r="A21" s="59">
        <v>13</v>
      </c>
      <c r="B21" s="97" t="s">
        <v>401</v>
      </c>
      <c r="C21" s="98">
        <v>20389</v>
      </c>
      <c r="D21" s="343"/>
      <c r="E21" s="343"/>
      <c r="F21" s="80"/>
    </row>
    <row r="22" spans="1:13" ht="15" thickBot="1">
      <c r="A22" s="56">
        <v>14</v>
      </c>
      <c r="B22" s="101" t="s">
        <v>402</v>
      </c>
      <c r="C22" s="102"/>
      <c r="D22" s="343"/>
      <c r="E22" s="343"/>
      <c r="F22" s="80"/>
      <c r="G22" s="80"/>
      <c r="H22" s="80"/>
      <c r="I22" s="80"/>
      <c r="J22" s="80"/>
      <c r="K22" s="80"/>
      <c r="L22" s="80"/>
      <c r="M22" s="80"/>
    </row>
    <row r="23" spans="1:13" ht="15" thickBot="1">
      <c r="A23" s="103">
        <v>15</v>
      </c>
      <c r="B23" s="104" t="s">
        <v>403</v>
      </c>
      <c r="C23" s="376">
        <f>+C18+C19-C20-C21-C22</f>
        <v>2880668</v>
      </c>
      <c r="D23" s="343"/>
      <c r="E23" s="343"/>
      <c r="F23" s="80"/>
      <c r="G23" s="80"/>
      <c r="H23" s="80"/>
      <c r="I23" s="80"/>
      <c r="J23" s="80"/>
      <c r="K23" s="80"/>
      <c r="L23" s="80"/>
      <c r="M23" s="80"/>
    </row>
    <row r="24" spans="1:13" ht="14.4">
      <c r="A24" s="59">
        <v>16</v>
      </c>
      <c r="B24" s="97" t="s">
        <v>404</v>
      </c>
      <c r="C24" s="98">
        <f>678285</f>
        <v>678285</v>
      </c>
      <c r="D24" s="345"/>
      <c r="E24" s="343"/>
      <c r="F24" s="80"/>
      <c r="G24" s="80"/>
      <c r="H24" s="80"/>
      <c r="I24" s="80"/>
      <c r="J24" s="80"/>
      <c r="K24" s="80"/>
      <c r="L24" s="80"/>
      <c r="M24" s="80"/>
    </row>
    <row r="25" spans="1:13" ht="14.4">
      <c r="A25" s="59">
        <v>17</v>
      </c>
      <c r="B25" s="97" t="s">
        <v>405</v>
      </c>
      <c r="C25" s="98">
        <f>12900+194772+311+5868</f>
        <v>213851</v>
      </c>
      <c r="D25" s="343"/>
      <c r="E25" s="346"/>
      <c r="F25" s="80"/>
      <c r="G25" s="80"/>
      <c r="H25" s="80"/>
      <c r="I25" s="80"/>
      <c r="J25" s="80"/>
      <c r="K25" s="80"/>
      <c r="L25" s="80"/>
      <c r="M25" s="80"/>
    </row>
    <row r="26" spans="1:13" ht="15" thickBot="1">
      <c r="A26" s="56">
        <v>18</v>
      </c>
      <c r="B26" s="101" t="s">
        <v>406</v>
      </c>
      <c r="C26" s="102"/>
      <c r="D26" s="343"/>
      <c r="E26" s="335"/>
      <c r="F26" s="347"/>
      <c r="G26" s="80"/>
      <c r="H26" s="80"/>
      <c r="I26" s="80"/>
      <c r="J26" s="80"/>
      <c r="K26" s="80"/>
      <c r="L26" s="80"/>
      <c r="M26" s="80"/>
    </row>
    <row r="27" spans="1:13" ht="15" thickBot="1">
      <c r="A27" s="103">
        <v>19</v>
      </c>
      <c r="B27" s="104" t="s">
        <v>407</v>
      </c>
      <c r="C27" s="376">
        <f>SUM(C24:C26)</f>
        <v>892136</v>
      </c>
      <c r="D27" s="343"/>
      <c r="E27" s="343"/>
      <c r="F27" s="80"/>
      <c r="G27" s="80"/>
      <c r="H27" s="80"/>
      <c r="I27" s="80"/>
      <c r="J27" s="80"/>
      <c r="K27" s="80"/>
      <c r="L27" s="80"/>
      <c r="M27" s="80"/>
    </row>
    <row r="28" spans="1:13" ht="15" thickBot="1">
      <c r="A28" s="103">
        <v>20</v>
      </c>
      <c r="B28" s="104" t="s">
        <v>408</v>
      </c>
      <c r="C28" s="376">
        <f>+C23-C27</f>
        <v>1988532</v>
      </c>
      <c r="D28" s="343"/>
      <c r="E28" s="343"/>
      <c r="F28" s="80"/>
    </row>
    <row r="29" spans="1:13" ht="14.4">
      <c r="A29" s="59">
        <v>21</v>
      </c>
      <c r="B29" s="97" t="s">
        <v>409</v>
      </c>
      <c r="C29" s="98">
        <v>0</v>
      </c>
      <c r="D29" s="343"/>
      <c r="E29" s="204"/>
      <c r="F29" s="80"/>
    </row>
    <row r="30" spans="1:13" ht="15" thickBot="1">
      <c r="A30" s="56">
        <v>22</v>
      </c>
      <c r="B30" s="101" t="s">
        <v>410</v>
      </c>
      <c r="C30" s="102">
        <v>0</v>
      </c>
      <c r="D30" s="343"/>
      <c r="E30" s="343"/>
      <c r="F30" s="80"/>
    </row>
    <row r="31" spans="1:13" ht="15" thickBot="1">
      <c r="A31" s="103">
        <v>23</v>
      </c>
      <c r="B31" s="105" t="s">
        <v>411</v>
      </c>
      <c r="C31" s="621">
        <f>SUM(C28:C30)</f>
        <v>1988532</v>
      </c>
      <c r="D31" s="335"/>
      <c r="E31" s="335"/>
      <c r="F31" s="80"/>
    </row>
    <row r="32" spans="1:13" ht="14.4">
      <c r="A32" s="85"/>
      <c r="B32" s="85"/>
      <c r="C32" s="89"/>
      <c r="D32" s="203"/>
      <c r="E32" s="335"/>
      <c r="F32" s="80"/>
    </row>
    <row r="33" spans="1:5" ht="14.4">
      <c r="A33" s="205"/>
      <c r="B33" s="205"/>
      <c r="C33" s="207"/>
      <c r="D33" s="205"/>
      <c r="E33" s="203"/>
    </row>
    <row r="34" spans="1:5" ht="14.4">
      <c r="A34" s="205"/>
      <c r="B34" s="205"/>
      <c r="C34" s="206"/>
      <c r="D34" s="205"/>
      <c r="E34" s="203"/>
    </row>
    <row r="35" spans="1:5" ht="14.4">
      <c r="A35" s="205"/>
      <c r="B35" s="205"/>
      <c r="C35" s="206"/>
      <c r="D35" s="205"/>
      <c r="E35" s="203"/>
    </row>
    <row r="36" spans="1:5">
      <c r="A36" s="85"/>
      <c r="B36" s="85"/>
      <c r="C36" s="89"/>
      <c r="D36" s="85"/>
    </row>
    <row r="37" spans="1:5">
      <c r="A37" s="85"/>
      <c r="B37" s="85"/>
      <c r="C37" s="89"/>
      <c r="D37" s="85"/>
    </row>
    <row r="38" spans="1:5">
      <c r="A38" s="85"/>
      <c r="B38" s="85"/>
      <c r="C38" s="89"/>
      <c r="D38" s="85"/>
    </row>
    <row r="39" spans="1:5">
      <c r="A39" s="85"/>
      <c r="B39" s="85"/>
      <c r="C39" s="89"/>
      <c r="D39" s="85"/>
    </row>
    <row r="40" spans="1:5">
      <c r="C40" s="108"/>
    </row>
    <row r="41" spans="1:5">
      <c r="C41" s="108"/>
    </row>
    <row r="42" spans="1:5">
      <c r="C42" s="108"/>
    </row>
    <row r="43" spans="1:5">
      <c r="C43" s="108"/>
    </row>
    <row r="44" spans="1:5">
      <c r="C44" s="108"/>
    </row>
    <row r="45" spans="1:5">
      <c r="C45" s="108"/>
    </row>
    <row r="46" spans="1:5">
      <c r="C46" s="108"/>
    </row>
    <row r="47" spans="1:5">
      <c r="C47" s="108"/>
    </row>
    <row r="48" spans="1:5">
      <c r="C48" s="108"/>
    </row>
    <row r="49" spans="3:3">
      <c r="C49" s="108"/>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5"/>
  <sheetViews>
    <sheetView zoomScale="90" workbookViewId="0">
      <selection activeCell="B22" sqref="B22"/>
    </sheetView>
  </sheetViews>
  <sheetFormatPr defaultColWidth="8.90625" defaultRowHeight="13.8"/>
  <cols>
    <col min="1" max="1" width="5.1796875" style="166" customWidth="1"/>
    <col min="2" max="2" width="24.81640625" style="166" customWidth="1"/>
    <col min="3" max="7" width="12.1796875" style="166" customWidth="1"/>
    <col min="8" max="8" width="0.81640625" style="166" customWidth="1"/>
    <col min="9" max="9" width="12.81640625" style="166" customWidth="1"/>
    <col min="10" max="10" width="0.81640625" style="166" customWidth="1"/>
    <col min="11" max="11" width="13.453125" style="166" customWidth="1"/>
    <col min="12" max="12" width="0.81640625" style="166" customWidth="1"/>
    <col min="13" max="13" width="8.90625" style="166"/>
    <col min="14" max="14" width="10.36328125" style="166" bestFit="1" customWidth="1"/>
    <col min="15" max="16" width="11.54296875" style="166" bestFit="1" customWidth="1"/>
    <col min="17" max="17" width="10.81640625" style="166" bestFit="1" customWidth="1"/>
    <col min="18" max="16384" width="8.90625" style="166"/>
  </cols>
  <sheetData>
    <row r="3" spans="1:14" ht="15.6">
      <c r="A3" s="650" t="str">
        <f>+'Income Sched 3'!A1:C1</f>
        <v>Marshall (Minnesota) Municipal Utilities</v>
      </c>
      <c r="B3" s="650"/>
      <c r="C3" s="650"/>
      <c r="D3" s="650"/>
      <c r="E3" s="650"/>
      <c r="F3" s="650"/>
      <c r="G3" s="650"/>
    </row>
    <row r="4" spans="1:14" ht="15.6">
      <c r="A4" s="651" t="s">
        <v>301</v>
      </c>
      <c r="B4" s="651"/>
      <c r="C4" s="651"/>
      <c r="D4" s="651"/>
      <c r="E4" s="651"/>
      <c r="F4" s="651"/>
      <c r="G4" s="651"/>
    </row>
    <row r="5" spans="1:14" ht="15.6">
      <c r="A5" s="651" t="s">
        <v>412</v>
      </c>
      <c r="B5" s="651"/>
      <c r="C5" s="651"/>
      <c r="D5" s="651"/>
      <c r="E5" s="651"/>
      <c r="F5" s="651"/>
      <c r="G5" s="651"/>
    </row>
    <row r="6" spans="1:14" ht="15.6">
      <c r="A6" s="652">
        <f>+'Income Sched 3'!A4:C4</f>
        <v>42735</v>
      </c>
      <c r="B6" s="652"/>
      <c r="C6" s="652"/>
      <c r="D6" s="652"/>
      <c r="E6" s="652"/>
      <c r="F6" s="652"/>
      <c r="G6" s="652"/>
    </row>
    <row r="7" spans="1:14">
      <c r="A7" s="167"/>
      <c r="B7" s="167"/>
      <c r="C7" s="167"/>
    </row>
    <row r="8" spans="1:14" ht="14.4">
      <c r="A8" s="653" t="s">
        <v>309</v>
      </c>
      <c r="B8" s="653"/>
      <c r="C8" s="653"/>
      <c r="D8" s="653"/>
      <c r="E8" s="653"/>
      <c r="F8" s="653"/>
      <c r="G8" s="653"/>
    </row>
    <row r="9" spans="1:14">
      <c r="A9" s="168" t="s">
        <v>4</v>
      </c>
      <c r="B9" s="169"/>
      <c r="C9" s="169" t="s">
        <v>413</v>
      </c>
      <c r="D9" s="169"/>
      <c r="E9" s="169"/>
      <c r="F9" s="169"/>
      <c r="G9" s="169" t="s">
        <v>414</v>
      </c>
      <c r="I9" s="168" t="s">
        <v>415</v>
      </c>
      <c r="K9" s="168" t="s">
        <v>703</v>
      </c>
    </row>
    <row r="10" spans="1:14">
      <c r="A10" s="170" t="s">
        <v>6</v>
      </c>
      <c r="B10" s="171"/>
      <c r="C10" s="171" t="s">
        <v>416</v>
      </c>
      <c r="D10" s="171" t="s">
        <v>417</v>
      </c>
      <c r="E10" s="171" t="s">
        <v>418</v>
      </c>
      <c r="F10" s="171" t="s">
        <v>419</v>
      </c>
      <c r="G10" s="171" t="s">
        <v>416</v>
      </c>
      <c r="I10" s="172" t="s">
        <v>420</v>
      </c>
      <c r="K10" s="172" t="s">
        <v>421</v>
      </c>
    </row>
    <row r="11" spans="1:14" ht="20.100000000000001" customHeight="1">
      <c r="A11" s="173">
        <v>1</v>
      </c>
      <c r="B11" s="174" t="s">
        <v>422</v>
      </c>
      <c r="C11" s="175">
        <v>0</v>
      </c>
      <c r="D11" s="175">
        <v>0</v>
      </c>
      <c r="E11" s="175">
        <v>0</v>
      </c>
      <c r="F11" s="175">
        <v>0</v>
      </c>
      <c r="G11" s="176">
        <f t="shared" ref="G11:G20" si="0">+C11+D11-E11-F11</f>
        <v>0</v>
      </c>
      <c r="I11" s="177">
        <v>0</v>
      </c>
      <c r="K11" s="177">
        <v>0</v>
      </c>
    </row>
    <row r="12" spans="1:14" ht="12.75" customHeight="1">
      <c r="A12" s="173"/>
      <c r="B12" s="174"/>
      <c r="C12" s="178"/>
      <c r="D12" s="178"/>
      <c r="E12" s="178"/>
      <c r="F12" s="178"/>
      <c r="G12" s="176"/>
      <c r="I12" s="177"/>
      <c r="K12" s="177"/>
    </row>
    <row r="13" spans="1:14" ht="20.100000000000001" customHeight="1">
      <c r="A13" s="173">
        <v>2</v>
      </c>
      <c r="B13" s="174" t="s">
        <v>423</v>
      </c>
      <c r="C13" s="179">
        <v>0</v>
      </c>
      <c r="D13" s="179">
        <v>0</v>
      </c>
      <c r="E13" s="179">
        <v>0</v>
      </c>
      <c r="F13" s="179">
        <v>0</v>
      </c>
      <c r="G13" s="180">
        <f t="shared" si="0"/>
        <v>0</v>
      </c>
      <c r="I13" s="177">
        <v>0</v>
      </c>
      <c r="K13" s="177">
        <v>0</v>
      </c>
    </row>
    <row r="14" spans="1:14" ht="20.100000000000001" customHeight="1">
      <c r="A14" s="173">
        <v>3</v>
      </c>
      <c r="B14" s="174" t="s">
        <v>424</v>
      </c>
      <c r="C14" s="181">
        <v>0</v>
      </c>
      <c r="D14" s="181">
        <v>0</v>
      </c>
      <c r="E14" s="181">
        <v>0</v>
      </c>
      <c r="F14" s="181">
        <v>0</v>
      </c>
      <c r="G14" s="182">
        <f t="shared" si="0"/>
        <v>0</v>
      </c>
      <c r="H14" s="183"/>
      <c r="I14" s="184">
        <v>0</v>
      </c>
      <c r="J14" s="183"/>
      <c r="K14" s="184">
        <v>0</v>
      </c>
      <c r="L14" s="183"/>
    </row>
    <row r="15" spans="1:14" ht="20.100000000000001" customHeight="1">
      <c r="A15" s="173">
        <v>4</v>
      </c>
      <c r="B15" s="174" t="s">
        <v>425</v>
      </c>
      <c r="C15" s="181">
        <v>0</v>
      </c>
      <c r="D15" s="181">
        <v>0</v>
      </c>
      <c r="E15" s="181">
        <v>0</v>
      </c>
      <c r="F15" s="181">
        <v>0</v>
      </c>
      <c r="G15" s="182">
        <f t="shared" si="0"/>
        <v>0</v>
      </c>
      <c r="H15" s="183"/>
      <c r="I15" s="184">
        <v>0</v>
      </c>
      <c r="J15" s="183"/>
      <c r="K15" s="184">
        <v>0</v>
      </c>
      <c r="L15" s="183"/>
    </row>
    <row r="16" spans="1:14" ht="20.100000000000001" customHeight="1" thickBot="1">
      <c r="A16" s="173">
        <v>5</v>
      </c>
      <c r="B16" s="174" t="s">
        <v>426</v>
      </c>
      <c r="C16" s="185">
        <v>2820514</v>
      </c>
      <c r="D16" s="185">
        <v>3158</v>
      </c>
      <c r="E16" s="185">
        <v>0</v>
      </c>
      <c r="F16" s="185">
        <v>0</v>
      </c>
      <c r="G16" s="186">
        <f t="shared" si="0"/>
        <v>2823672</v>
      </c>
      <c r="H16" s="183"/>
      <c r="I16" s="187">
        <v>2534900</v>
      </c>
      <c r="J16" s="183"/>
      <c r="K16" s="247">
        <v>52555</v>
      </c>
      <c r="L16" s="183"/>
      <c r="M16" s="451">
        <f>+G16-Plant!G22</f>
        <v>-1</v>
      </c>
      <c r="N16" s="393">
        <f>+I16-Plant!G40</f>
        <v>0</v>
      </c>
    </row>
    <row r="17" spans="1:17" ht="20.100000000000001" customHeight="1" thickBot="1">
      <c r="A17" s="173">
        <v>6</v>
      </c>
      <c r="B17" s="188" t="s">
        <v>427</v>
      </c>
      <c r="C17" s="189">
        <f>SUM(C13:C16)</f>
        <v>2820514</v>
      </c>
      <c r="D17" s="190">
        <f>SUM(D13:D16)</f>
        <v>3158</v>
      </c>
      <c r="E17" s="190">
        <f>SUM(E13:E16)</f>
        <v>0</v>
      </c>
      <c r="F17" s="190">
        <f>SUM(F13:F16)</f>
        <v>0</v>
      </c>
      <c r="G17" s="191">
        <f t="shared" si="0"/>
        <v>2823672</v>
      </c>
      <c r="H17" s="183"/>
      <c r="I17" s="192">
        <f>SUM(I13:I16)</f>
        <v>2534900</v>
      </c>
      <c r="J17" s="183"/>
      <c r="K17" s="248">
        <f>SUM(K13:K16)</f>
        <v>52555</v>
      </c>
      <c r="L17" s="183"/>
      <c r="M17" s="183"/>
      <c r="N17" s="183"/>
    </row>
    <row r="18" spans="1:17" ht="12" customHeight="1">
      <c r="A18" s="173"/>
      <c r="B18" s="193"/>
      <c r="C18" s="194"/>
      <c r="D18" s="194"/>
      <c r="E18" s="194"/>
      <c r="F18" s="194"/>
      <c r="G18" s="194"/>
      <c r="H18" s="183"/>
      <c r="I18" s="195"/>
      <c r="J18" s="183"/>
      <c r="K18" s="392"/>
      <c r="L18" s="183"/>
      <c r="M18" s="183"/>
      <c r="N18" s="183"/>
    </row>
    <row r="19" spans="1:17" ht="20.100000000000001" customHeight="1">
      <c r="A19" s="173">
        <v>7</v>
      </c>
      <c r="B19" s="174" t="s">
        <v>428</v>
      </c>
      <c r="C19" s="181">
        <v>16404370</v>
      </c>
      <c r="D19" s="181">
        <v>0</v>
      </c>
      <c r="E19" s="181">
        <v>0</v>
      </c>
      <c r="F19" s="181">
        <v>0</v>
      </c>
      <c r="G19" s="182">
        <f t="shared" si="0"/>
        <v>16404370</v>
      </c>
      <c r="H19" s="183"/>
      <c r="I19" s="184">
        <v>8969130</v>
      </c>
      <c r="J19" s="183"/>
      <c r="K19" s="249">
        <v>521665</v>
      </c>
      <c r="L19" s="183"/>
      <c r="M19" s="451">
        <f>+G19-Plant!H22</f>
        <v>0</v>
      </c>
      <c r="N19" s="393">
        <f>+I19-Plant!H40</f>
        <v>0</v>
      </c>
      <c r="O19" s="394"/>
      <c r="P19" s="165"/>
      <c r="Q19" s="183"/>
    </row>
    <row r="20" spans="1:17" ht="20.100000000000001" customHeight="1">
      <c r="A20" s="173">
        <v>8</v>
      </c>
      <c r="B20" s="174" t="s">
        <v>429</v>
      </c>
      <c r="C20" s="181">
        <v>52756664</v>
      </c>
      <c r="D20" s="181">
        <v>1811302</v>
      </c>
      <c r="E20" s="181">
        <v>150084</v>
      </c>
      <c r="F20" s="181">
        <v>0</v>
      </c>
      <c r="G20" s="182">
        <f t="shared" si="0"/>
        <v>54417882</v>
      </c>
      <c r="H20" s="183">
        <v>0</v>
      </c>
      <c r="I20" s="184">
        <v>22420422</v>
      </c>
      <c r="J20" s="183">
        <v>0</v>
      </c>
      <c r="K20" s="249">
        <v>2153265</v>
      </c>
      <c r="L20" s="183"/>
      <c r="M20" s="451">
        <f>+G20-Plant!I22</f>
        <v>0</v>
      </c>
      <c r="N20" s="393">
        <f>+I20-Plant!I40</f>
        <v>0</v>
      </c>
      <c r="O20" s="395"/>
      <c r="P20" s="165"/>
      <c r="Q20" s="165"/>
    </row>
    <row r="21" spans="1:17" ht="20.100000000000001" customHeight="1" thickBot="1">
      <c r="A21" s="173">
        <v>9</v>
      </c>
      <c r="B21" s="174" t="s">
        <v>430</v>
      </c>
      <c r="C21" s="185">
        <v>7211835</v>
      </c>
      <c r="D21" s="185">
        <v>166009</v>
      </c>
      <c r="E21" s="185">
        <v>49288</v>
      </c>
      <c r="F21" s="185">
        <v>0</v>
      </c>
      <c r="G21" s="186">
        <f>+C21+D21-E21-F21</f>
        <v>7328556</v>
      </c>
      <c r="H21" s="183"/>
      <c r="I21" s="187">
        <v>5561085</v>
      </c>
      <c r="J21" s="183"/>
      <c r="K21" s="247">
        <v>356218</v>
      </c>
      <c r="L21" s="183"/>
      <c r="M21" s="451">
        <f>+G21-Plant!J22</f>
        <v>0</v>
      </c>
      <c r="N21" s="393">
        <f>+I21-Plant!J40</f>
        <v>0</v>
      </c>
    </row>
    <row r="22" spans="1:17" ht="20.100000000000001" customHeight="1" thickBot="1">
      <c r="A22" s="173">
        <v>10</v>
      </c>
      <c r="B22" s="188" t="s">
        <v>431</v>
      </c>
      <c r="C22" s="189">
        <f>SUM(C17:C21)</f>
        <v>79193383</v>
      </c>
      <c r="D22" s="190">
        <f>SUM(D17:D21)</f>
        <v>1980469</v>
      </c>
      <c r="E22" s="190">
        <f>SUM(E17:E21)</f>
        <v>199372</v>
      </c>
      <c r="F22" s="190">
        <f>SUM(F17:F21)</f>
        <v>0</v>
      </c>
      <c r="G22" s="191">
        <f>+C22+D22-E22-F22</f>
        <v>80974480</v>
      </c>
      <c r="H22" s="183"/>
      <c r="I22" s="192">
        <f>SUM(I17:I21)</f>
        <v>39485537</v>
      </c>
      <c r="J22" s="183"/>
      <c r="K22" s="248">
        <f>SUM(K17:K21)</f>
        <v>3083703</v>
      </c>
      <c r="L22" s="183"/>
      <c r="M22" s="183"/>
      <c r="N22" s="393"/>
    </row>
    <row r="23" spans="1:17" ht="11.25" customHeight="1">
      <c r="A23" s="173"/>
      <c r="B23" s="193"/>
      <c r="C23" s="194"/>
      <c r="D23" s="194"/>
      <c r="E23" s="194"/>
      <c r="F23" s="194"/>
      <c r="G23" s="194"/>
      <c r="H23" s="183"/>
      <c r="I23" s="197"/>
      <c r="J23" s="183"/>
      <c r="K23" s="250"/>
      <c r="L23" s="183"/>
      <c r="M23" s="183"/>
      <c r="N23" s="183"/>
    </row>
    <row r="24" spans="1:17" ht="20.100000000000001" customHeight="1">
      <c r="A24" s="173">
        <v>11</v>
      </c>
      <c r="B24" s="174" t="s">
        <v>432</v>
      </c>
      <c r="C24" s="181">
        <v>0</v>
      </c>
      <c r="D24" s="181">
        <v>0</v>
      </c>
      <c r="E24" s="181">
        <v>0</v>
      </c>
      <c r="F24" s="181">
        <v>0</v>
      </c>
      <c r="G24" s="181">
        <f>+C24+D24+E24+F24</f>
        <v>0</v>
      </c>
      <c r="H24" s="183"/>
      <c r="I24" s="184">
        <v>0</v>
      </c>
      <c r="J24" s="183"/>
      <c r="K24" s="249">
        <v>0</v>
      </c>
      <c r="L24" s="183"/>
      <c r="M24" s="183"/>
      <c r="N24" s="183"/>
    </row>
    <row r="25" spans="1:17" ht="20.100000000000001" customHeight="1">
      <c r="A25" s="173">
        <v>12</v>
      </c>
      <c r="B25" s="174" t="s">
        <v>433</v>
      </c>
      <c r="C25" s="181">
        <v>0</v>
      </c>
      <c r="D25" s="181">
        <v>0</v>
      </c>
      <c r="E25" s="181">
        <v>0</v>
      </c>
      <c r="F25" s="181">
        <v>0</v>
      </c>
      <c r="G25" s="181">
        <f>+C25+D25+E25+F25</f>
        <v>0</v>
      </c>
      <c r="H25" s="183"/>
      <c r="I25" s="184">
        <v>0</v>
      </c>
      <c r="J25" s="183"/>
      <c r="K25" s="249">
        <v>0</v>
      </c>
      <c r="L25" s="183"/>
    </row>
    <row r="26" spans="1:17" ht="20.100000000000001" customHeight="1" thickBot="1">
      <c r="A26" s="173">
        <v>13</v>
      </c>
      <c r="B26" s="174" t="s">
        <v>434</v>
      </c>
      <c r="C26" s="185">
        <v>0</v>
      </c>
      <c r="D26" s="185">
        <v>0</v>
      </c>
      <c r="E26" s="185">
        <v>0</v>
      </c>
      <c r="F26" s="185">
        <v>0</v>
      </c>
      <c r="G26" s="185">
        <f>+C26+D26+E26+F26</f>
        <v>0</v>
      </c>
      <c r="H26" s="183"/>
      <c r="I26" s="187">
        <v>0</v>
      </c>
      <c r="J26" s="183"/>
      <c r="K26" s="247">
        <v>0</v>
      </c>
      <c r="L26" s="183"/>
    </row>
    <row r="27" spans="1:17" ht="20.100000000000001" customHeight="1" thickBot="1">
      <c r="A27" s="173">
        <v>14</v>
      </c>
      <c r="B27" s="188" t="s">
        <v>310</v>
      </c>
      <c r="C27" s="189">
        <f>SUM(C22:C26)</f>
        <v>79193383</v>
      </c>
      <c r="D27" s="190">
        <f>SUM(D22:D26)</f>
        <v>1980469</v>
      </c>
      <c r="E27" s="190">
        <f>SUM(E22:E26)</f>
        <v>199372</v>
      </c>
      <c r="F27" s="190">
        <f>SUM(F22:F26)</f>
        <v>0</v>
      </c>
      <c r="G27" s="191">
        <f>+C27+D27-E27+F27</f>
        <v>80974480</v>
      </c>
      <c r="H27" s="183"/>
      <c r="I27" s="192">
        <f>SUM(I22:I26)</f>
        <v>39485537</v>
      </c>
      <c r="J27" s="183"/>
      <c r="K27" s="248">
        <f>SUM(K22:K26)</f>
        <v>3083703</v>
      </c>
      <c r="L27" s="183"/>
    </row>
    <row r="28" spans="1:17" ht="11.25" customHeight="1">
      <c r="A28" s="173"/>
      <c r="B28" s="193"/>
      <c r="C28" s="198"/>
      <c r="D28" s="198"/>
      <c r="E28" s="198"/>
      <c r="F28" s="198"/>
      <c r="G28" s="198"/>
      <c r="H28" s="183"/>
      <c r="I28" s="197"/>
      <c r="J28" s="183"/>
      <c r="K28" s="250"/>
      <c r="L28" s="183"/>
    </row>
    <row r="29" spans="1:17" ht="20.100000000000001" customHeight="1" thickBot="1">
      <c r="A29" s="173">
        <v>15</v>
      </c>
      <c r="B29" s="174" t="s">
        <v>435</v>
      </c>
      <c r="C29" s="185">
        <v>962175</v>
      </c>
      <c r="D29" s="185">
        <v>0</v>
      </c>
      <c r="E29" s="185">
        <v>806914</v>
      </c>
      <c r="F29" s="185">
        <v>0</v>
      </c>
      <c r="G29" s="186">
        <f>+C29+D29-E29-F29</f>
        <v>155261</v>
      </c>
      <c r="H29" s="183"/>
      <c r="I29" s="187">
        <v>0</v>
      </c>
      <c r="J29" s="183"/>
      <c r="K29" s="247">
        <v>0</v>
      </c>
      <c r="L29" s="183"/>
    </row>
    <row r="30" spans="1:17" ht="20.100000000000001" customHeight="1" thickBot="1">
      <c r="A30" s="173">
        <v>16</v>
      </c>
      <c r="B30" s="188" t="s">
        <v>436</v>
      </c>
      <c r="C30" s="189">
        <f>SUM(C27:C29)</f>
        <v>80155558</v>
      </c>
      <c r="D30" s="190">
        <f>SUM(D27:D29)</f>
        <v>1980469</v>
      </c>
      <c r="E30" s="190">
        <f>SUM(E27:E29)</f>
        <v>1006286</v>
      </c>
      <c r="F30" s="190">
        <f>SUM(F27:F29)</f>
        <v>0</v>
      </c>
      <c r="G30" s="191">
        <f>+C30+D30-E30-F30</f>
        <v>81129741</v>
      </c>
      <c r="H30" s="183"/>
      <c r="I30" s="192">
        <f>SUM(I27:I29)</f>
        <v>39485537</v>
      </c>
      <c r="J30" s="183"/>
      <c r="K30" s="248">
        <f>SUM(K27:K29)</f>
        <v>3083703</v>
      </c>
      <c r="L30" s="183"/>
      <c r="N30" s="196"/>
    </row>
    <row r="31" spans="1:17" ht="20.100000000000001" customHeight="1">
      <c r="G31" s="199" t="s">
        <v>2</v>
      </c>
      <c r="K31" s="165"/>
    </row>
    <row r="32" spans="1:17">
      <c r="I32" s="166" t="s">
        <v>722</v>
      </c>
      <c r="K32" s="165">
        <v>3037058</v>
      </c>
    </row>
    <row r="33" spans="9:13" ht="15.6">
      <c r="I33" s="166" t="s">
        <v>732</v>
      </c>
      <c r="K33" s="437">
        <f>+K30-K32</f>
        <v>46645</v>
      </c>
      <c r="M33" s="396" t="s">
        <v>733</v>
      </c>
    </row>
    <row r="34" spans="9:13">
      <c r="K34" s="165">
        <f>+K32+K33</f>
        <v>3083703</v>
      </c>
    </row>
    <row r="35" spans="9:13">
      <c r="K35" s="165"/>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F24" sqref="F24"/>
    </sheetView>
  </sheetViews>
  <sheetFormatPr defaultColWidth="8.90625" defaultRowHeight="13.8"/>
  <cols>
    <col min="1" max="1" width="6" style="166" customWidth="1"/>
    <col min="2" max="2" width="35" style="166" customWidth="1"/>
    <col min="3" max="3" width="9.453125" style="166" customWidth="1"/>
    <col min="4" max="4" width="12" style="166" customWidth="1"/>
    <col min="5" max="5" width="8.90625" style="166"/>
    <col min="6" max="6" width="13" style="166" customWidth="1"/>
    <col min="7" max="7" width="11.81640625" style="166" customWidth="1"/>
    <col min="8" max="16384" width="8.90625" style="166"/>
  </cols>
  <sheetData>
    <row r="1" spans="1:8">
      <c r="A1" s="654" t="str">
        <f>+'Op &amp; Maint Sched 7'!A1:F1</f>
        <v>Marshall (Minnesota) Municipal Utilities</v>
      </c>
      <c r="B1" s="654"/>
      <c r="C1" s="654"/>
      <c r="D1" s="654"/>
      <c r="E1" s="654"/>
    </row>
    <row r="2" spans="1:8">
      <c r="A2" s="655" t="s">
        <v>301</v>
      </c>
      <c r="B2" s="655"/>
      <c r="C2" s="655"/>
      <c r="D2" s="655"/>
      <c r="E2" s="655"/>
      <c r="G2" s="458"/>
    </row>
    <row r="3" spans="1:8">
      <c r="A3" s="655" t="s">
        <v>475</v>
      </c>
      <c r="B3" s="655"/>
      <c r="C3" s="655"/>
      <c r="D3" s="655"/>
      <c r="E3" s="655"/>
      <c r="H3" s="459"/>
    </row>
    <row r="4" spans="1:8">
      <c r="A4" s="656">
        <f>+'Op &amp; Maint Sched 7'!A4:F4</f>
        <v>42735</v>
      </c>
      <c r="B4" s="656"/>
      <c r="C4" s="656"/>
      <c r="D4" s="656"/>
      <c r="E4" s="656"/>
    </row>
    <row r="5" spans="1:8">
      <c r="A5" s="167"/>
      <c r="B5" s="167"/>
      <c r="C5" s="167"/>
    </row>
    <row r="6" spans="1:8">
      <c r="A6" s="166" t="s">
        <v>476</v>
      </c>
      <c r="D6" s="183"/>
      <c r="E6" s="183"/>
    </row>
    <row r="7" spans="1:8">
      <c r="A7" s="166" t="s">
        <v>307</v>
      </c>
      <c r="D7" s="183"/>
      <c r="E7" s="183"/>
    </row>
    <row r="8" spans="1:8">
      <c r="A8" s="460">
        <v>1</v>
      </c>
      <c r="B8" s="166" t="s">
        <v>477</v>
      </c>
      <c r="C8" s="199"/>
      <c r="D8" s="183"/>
      <c r="E8" s="183"/>
    </row>
    <row r="9" spans="1:8">
      <c r="C9" s="199"/>
      <c r="D9" s="183"/>
      <c r="E9" s="183"/>
      <c r="F9" s="657" t="s">
        <v>739</v>
      </c>
      <c r="G9" s="657"/>
    </row>
    <row r="10" spans="1:8" s="183" customFormat="1">
      <c r="A10" s="461">
        <v>2</v>
      </c>
      <c r="B10" s="183" t="s">
        <v>478</v>
      </c>
      <c r="C10" s="462"/>
      <c r="D10" s="392">
        <f>820.81+54863.33+11981.34+278.84+23193.96+33441.98</f>
        <v>124580.26000000001</v>
      </c>
      <c r="F10" s="183" t="s">
        <v>523</v>
      </c>
      <c r="G10" s="392">
        <v>820.81</v>
      </c>
    </row>
    <row r="11" spans="1:8">
      <c r="A11" s="460"/>
      <c r="D11" s="393"/>
      <c r="E11" s="183"/>
      <c r="F11" s="166" t="s">
        <v>484</v>
      </c>
      <c r="G11" s="465">
        <v>54863.33</v>
      </c>
    </row>
    <row r="12" spans="1:8">
      <c r="A12" s="460"/>
      <c r="B12" s="166" t="s">
        <v>479</v>
      </c>
      <c r="D12" s="393"/>
      <c r="E12" s="183"/>
      <c r="F12" s="166" t="s">
        <v>45</v>
      </c>
      <c r="G12" s="465">
        <v>11981.34</v>
      </c>
    </row>
    <row r="13" spans="1:8">
      <c r="A13" s="460">
        <v>3</v>
      </c>
      <c r="B13" s="166" t="s">
        <v>480</v>
      </c>
      <c r="D13" s="195"/>
      <c r="E13" s="183"/>
      <c r="F13" s="166" t="s">
        <v>740</v>
      </c>
      <c r="G13" s="465">
        <v>278.83999999999997</v>
      </c>
    </row>
    <row r="14" spans="1:8">
      <c r="A14" s="460">
        <v>4</v>
      </c>
      <c r="B14" s="166" t="s">
        <v>481</v>
      </c>
      <c r="C14" s="463"/>
      <c r="D14" s="195"/>
      <c r="E14" s="183"/>
      <c r="F14" s="166" t="s">
        <v>741</v>
      </c>
      <c r="G14" s="465">
        <v>23193.96</v>
      </c>
    </row>
    <row r="15" spans="1:8">
      <c r="A15" s="460">
        <v>5</v>
      </c>
      <c r="B15" s="166" t="s">
        <v>482</v>
      </c>
      <c r="D15" s="195"/>
      <c r="E15" s="183"/>
      <c r="F15" s="166" t="s">
        <v>742</v>
      </c>
      <c r="G15" s="465">
        <v>33441.980000000003</v>
      </c>
    </row>
    <row r="16" spans="1:8" ht="14.4" thickBot="1">
      <c r="A16" s="460"/>
      <c r="D16" s="393"/>
      <c r="E16" s="183"/>
      <c r="G16" s="466">
        <f>SUM(G10:G15)</f>
        <v>124580.26000000001</v>
      </c>
    </row>
    <row r="17" spans="1:5" ht="14.4" thickTop="1">
      <c r="A17" s="460">
        <v>6</v>
      </c>
      <c r="B17" s="166" t="s">
        <v>483</v>
      </c>
      <c r="D17" s="464">
        <v>864746</v>
      </c>
      <c r="E17" s="183"/>
    </row>
    <row r="18" spans="1:5">
      <c r="D18" s="183"/>
      <c r="E18" s="183"/>
    </row>
    <row r="19" spans="1:5">
      <c r="D19" s="183"/>
      <c r="E19" s="183"/>
    </row>
    <row r="20" spans="1:5">
      <c r="B20" s="183"/>
      <c r="D20" s="183"/>
      <c r="E20" s="183"/>
    </row>
    <row r="21" spans="1:5">
      <c r="D21" s="183"/>
      <c r="E21" s="183"/>
    </row>
    <row r="22" spans="1:5">
      <c r="D22" s="183"/>
      <c r="E22" s="183"/>
    </row>
    <row r="23" spans="1:5">
      <c r="D23" s="183"/>
      <c r="E23" s="183"/>
    </row>
    <row r="24" spans="1:5">
      <c r="D24" s="183"/>
      <c r="E24" s="183"/>
    </row>
    <row r="25" spans="1:5">
      <c r="D25" s="183"/>
      <c r="E25" s="183"/>
    </row>
    <row r="26" spans="1:5">
      <c r="D26" s="183"/>
      <c r="E26" s="183"/>
    </row>
    <row r="27" spans="1:5">
      <c r="D27" s="183"/>
      <c r="E27" s="183"/>
    </row>
    <row r="28" spans="1:5">
      <c r="D28" s="183"/>
      <c r="E28" s="183"/>
    </row>
    <row r="29" spans="1:5">
      <c r="D29" s="183"/>
      <c r="E29" s="183"/>
    </row>
  </sheetData>
  <mergeCells count="5">
    <mergeCell ref="A1:E1"/>
    <mergeCell ref="A2:E2"/>
    <mergeCell ref="A3:E3"/>
    <mergeCell ref="A4:E4"/>
    <mergeCell ref="F9:G9"/>
  </mergeCells>
  <pageMargins left="0.75" right="0.75" top="1" bottom="1" header="0.5" footer="0.5"/>
  <pageSetup scale="77"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workbookViewId="0">
      <selection activeCell="D21" sqref="D21"/>
    </sheetView>
  </sheetViews>
  <sheetFormatPr defaultColWidth="8.90625" defaultRowHeight="13.2"/>
  <cols>
    <col min="1" max="1" width="5.1796875" style="45" customWidth="1"/>
    <col min="2" max="2" width="24.54296875" style="45" customWidth="1"/>
    <col min="3" max="5" width="12.1796875" style="45" customWidth="1"/>
    <col min="6" max="8" width="12.1796875" style="44" customWidth="1"/>
    <col min="9" max="9" width="8.90625" style="45"/>
    <col min="10" max="10" width="12.453125" style="45" bestFit="1" customWidth="1"/>
    <col min="11" max="11" width="15.6328125" style="45" bestFit="1" customWidth="1"/>
    <col min="12" max="12" width="11.08984375" style="164" customWidth="1"/>
    <col min="13" max="16384" width="8.90625" style="45"/>
  </cols>
  <sheetData>
    <row r="1" spans="1:12" s="44" customFormat="1" ht="15.6">
      <c r="A1" s="644" t="str">
        <f>+'Plant Sched 4'!A3:G3</f>
        <v>Marshall (Minnesota) Municipal Utilities</v>
      </c>
      <c r="B1" s="644"/>
      <c r="C1" s="644"/>
      <c r="D1" s="644"/>
      <c r="E1" s="644"/>
      <c r="F1" s="644"/>
      <c r="G1" s="446"/>
      <c r="H1" s="446"/>
      <c r="I1" s="109"/>
      <c r="L1" s="164"/>
    </row>
    <row r="2" spans="1:12" s="44" customFormat="1" ht="15">
      <c r="A2" s="648" t="s">
        <v>301</v>
      </c>
      <c r="B2" s="648"/>
      <c r="C2" s="648"/>
      <c r="D2" s="648"/>
      <c r="E2" s="648"/>
      <c r="F2" s="648"/>
      <c r="G2" s="447"/>
      <c r="H2" s="447"/>
      <c r="I2" s="109"/>
      <c r="J2" s="110"/>
      <c r="L2" s="164"/>
    </row>
    <row r="3" spans="1:12" s="44" customFormat="1" ht="15">
      <c r="A3" s="648" t="s">
        <v>437</v>
      </c>
      <c r="B3" s="648"/>
      <c r="C3" s="648"/>
      <c r="D3" s="648"/>
      <c r="E3" s="648"/>
      <c r="F3" s="648"/>
      <c r="G3" s="447"/>
      <c r="H3" s="447"/>
      <c r="I3" s="109"/>
      <c r="L3" s="164"/>
    </row>
    <row r="4" spans="1:12" s="44" customFormat="1" ht="15.6">
      <c r="A4" s="649">
        <f>+'Plant Sched 4'!A6:G6</f>
        <v>42735</v>
      </c>
      <c r="B4" s="649"/>
      <c r="C4" s="649"/>
      <c r="D4" s="649"/>
      <c r="E4" s="649"/>
      <c r="F4" s="649"/>
      <c r="G4" s="448"/>
      <c r="H4" s="448"/>
      <c r="I4" s="111"/>
      <c r="L4" s="164"/>
    </row>
    <row r="5" spans="1:12" s="44" customFormat="1">
      <c r="L5" s="164"/>
    </row>
    <row r="6" spans="1:12">
      <c r="A6" s="660" t="s">
        <v>438</v>
      </c>
      <c r="B6" s="660"/>
      <c r="C6" s="660"/>
      <c r="D6" s="660"/>
      <c r="E6" s="660"/>
      <c r="F6" s="660"/>
      <c r="G6" s="449"/>
      <c r="H6" s="449"/>
    </row>
    <row r="7" spans="1:12">
      <c r="A7" s="46" t="s">
        <v>4</v>
      </c>
      <c r="B7" s="47"/>
      <c r="C7" s="47"/>
      <c r="D7" s="47"/>
      <c r="E7" s="47"/>
      <c r="F7" s="131"/>
      <c r="G7" s="456" t="s">
        <v>642</v>
      </c>
      <c r="H7" s="131"/>
    </row>
    <row r="8" spans="1:12">
      <c r="A8" s="48" t="s">
        <v>307</v>
      </c>
      <c r="B8" s="49"/>
      <c r="C8" s="47" t="s">
        <v>439</v>
      </c>
      <c r="D8" s="49" t="s">
        <v>440</v>
      </c>
      <c r="E8" s="49" t="s">
        <v>441</v>
      </c>
      <c r="F8" s="130" t="s">
        <v>9</v>
      </c>
      <c r="G8" s="457" t="s">
        <v>743</v>
      </c>
      <c r="H8" s="130" t="s">
        <v>9</v>
      </c>
    </row>
    <row r="9" spans="1:12">
      <c r="A9" s="54">
        <v>1</v>
      </c>
      <c r="B9" s="85" t="s">
        <v>442</v>
      </c>
      <c r="C9" s="112"/>
      <c r="D9" s="113"/>
      <c r="E9" s="113"/>
      <c r="F9" s="132"/>
      <c r="G9" s="144"/>
      <c r="H9" s="144"/>
    </row>
    <row r="10" spans="1:12">
      <c r="A10" s="73"/>
      <c r="B10" s="114" t="s">
        <v>443</v>
      </c>
      <c r="C10" s="115">
        <v>0</v>
      </c>
      <c r="D10" s="116">
        <v>0</v>
      </c>
      <c r="E10" s="116">
        <v>0</v>
      </c>
      <c r="F10" s="133">
        <f>SUM(C10:E10)</f>
        <v>0</v>
      </c>
      <c r="G10" s="452"/>
      <c r="H10" s="452"/>
    </row>
    <row r="11" spans="1:12">
      <c r="A11" s="73">
        <v>2</v>
      </c>
      <c r="B11" s="114" t="s">
        <v>444</v>
      </c>
      <c r="C11" s="117">
        <v>0</v>
      </c>
      <c r="D11" s="118">
        <v>0</v>
      </c>
      <c r="E11" s="118">
        <v>0</v>
      </c>
      <c r="F11" s="134">
        <f>SUM(C11:E11)</f>
        <v>0</v>
      </c>
      <c r="G11" s="453"/>
      <c r="H11" s="453"/>
    </row>
    <row r="12" spans="1:12">
      <c r="A12" s="54">
        <v>3</v>
      </c>
      <c r="B12" s="85" t="s">
        <v>445</v>
      </c>
      <c r="C12" s="119"/>
      <c r="D12" s="120"/>
      <c r="E12" s="120"/>
      <c r="F12" s="135"/>
      <c r="G12" s="453"/>
      <c r="H12" s="453"/>
    </row>
    <row r="13" spans="1:12">
      <c r="A13" s="73"/>
      <c r="B13" s="121" t="s">
        <v>446</v>
      </c>
      <c r="C13" s="74">
        <v>0</v>
      </c>
      <c r="D13" s="98">
        <v>0</v>
      </c>
      <c r="E13" s="98">
        <v>0</v>
      </c>
      <c r="F13" s="150">
        <f>SUM(C13:E13)</f>
        <v>0</v>
      </c>
      <c r="G13" s="454"/>
      <c r="H13" s="454"/>
    </row>
    <row r="14" spans="1:12">
      <c r="A14" s="57">
        <v>4</v>
      </c>
      <c r="B14" s="87" t="s">
        <v>447</v>
      </c>
      <c r="C14" s="81"/>
      <c r="D14" s="102"/>
      <c r="E14" s="102"/>
      <c r="F14" s="151"/>
      <c r="G14" s="454"/>
      <c r="H14" s="454"/>
    </row>
    <row r="15" spans="1:12">
      <c r="A15" s="73"/>
      <c r="B15" s="121" t="s">
        <v>448</v>
      </c>
      <c r="C15" s="74">
        <v>0</v>
      </c>
      <c r="D15" s="98">
        <v>0</v>
      </c>
      <c r="E15" s="98"/>
      <c r="F15" s="150">
        <f>SUM(C15:E15)</f>
        <v>0</v>
      </c>
      <c r="G15" s="454"/>
      <c r="H15" s="454"/>
    </row>
    <row r="16" spans="1:12">
      <c r="A16" s="63">
        <v>5</v>
      </c>
      <c r="B16" s="122" t="s">
        <v>449</v>
      </c>
      <c r="C16" s="79"/>
      <c r="D16" s="100">
        <v>33695042</v>
      </c>
      <c r="E16" s="100"/>
      <c r="F16" s="404">
        <f>+C16+D16+E16</f>
        <v>33695042</v>
      </c>
      <c r="G16" s="454"/>
      <c r="H16" s="454"/>
    </row>
    <row r="17" spans="1:16">
      <c r="A17" s="54">
        <v>6</v>
      </c>
      <c r="B17" s="87" t="s">
        <v>450</v>
      </c>
      <c r="C17" s="81"/>
      <c r="D17" s="102"/>
      <c r="E17" s="102"/>
      <c r="F17" s="151"/>
      <c r="G17" s="454"/>
      <c r="H17" s="454"/>
      <c r="K17" s="438" t="s">
        <v>735</v>
      </c>
      <c r="L17" s="164">
        <f>+C18</f>
        <v>31109</v>
      </c>
    </row>
    <row r="18" spans="1:16" ht="13.8" thickBot="1">
      <c r="A18" s="73"/>
      <c r="B18" s="121" t="s">
        <v>451</v>
      </c>
      <c r="C18" s="81">
        <v>31109</v>
      </c>
      <c r="D18" s="102">
        <f>4964+2110+3883</f>
        <v>10957</v>
      </c>
      <c r="E18" s="102">
        <f>6333+15509</f>
        <v>21842</v>
      </c>
      <c r="F18" s="151">
        <f>SUM(C18:E18)</f>
        <v>63908</v>
      </c>
      <c r="G18" s="454">
        <f>+-'Taxes Sched 5'!G10</f>
        <v>-820.81</v>
      </c>
      <c r="H18" s="454">
        <f>+SUM(F18:G18)</f>
        <v>63087.19</v>
      </c>
      <c r="K18" s="438"/>
    </row>
    <row r="19" spans="1:16" ht="15.6" thickBot="1">
      <c r="A19" s="61">
        <v>7</v>
      </c>
      <c r="B19" s="122" t="s">
        <v>452</v>
      </c>
      <c r="C19" s="405">
        <f>SUM(C10:C18)</f>
        <v>31109</v>
      </c>
      <c r="D19" s="406">
        <f>SUM(D10:D18)</f>
        <v>33705999</v>
      </c>
      <c r="E19" s="406">
        <f>SUM(E10:E18)</f>
        <v>21842</v>
      </c>
      <c r="F19" s="407">
        <f>SUM(C19:E19)</f>
        <v>33758950</v>
      </c>
      <c r="G19" s="455"/>
      <c r="H19" s="454">
        <f t="shared" ref="H19:H29" si="0">+SUM(F19:G19)</f>
        <v>33758950</v>
      </c>
      <c r="K19" s="438" t="s">
        <v>736</v>
      </c>
      <c r="L19" s="439">
        <f>+'Plant Sched 4'!K33</f>
        <v>46645</v>
      </c>
    </row>
    <row r="20" spans="1:16">
      <c r="A20" s="54">
        <v>8</v>
      </c>
      <c r="B20" s="101" t="s">
        <v>453</v>
      </c>
      <c r="C20" s="123"/>
      <c r="D20" s="123"/>
      <c r="E20" s="123"/>
      <c r="F20" s="152"/>
      <c r="G20" s="391"/>
      <c r="H20" s="454"/>
    </row>
    <row r="21" spans="1:16">
      <c r="A21" s="73"/>
      <c r="B21" s="153" t="s">
        <v>454</v>
      </c>
      <c r="C21" s="124" t="s">
        <v>455</v>
      </c>
      <c r="D21" s="98">
        <f>'Transmission O&amp;M'!C22</f>
        <v>6581390</v>
      </c>
      <c r="E21" s="98">
        <f>'Transmission O&amp;M'!C34</f>
        <v>267495</v>
      </c>
      <c r="F21" s="408">
        <f>SUM(D21:E21)</f>
        <v>6848885</v>
      </c>
      <c r="G21" s="142">
        <f>+-'Taxes Sched 5'!G12</f>
        <v>-11981.34</v>
      </c>
      <c r="H21" s="454">
        <f t="shared" si="0"/>
        <v>6836903.6600000001</v>
      </c>
      <c r="J21" s="341"/>
      <c r="K21" s="440" t="s">
        <v>738</v>
      </c>
      <c r="L21" s="344">
        <f>+L17+L19</f>
        <v>77754</v>
      </c>
      <c r="M21" s="80" t="s">
        <v>737</v>
      </c>
      <c r="N21" s="80"/>
      <c r="O21" s="80"/>
      <c r="P21" s="80"/>
    </row>
    <row r="22" spans="1:16">
      <c r="A22" s="54">
        <v>9</v>
      </c>
      <c r="B22" s="101" t="s">
        <v>456</v>
      </c>
      <c r="C22" s="125"/>
      <c r="D22" s="102"/>
      <c r="E22" s="102"/>
      <c r="F22" s="154"/>
      <c r="G22" s="142"/>
      <c r="H22" s="454"/>
    </row>
    <row r="23" spans="1:16">
      <c r="A23" s="73"/>
      <c r="B23" s="153" t="s">
        <v>457</v>
      </c>
      <c r="C23" s="124" t="s">
        <v>455</v>
      </c>
      <c r="D23" s="98">
        <f>29719+59689+100173+30626</f>
        <v>220207</v>
      </c>
      <c r="E23" s="98">
        <f>52073+121054+285904+33922+46363+37461+12964+25535+9573+44880+1772+14003+2771+74517+12013+15846+50752+287222+1087</f>
        <v>1129712</v>
      </c>
      <c r="F23" s="408">
        <f>+D23+E23</f>
        <v>1349919</v>
      </c>
      <c r="G23" s="142">
        <f>+-'Taxes Sched 5'!G11</f>
        <v>-54863.33</v>
      </c>
      <c r="H23" s="454">
        <f t="shared" si="0"/>
        <v>1295055.67</v>
      </c>
    </row>
    <row r="24" spans="1:16">
      <c r="A24" s="54">
        <v>10</v>
      </c>
      <c r="B24" s="101" t="s">
        <v>458</v>
      </c>
      <c r="C24" s="125"/>
      <c r="D24" s="102"/>
      <c r="E24" s="102"/>
      <c r="F24" s="154"/>
      <c r="G24" s="142"/>
      <c r="H24" s="454"/>
      <c r="K24" s="164"/>
    </row>
    <row r="25" spans="1:16">
      <c r="A25" s="73"/>
      <c r="B25" s="153" t="s">
        <v>459</v>
      </c>
      <c r="C25" s="124" t="s">
        <v>455</v>
      </c>
      <c r="D25" s="98">
        <f>'Admin &amp; General'!C14</f>
        <v>270910</v>
      </c>
      <c r="E25" s="98"/>
      <c r="F25" s="408">
        <f>+D25+E25</f>
        <v>270910</v>
      </c>
      <c r="G25" s="142">
        <f>+-'Taxes Sched 5'!G13</f>
        <v>-278.83999999999997</v>
      </c>
      <c r="H25" s="454">
        <f t="shared" si="0"/>
        <v>270631.15999999997</v>
      </c>
      <c r="J25" s="80"/>
      <c r="K25" s="164"/>
    </row>
    <row r="26" spans="1:16">
      <c r="A26" s="54">
        <v>11</v>
      </c>
      <c r="B26" s="101" t="s">
        <v>460</v>
      </c>
      <c r="C26" s="125"/>
      <c r="D26" s="102"/>
      <c r="E26" s="102"/>
      <c r="F26" s="154"/>
      <c r="G26" s="142"/>
      <c r="H26" s="454"/>
      <c r="J26" s="80"/>
      <c r="K26" s="164"/>
    </row>
    <row r="27" spans="1:16">
      <c r="A27" s="73"/>
      <c r="B27" s="153" t="s">
        <v>461</v>
      </c>
      <c r="C27" s="124" t="s">
        <v>455</v>
      </c>
      <c r="D27" s="98">
        <f>'Admin &amp; General'!C21</f>
        <v>896498</v>
      </c>
      <c r="E27" s="98"/>
      <c r="F27" s="408">
        <f>+D27+E27</f>
        <v>896498</v>
      </c>
      <c r="G27" s="142">
        <f>+-'Taxes Sched 5'!G14</f>
        <v>-23193.96</v>
      </c>
      <c r="H27" s="454">
        <f t="shared" si="0"/>
        <v>873304.04</v>
      </c>
      <c r="I27" s="163"/>
      <c r="J27" s="348"/>
      <c r="K27" s="163"/>
    </row>
    <row r="28" spans="1:16">
      <c r="A28" s="61">
        <v>12</v>
      </c>
      <c r="B28" s="99" t="s">
        <v>462</v>
      </c>
      <c r="C28" s="126" t="s">
        <v>455</v>
      </c>
      <c r="D28" s="100">
        <f>'Admin &amp; General'!C28</f>
        <v>9783</v>
      </c>
      <c r="E28" s="100"/>
      <c r="F28" s="408">
        <f>+D28+E28</f>
        <v>9783</v>
      </c>
      <c r="G28" s="142"/>
      <c r="H28" s="454">
        <f t="shared" si="0"/>
        <v>9783</v>
      </c>
      <c r="I28" s="163"/>
      <c r="J28" s="348"/>
      <c r="K28" s="163"/>
    </row>
    <row r="29" spans="1:16">
      <c r="A29" s="61">
        <v>13</v>
      </c>
      <c r="B29" s="99" t="s">
        <v>463</v>
      </c>
      <c r="C29" s="126" t="s">
        <v>455</v>
      </c>
      <c r="D29" s="100">
        <f>'Admin &amp; General'!C45</f>
        <v>974932</v>
      </c>
      <c r="E29" s="100"/>
      <c r="F29" s="408">
        <f>+D29+E29</f>
        <v>974932</v>
      </c>
      <c r="G29" s="142">
        <f>+-'Taxes Sched 5'!G15</f>
        <v>-33441.980000000003</v>
      </c>
      <c r="H29" s="454">
        <f t="shared" si="0"/>
        <v>941490.02</v>
      </c>
      <c r="I29" s="163"/>
      <c r="J29" s="348"/>
      <c r="K29" s="163"/>
    </row>
    <row r="30" spans="1:16" ht="13.8" thickBot="1">
      <c r="A30" s="54">
        <v>14</v>
      </c>
      <c r="B30" s="101" t="s">
        <v>464</v>
      </c>
      <c r="C30" s="127"/>
      <c r="D30" s="123"/>
      <c r="E30" s="123"/>
      <c r="F30" s="152"/>
      <c r="G30" s="391"/>
      <c r="H30" s="391"/>
      <c r="I30" s="163"/>
      <c r="J30" s="348"/>
      <c r="K30" s="163"/>
    </row>
    <row r="31" spans="1:16" ht="13.8" thickBot="1">
      <c r="A31" s="73"/>
      <c r="B31" s="121" t="s">
        <v>465</v>
      </c>
      <c r="C31" s="405">
        <f>SUM(C19:C29)</f>
        <v>31109</v>
      </c>
      <c r="D31" s="406">
        <f>SUM(D19:D29)</f>
        <v>42659719</v>
      </c>
      <c r="E31" s="406">
        <f>SUM(E19:E29)</f>
        <v>1419049</v>
      </c>
      <c r="F31" s="407">
        <f>SUM(F19:F30)</f>
        <v>44109877</v>
      </c>
      <c r="G31" s="455"/>
      <c r="H31" s="455"/>
      <c r="I31" s="163"/>
      <c r="J31" s="348"/>
      <c r="K31" s="163"/>
    </row>
    <row r="32" spans="1:16">
      <c r="B32" s="80"/>
      <c r="C32" s="128"/>
      <c r="D32" s="128"/>
      <c r="E32" s="128"/>
      <c r="F32" s="155"/>
      <c r="G32" s="155"/>
      <c r="H32" s="155"/>
      <c r="I32" s="163"/>
      <c r="J32" s="348"/>
      <c r="K32" s="163"/>
    </row>
    <row r="33" spans="2:11">
      <c r="B33" s="658" t="s">
        <v>466</v>
      </c>
      <c r="C33" s="659"/>
      <c r="D33" s="160">
        <v>27</v>
      </c>
      <c r="E33" s="128"/>
      <c r="F33" s="155"/>
      <c r="G33" s="155"/>
      <c r="H33" s="155"/>
      <c r="I33" s="163"/>
      <c r="J33" s="348"/>
      <c r="K33" s="163"/>
    </row>
    <row r="34" spans="2:11">
      <c r="B34" s="156" t="s">
        <v>467</v>
      </c>
      <c r="C34" s="157"/>
      <c r="D34" s="161">
        <v>5</v>
      </c>
      <c r="E34" s="200" t="s">
        <v>500</v>
      </c>
      <c r="F34" s="162"/>
      <c r="G34" s="162"/>
      <c r="H34" s="162"/>
      <c r="I34" s="163"/>
      <c r="J34" s="348"/>
      <c r="K34" s="163"/>
    </row>
    <row r="35" spans="2:11">
      <c r="B35" s="80"/>
      <c r="C35" s="128"/>
      <c r="D35" s="128"/>
      <c r="E35" s="128"/>
      <c r="F35" s="155"/>
      <c r="G35" s="155"/>
      <c r="H35" s="155"/>
      <c r="I35" s="163"/>
      <c r="J35" s="163"/>
      <c r="K35" s="163"/>
    </row>
    <row r="36" spans="2:11">
      <c r="B36" s="80"/>
      <c r="C36" s="80"/>
      <c r="D36" s="80"/>
      <c r="E36" s="80"/>
      <c r="F36" s="149"/>
      <c r="G36" s="149"/>
      <c r="H36" s="149"/>
      <c r="I36" s="163"/>
      <c r="J36" s="163"/>
      <c r="K36" s="163"/>
    </row>
    <row r="37" spans="2:11">
      <c r="B37" s="80"/>
      <c r="C37" s="80"/>
      <c r="D37" s="80"/>
      <c r="E37" s="80"/>
      <c r="F37" s="622"/>
      <c r="G37" s="149"/>
      <c r="H37" s="149"/>
      <c r="I37" s="163"/>
      <c r="J37" s="163"/>
      <c r="K37" s="163"/>
    </row>
    <row r="38" spans="2:11">
      <c r="B38" s="158"/>
      <c r="C38" s="158"/>
      <c r="D38" s="159"/>
      <c r="E38" s="80"/>
      <c r="F38" s="622"/>
      <c r="G38" s="149"/>
      <c r="H38" s="149"/>
      <c r="I38" s="163"/>
      <c r="J38" s="163"/>
      <c r="K38" s="163"/>
    </row>
    <row r="39" spans="2:11">
      <c r="B39" s="158"/>
      <c r="C39" s="158"/>
      <c r="D39" s="158"/>
      <c r="E39" s="80"/>
      <c r="F39" s="149"/>
      <c r="G39" s="149"/>
      <c r="H39" s="149"/>
      <c r="I39" s="163"/>
      <c r="J39" s="163"/>
      <c r="K39" s="163"/>
    </row>
    <row r="40" spans="2:11">
      <c r="B40" s="80"/>
      <c r="C40" s="80"/>
      <c r="D40" s="80"/>
      <c r="E40" s="80"/>
      <c r="F40" s="149"/>
      <c r="G40" s="149"/>
      <c r="H40" s="149"/>
      <c r="I40" s="163"/>
      <c r="J40" s="163"/>
      <c r="K40" s="163"/>
    </row>
    <row r="41" spans="2:11">
      <c r="B41" s="80"/>
      <c r="C41" s="80"/>
      <c r="D41" s="80"/>
      <c r="E41" s="80"/>
      <c r="F41" s="149"/>
      <c r="G41" s="149"/>
      <c r="H41" s="149"/>
      <c r="I41" s="163"/>
      <c r="J41" s="163"/>
      <c r="K41" s="163"/>
    </row>
    <row r="42" spans="2:11">
      <c r="B42" s="80"/>
      <c r="C42" s="80"/>
      <c r="D42" s="80"/>
      <c r="E42" s="80"/>
      <c r="F42" s="149"/>
      <c r="G42" s="149"/>
      <c r="H42" s="149"/>
      <c r="I42" s="163"/>
      <c r="J42" s="163"/>
      <c r="K42" s="163"/>
    </row>
  </sheetData>
  <mergeCells count="6">
    <mergeCell ref="B33:C33"/>
    <mergeCell ref="A1:F1"/>
    <mergeCell ref="A2:F2"/>
    <mergeCell ref="A3:F3"/>
    <mergeCell ref="A4:F4"/>
    <mergeCell ref="A6:F6"/>
  </mergeCells>
  <pageMargins left="0.75" right="0.75" top="1" bottom="1" header="0.5" footer="0.5"/>
  <pageSetup scale="51"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90" zoomScaleNormal="90" workbookViewId="0">
      <pane ySplit="7" topLeftCell="A9" activePane="bottomLeft" state="frozen"/>
      <selection activeCell="C80" sqref="C80"/>
      <selection pane="bottomLeft" activeCell="H29" sqref="H28:H29"/>
    </sheetView>
  </sheetViews>
  <sheetFormatPr defaultColWidth="8.90625" defaultRowHeight="13.8"/>
  <cols>
    <col min="1" max="2" width="2.6328125" style="166" customWidth="1"/>
    <col min="3" max="3" width="26.08984375" style="166" customWidth="1"/>
    <col min="4" max="4" width="1.81640625" style="166" customWidth="1"/>
    <col min="5" max="6" width="11.36328125" style="183" customWidth="1"/>
    <col min="7" max="7" width="2.08984375" style="166" customWidth="1"/>
    <col min="8" max="8" width="11.36328125" style="166" customWidth="1"/>
    <col min="9" max="9" width="2.6328125" style="166" customWidth="1"/>
    <col min="10" max="10" width="12" style="166" customWidth="1"/>
    <col min="11" max="11" width="9.54296875" style="166" customWidth="1"/>
    <col min="12" max="12" width="3.54296875" style="166" customWidth="1"/>
    <col min="13" max="16384" width="8.90625" style="166"/>
  </cols>
  <sheetData>
    <row r="1" spans="1:17" ht="15.6">
      <c r="A1" s="650" t="str">
        <f>+'Balance sheet Sched 2'!A1:F1</f>
        <v>Marshall (Minnesota) Municipal Utilities</v>
      </c>
      <c r="B1" s="650"/>
      <c r="C1" s="650"/>
      <c r="D1" s="650"/>
      <c r="E1" s="650"/>
      <c r="F1" s="650"/>
      <c r="G1" s="650"/>
      <c r="H1" s="650"/>
      <c r="I1" s="296"/>
      <c r="J1" s="296"/>
    </row>
    <row r="2" spans="1:17" ht="15.6">
      <c r="A2" s="652">
        <f>+'Balance sheet Sched 2'!A4:F4</f>
        <v>42735</v>
      </c>
      <c r="B2" s="652"/>
      <c r="C2" s="652"/>
      <c r="D2" s="652"/>
      <c r="E2" s="652"/>
      <c r="F2" s="652"/>
      <c r="G2" s="652"/>
      <c r="H2" s="652"/>
      <c r="I2" s="297"/>
      <c r="J2" s="297"/>
    </row>
    <row r="3" spans="1:17" ht="15.6">
      <c r="A3" s="650" t="s">
        <v>468</v>
      </c>
      <c r="B3" s="650"/>
      <c r="C3" s="650"/>
      <c r="D3" s="650"/>
      <c r="E3" s="650"/>
      <c r="F3" s="650"/>
      <c r="G3" s="650"/>
      <c r="H3" s="650"/>
      <c r="I3" s="296"/>
      <c r="J3" s="296"/>
    </row>
    <row r="4" spans="1:17">
      <c r="A4" s="654"/>
      <c r="B4" s="654"/>
      <c r="C4" s="654"/>
      <c r="D4" s="654"/>
      <c r="E4" s="654"/>
      <c r="F4" s="654"/>
      <c r="G4" s="654"/>
      <c r="H4" s="654"/>
      <c r="I4" s="296"/>
      <c r="J4" s="296"/>
    </row>
    <row r="6" spans="1:17">
      <c r="A6" s="298"/>
      <c r="B6" s="299"/>
      <c r="C6" s="300"/>
      <c r="D6" s="301"/>
      <c r="E6" s="664" t="s">
        <v>494</v>
      </c>
      <c r="F6" s="664"/>
      <c r="G6" s="302"/>
      <c r="H6" s="168"/>
      <c r="I6" s="302"/>
      <c r="J6" s="302"/>
    </row>
    <row r="7" spans="1:17">
      <c r="A7" s="661" t="s">
        <v>469</v>
      </c>
      <c r="B7" s="662"/>
      <c r="C7" s="663"/>
      <c r="D7" s="303"/>
      <c r="E7" s="304" t="s">
        <v>440</v>
      </c>
      <c r="F7" s="304" t="s">
        <v>441</v>
      </c>
      <c r="G7" s="302"/>
      <c r="H7" s="170" t="s">
        <v>9</v>
      </c>
      <c r="I7" s="302"/>
      <c r="J7" s="302"/>
    </row>
    <row r="8" spans="1:17">
      <c r="A8" s="166" t="s">
        <v>470</v>
      </c>
      <c r="E8" s="195"/>
      <c r="F8" s="195"/>
      <c r="G8" s="306"/>
      <c r="H8" s="305"/>
      <c r="I8" s="305"/>
      <c r="J8" s="305"/>
      <c r="K8" s="305"/>
    </row>
    <row r="9" spans="1:17">
      <c r="B9" s="166" t="s">
        <v>488</v>
      </c>
      <c r="E9" s="195">
        <v>4964</v>
      </c>
      <c r="F9" s="195">
        <v>0</v>
      </c>
      <c r="G9" s="306"/>
      <c r="H9" s="305">
        <f>SUM(E9:F9)</f>
        <v>4964</v>
      </c>
      <c r="I9" s="305"/>
      <c r="J9" s="305"/>
      <c r="K9" s="305"/>
      <c r="M9" s="409"/>
      <c r="N9" s="183"/>
      <c r="O9" s="183"/>
      <c r="P9" s="183"/>
      <c r="Q9" s="183"/>
    </row>
    <row r="10" spans="1:17">
      <c r="B10" s="166" t="s">
        <v>489</v>
      </c>
      <c r="E10" s="195">
        <v>6333</v>
      </c>
      <c r="F10" s="195">
        <v>0</v>
      </c>
      <c r="G10" s="306"/>
      <c r="H10" s="305">
        <f>SUM(E10:F10)</f>
        <v>6333</v>
      </c>
      <c r="I10" s="305"/>
      <c r="J10" s="305" t="s">
        <v>470</v>
      </c>
      <c r="K10" s="305"/>
      <c r="M10" s="183"/>
      <c r="N10" s="183"/>
      <c r="O10" s="183"/>
      <c r="P10" s="183"/>
      <c r="Q10" s="183"/>
    </row>
    <row r="11" spans="1:17" ht="14.4" thickBot="1">
      <c r="B11" s="166" t="s">
        <v>487</v>
      </c>
      <c r="E11" s="195">
        <v>0</v>
      </c>
      <c r="F11" s="195">
        <v>0</v>
      </c>
      <c r="G11" s="306"/>
      <c r="H11" s="305">
        <f>SUM(E11:F11)</f>
        <v>0</v>
      </c>
      <c r="I11" s="305"/>
      <c r="J11" s="307">
        <f>SUM(H9:H12)</f>
        <v>11297</v>
      </c>
      <c r="K11" s="305"/>
      <c r="M11" s="183"/>
      <c r="N11" s="183"/>
      <c r="O11" s="183"/>
      <c r="P11" s="183"/>
      <c r="Q11" s="183"/>
    </row>
    <row r="12" spans="1:17" ht="14.4" thickTop="1">
      <c r="E12" s="195"/>
      <c r="F12" s="195"/>
      <c r="G12" s="306"/>
      <c r="H12" s="305"/>
      <c r="I12" s="305"/>
      <c r="K12" s="305"/>
      <c r="M12" s="183"/>
      <c r="N12" s="183"/>
      <c r="O12" s="183"/>
      <c r="P12" s="183"/>
      <c r="Q12" s="183"/>
    </row>
    <row r="13" spans="1:17">
      <c r="A13" s="166" t="s">
        <v>472</v>
      </c>
      <c r="E13" s="195"/>
      <c r="F13" s="195"/>
      <c r="G13" s="306"/>
      <c r="H13" s="305"/>
      <c r="I13" s="305"/>
      <c r="J13" s="305"/>
      <c r="K13" s="305"/>
      <c r="M13" s="183"/>
      <c r="N13" s="183"/>
      <c r="O13" s="183"/>
      <c r="P13" s="183"/>
      <c r="Q13" s="183"/>
    </row>
    <row r="14" spans="1:17">
      <c r="B14" s="166" t="s">
        <v>490</v>
      </c>
      <c r="E14" s="195">
        <v>0</v>
      </c>
      <c r="F14" s="195">
        <v>17132</v>
      </c>
      <c r="G14" s="306"/>
      <c r="H14" s="305">
        <f t="shared" ref="H14:H20" si="0">SUM(E14:F14)</f>
        <v>17132</v>
      </c>
      <c r="I14" s="305"/>
      <c r="J14" s="305"/>
      <c r="K14" s="305"/>
    </row>
    <row r="15" spans="1:17">
      <c r="B15" s="166" t="s">
        <v>697</v>
      </c>
      <c r="E15" s="195">
        <v>10530</v>
      </c>
      <c r="F15" s="195">
        <v>0</v>
      </c>
      <c r="G15" s="306"/>
      <c r="H15" s="305">
        <f t="shared" si="0"/>
        <v>10530</v>
      </c>
      <c r="I15" s="305"/>
      <c r="J15" s="305"/>
      <c r="K15" s="305"/>
    </row>
    <row r="16" spans="1:17">
      <c r="B16" s="166" t="s">
        <v>491</v>
      </c>
      <c r="E16" s="195">
        <v>0</v>
      </c>
      <c r="F16" s="195">
        <v>19846</v>
      </c>
      <c r="G16" s="306"/>
      <c r="H16" s="305">
        <f t="shared" si="0"/>
        <v>19846</v>
      </c>
      <c r="I16" s="305"/>
      <c r="J16" s="305"/>
      <c r="K16" s="305"/>
    </row>
    <row r="17" spans="1:16">
      <c r="B17" s="166" t="s">
        <v>492</v>
      </c>
      <c r="E17" s="195">
        <v>0</v>
      </c>
      <c r="F17" s="195">
        <v>41655</v>
      </c>
      <c r="G17" s="306"/>
      <c r="H17" s="305">
        <f t="shared" si="0"/>
        <v>41655</v>
      </c>
      <c r="I17" s="305"/>
      <c r="J17" s="305"/>
      <c r="K17" s="305"/>
    </row>
    <row r="18" spans="1:16">
      <c r="B18" s="166" t="s">
        <v>471</v>
      </c>
      <c r="E18" s="195">
        <v>0</v>
      </c>
      <c r="F18" s="195">
        <v>64342</v>
      </c>
      <c r="G18" s="306"/>
      <c r="H18" s="305">
        <f t="shared" si="0"/>
        <v>64342</v>
      </c>
      <c r="I18" s="305"/>
      <c r="J18" s="305"/>
      <c r="K18" s="305"/>
    </row>
    <row r="19" spans="1:16">
      <c r="B19" s="166" t="s">
        <v>493</v>
      </c>
      <c r="E19" s="195">
        <v>0</v>
      </c>
      <c r="F19" s="195">
        <v>12552</v>
      </c>
      <c r="G19" s="306"/>
      <c r="H19" s="305">
        <f t="shared" si="0"/>
        <v>12552</v>
      </c>
      <c r="I19" s="305"/>
      <c r="J19" s="305" t="s">
        <v>45</v>
      </c>
      <c r="K19" s="305"/>
    </row>
    <row r="20" spans="1:16" ht="14.4" thickBot="1">
      <c r="B20" s="166" t="s">
        <v>487</v>
      </c>
      <c r="E20" s="195">
        <v>0</v>
      </c>
      <c r="F20" s="195">
        <v>0</v>
      </c>
      <c r="G20" s="306"/>
      <c r="H20" s="305">
        <f t="shared" si="0"/>
        <v>0</v>
      </c>
      <c r="I20" s="305"/>
      <c r="J20" s="307">
        <f>SUM(H14:H20)</f>
        <v>166057</v>
      </c>
      <c r="K20" s="308"/>
      <c r="M20" s="409"/>
      <c r="N20" s="183"/>
      <c r="O20" s="183"/>
      <c r="P20" s="183"/>
    </row>
    <row r="21" spans="1:16" ht="14.4" thickTop="1">
      <c r="E21" s="195"/>
      <c r="F21" s="195"/>
      <c r="G21" s="306"/>
      <c r="H21" s="305"/>
      <c r="I21" s="305"/>
      <c r="J21" s="305"/>
      <c r="K21" s="305"/>
    </row>
    <row r="22" spans="1:16">
      <c r="A22" s="166" t="s">
        <v>473</v>
      </c>
      <c r="E22" s="195"/>
      <c r="F22" s="195"/>
      <c r="G22" s="306"/>
      <c r="H22" s="305"/>
      <c r="I22" s="305"/>
      <c r="J22" s="305"/>
      <c r="K22" s="305"/>
    </row>
    <row r="23" spans="1:16">
      <c r="B23" s="166" t="s">
        <v>490</v>
      </c>
      <c r="E23" s="195">
        <v>0</v>
      </c>
      <c r="F23" s="195">
        <v>52073</v>
      </c>
      <c r="G23" s="306"/>
      <c r="H23" s="305">
        <f t="shared" ref="H23:H31" si="1">SUM(E23:F23)</f>
        <v>52073</v>
      </c>
      <c r="I23" s="305"/>
      <c r="J23" s="305"/>
      <c r="K23" s="305"/>
    </row>
    <row r="24" spans="1:16">
      <c r="B24" s="166" t="s">
        <v>697</v>
      </c>
      <c r="E24" s="195">
        <v>29719</v>
      </c>
      <c r="F24" s="195">
        <v>0</v>
      </c>
      <c r="G24" s="306"/>
      <c r="H24" s="305">
        <f t="shared" si="1"/>
        <v>29719</v>
      </c>
      <c r="I24" s="305"/>
      <c r="J24" s="305"/>
      <c r="K24" s="305"/>
    </row>
    <row r="25" spans="1:16">
      <c r="B25" s="166" t="s">
        <v>491</v>
      </c>
      <c r="E25" s="195">
        <v>0</v>
      </c>
      <c r="F25" s="195">
        <v>59689</v>
      </c>
      <c r="G25" s="306"/>
      <c r="H25" s="305">
        <f t="shared" si="1"/>
        <v>59689</v>
      </c>
      <c r="I25" s="305"/>
      <c r="J25" s="305"/>
      <c r="K25" s="305"/>
    </row>
    <row r="26" spans="1:16">
      <c r="B26" s="166" t="s">
        <v>492</v>
      </c>
      <c r="E26" s="195">
        <v>0</v>
      </c>
      <c r="F26" s="195">
        <f>121054+285904</f>
        <v>406958</v>
      </c>
      <c r="G26" s="306"/>
      <c r="H26" s="305">
        <f t="shared" si="1"/>
        <v>406958</v>
      </c>
      <c r="I26" s="305"/>
      <c r="J26" s="305"/>
      <c r="K26" s="305"/>
    </row>
    <row r="27" spans="1:16">
      <c r="B27" s="166" t="s">
        <v>471</v>
      </c>
      <c r="E27" s="195">
        <v>0</v>
      </c>
      <c r="F27" s="195">
        <v>100173</v>
      </c>
      <c r="G27" s="306"/>
      <c r="H27" s="305">
        <f t="shared" si="1"/>
        <v>100173</v>
      </c>
      <c r="I27" s="305"/>
      <c r="J27" s="305"/>
      <c r="K27" s="305"/>
    </row>
    <row r="28" spans="1:16">
      <c r="B28" s="166" t="s">
        <v>493</v>
      </c>
      <c r="E28" s="195">
        <v>0</v>
      </c>
      <c r="F28" s="195">
        <f>33922+46363+37461</f>
        <v>117746</v>
      </c>
      <c r="G28" s="306"/>
      <c r="H28" s="305">
        <f t="shared" si="1"/>
        <v>117746</v>
      </c>
      <c r="I28" s="305"/>
      <c r="J28" s="306"/>
      <c r="K28" s="305"/>
    </row>
    <row r="29" spans="1:16">
      <c r="B29" s="166" t="s">
        <v>487</v>
      </c>
      <c r="E29" s="195">
        <v>0</v>
      </c>
      <c r="F29" s="195">
        <v>0</v>
      </c>
      <c r="G29" s="306"/>
      <c r="H29" s="305">
        <f t="shared" si="1"/>
        <v>0</v>
      </c>
      <c r="I29" s="305"/>
      <c r="J29" s="306"/>
      <c r="K29" s="308"/>
    </row>
    <row r="30" spans="1:16">
      <c r="B30" s="166" t="s">
        <v>513</v>
      </c>
      <c r="E30" s="195">
        <f>2755+1368</f>
        <v>4123</v>
      </c>
      <c r="F30" s="195">
        <v>0</v>
      </c>
      <c r="G30" s="306"/>
      <c r="H30" s="305">
        <f t="shared" si="1"/>
        <v>4123</v>
      </c>
      <c r="I30" s="305"/>
      <c r="J30" s="305" t="s">
        <v>484</v>
      </c>
      <c r="K30" s="305"/>
    </row>
    <row r="31" spans="1:16" ht="14.4" thickBot="1">
      <c r="B31" s="166" t="s">
        <v>487</v>
      </c>
      <c r="E31" s="195">
        <v>0</v>
      </c>
      <c r="F31" s="195">
        <v>0</v>
      </c>
      <c r="G31" s="306"/>
      <c r="H31" s="305">
        <f t="shared" si="1"/>
        <v>0</v>
      </c>
      <c r="I31" s="305"/>
      <c r="J31" s="307">
        <f>+SUM(H23:H31)</f>
        <v>770481</v>
      </c>
      <c r="K31" s="309"/>
    </row>
    <row r="32" spans="1:16" ht="14.4" thickTop="1">
      <c r="E32" s="195"/>
      <c r="F32" s="195"/>
      <c r="G32" s="306"/>
      <c r="H32" s="305"/>
      <c r="I32" s="305"/>
      <c r="J32" s="305"/>
      <c r="K32" s="305"/>
    </row>
    <row r="33" spans="1:11">
      <c r="A33" s="166" t="s">
        <v>460</v>
      </c>
      <c r="E33" s="195"/>
      <c r="F33" s="195"/>
      <c r="G33" s="306"/>
      <c r="H33" s="305"/>
      <c r="I33" s="305"/>
      <c r="J33" s="305"/>
      <c r="K33" s="305"/>
    </row>
    <row r="34" spans="1:11">
      <c r="B34" s="166" t="s">
        <v>496</v>
      </c>
      <c r="E34" s="195">
        <v>194460</v>
      </c>
      <c r="F34" s="195">
        <v>0</v>
      </c>
      <c r="G34" s="306"/>
      <c r="H34" s="305">
        <f>SUM(E34:F34)</f>
        <v>194460</v>
      </c>
      <c r="I34" s="305"/>
      <c r="J34" s="305"/>
      <c r="K34" s="305"/>
    </row>
    <row r="35" spans="1:11">
      <c r="B35" s="166" t="s">
        <v>495</v>
      </c>
      <c r="E35" s="195">
        <v>40201</v>
      </c>
      <c r="F35" s="195">
        <v>0</v>
      </c>
      <c r="G35" s="306"/>
      <c r="H35" s="305">
        <f>SUM(E35:F35)</f>
        <v>40201</v>
      </c>
      <c r="I35" s="305"/>
      <c r="J35" s="305"/>
      <c r="K35" s="305"/>
    </row>
    <row r="36" spans="1:11">
      <c r="B36" s="166" t="s">
        <v>499</v>
      </c>
      <c r="E36" s="195">
        <v>86037</v>
      </c>
      <c r="F36" s="195">
        <v>0</v>
      </c>
      <c r="G36" s="306"/>
      <c r="H36" s="305">
        <f>SUM(E36:F36)</f>
        <v>86037</v>
      </c>
      <c r="I36" s="305"/>
      <c r="J36" s="305" t="s">
        <v>460</v>
      </c>
      <c r="K36" s="305"/>
    </row>
    <row r="37" spans="1:11" ht="14.4" thickBot="1">
      <c r="B37" s="166" t="s">
        <v>487</v>
      </c>
      <c r="E37" s="195">
        <v>0</v>
      </c>
      <c r="F37" s="195">
        <v>0</v>
      </c>
      <c r="G37" s="306"/>
      <c r="H37" s="305">
        <f>SUM(E37:F37)</f>
        <v>0</v>
      </c>
      <c r="I37" s="305"/>
      <c r="J37" s="307">
        <f>SUM(H34:H37)</f>
        <v>320698</v>
      </c>
      <c r="K37" s="305"/>
    </row>
    <row r="38" spans="1:11" ht="14.4" thickTop="1">
      <c r="E38" s="195"/>
      <c r="F38" s="195"/>
      <c r="G38" s="306"/>
      <c r="H38" s="305"/>
      <c r="I38" s="305"/>
      <c r="J38" s="305"/>
      <c r="K38" s="305"/>
    </row>
    <row r="39" spans="1:11">
      <c r="A39" s="166" t="s">
        <v>474</v>
      </c>
      <c r="E39" s="195"/>
      <c r="F39" s="195"/>
      <c r="G39" s="306"/>
      <c r="H39" s="305"/>
      <c r="I39" s="305"/>
      <c r="J39" s="305"/>
      <c r="K39" s="305"/>
    </row>
    <row r="40" spans="1:11">
      <c r="B40" s="166" t="s">
        <v>497</v>
      </c>
      <c r="E40" s="195">
        <v>267494</v>
      </c>
      <c r="F40" s="195">
        <v>0</v>
      </c>
      <c r="G40" s="306"/>
      <c r="H40" s="305">
        <f>SUM(E40:F40)</f>
        <v>267494</v>
      </c>
      <c r="I40" s="305"/>
      <c r="J40" s="305"/>
      <c r="K40" s="305"/>
    </row>
    <row r="41" spans="1:11">
      <c r="B41" s="166" t="s">
        <v>498</v>
      </c>
      <c r="E41" s="195">
        <f>146291+67836</f>
        <v>214127</v>
      </c>
      <c r="F41" s="195">
        <v>0</v>
      </c>
      <c r="G41" s="306"/>
      <c r="H41" s="305">
        <f>SUM(E41:F41)</f>
        <v>214127</v>
      </c>
      <c r="I41" s="305"/>
      <c r="J41" s="305" t="s">
        <v>474</v>
      </c>
      <c r="K41" s="305"/>
    </row>
    <row r="42" spans="1:11" ht="14.4" thickBot="1">
      <c r="B42" s="166" t="s">
        <v>487</v>
      </c>
      <c r="E42" s="195">
        <v>0</v>
      </c>
      <c r="F42" s="195">
        <v>0</v>
      </c>
      <c r="G42" s="306"/>
      <c r="H42" s="305">
        <f>SUM(E42:F42)</f>
        <v>0</v>
      </c>
      <c r="I42" s="305"/>
      <c r="J42" s="307">
        <f>SUM(H40:H42)</f>
        <v>481621</v>
      </c>
      <c r="K42" s="309"/>
    </row>
    <row r="43" spans="1:11" ht="14.4" thickTop="1">
      <c r="G43" s="301"/>
    </row>
    <row r="44" spans="1:11" ht="14.4" thickBot="1">
      <c r="C44" s="166" t="s">
        <v>9</v>
      </c>
      <c r="E44" s="307">
        <f>SUM(E8:E43)</f>
        <v>857988</v>
      </c>
      <c r="F44" s="307">
        <f>SUM(F8:F43)</f>
        <v>892166</v>
      </c>
      <c r="G44" s="306"/>
      <c r="H44" s="307">
        <f>SUM(H8:H43)</f>
        <v>1750154</v>
      </c>
      <c r="I44" s="306"/>
      <c r="J44" s="307">
        <f>+J11+J20+J29+J31+J37+J42</f>
        <v>1750154</v>
      </c>
    </row>
    <row r="45" spans="1:11" ht="14.4" thickTop="1">
      <c r="G45" s="301"/>
    </row>
    <row r="46" spans="1:11">
      <c r="G46" s="301"/>
    </row>
    <row r="47" spans="1:11">
      <c r="C47" s="310"/>
      <c r="D47" s="310"/>
      <c r="E47" s="311"/>
    </row>
    <row r="48" spans="1:11">
      <c r="C48" s="312"/>
    </row>
  </sheetData>
  <mergeCells count="6">
    <mergeCell ref="A7:C7"/>
    <mergeCell ref="A1:H1"/>
    <mergeCell ref="A2:H2"/>
    <mergeCell ref="A3:H3"/>
    <mergeCell ref="A4:H4"/>
    <mergeCell ref="E6:F6"/>
  </mergeCells>
  <pageMargins left="0.7" right="0.7" top="0.75" bottom="0.75" header="0.3" footer="0.3"/>
  <pageSetup scale="75"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7"/>
  <sheetViews>
    <sheetView zoomScaleNormal="100" workbookViewId="0">
      <selection activeCell="D22" sqref="D22"/>
    </sheetView>
  </sheetViews>
  <sheetFormatPr defaultColWidth="8.90625" defaultRowHeight="14.4"/>
  <cols>
    <col min="1" max="1" width="8.90625" style="211"/>
    <col min="2" max="2" width="21.6328125" style="211" customWidth="1"/>
    <col min="3" max="3" width="6.1796875" style="211" customWidth="1"/>
    <col min="4" max="4" width="14.54296875" style="211" customWidth="1"/>
    <col min="5" max="6" width="1.1796875" style="211" customWidth="1"/>
    <col min="7" max="16384" width="8.90625" style="211"/>
  </cols>
  <sheetData>
    <row r="3" spans="1:6" ht="5.25" customHeight="1"/>
    <row r="4" spans="1:6" ht="5.25" customHeight="1"/>
    <row r="5" spans="1:6" ht="15.6">
      <c r="A5" s="665" t="str">
        <f>Coversheet!D3</f>
        <v>Marshall (Minnesota) Municipal Utilities</v>
      </c>
      <c r="B5" s="665"/>
      <c r="C5" s="665"/>
      <c r="D5" s="665"/>
    </row>
    <row r="6" spans="1:6" ht="15.6">
      <c r="A6" s="665" t="s">
        <v>515</v>
      </c>
      <c r="B6" s="665"/>
      <c r="C6" s="665"/>
      <c r="D6" s="665"/>
    </row>
    <row r="7" spans="1:6" ht="15.6">
      <c r="B7" s="212"/>
      <c r="C7" s="294" t="str">
        <f>+Coversheet!D5</f>
        <v>12 Months Ended December 31,</v>
      </c>
      <c r="D7" s="214">
        <f>Coversheet!E5</f>
        <v>2016</v>
      </c>
    </row>
    <row r="8" spans="1:6" ht="15.6">
      <c r="A8" s="212"/>
      <c r="B8" s="212"/>
      <c r="C8" s="212"/>
      <c r="D8" s="212"/>
    </row>
    <row r="9" spans="1:6" s="216" customFormat="1">
      <c r="A9" s="215" t="s">
        <v>516</v>
      </c>
      <c r="B9" s="215" t="s">
        <v>517</v>
      </c>
      <c r="C9" s="215" t="s">
        <v>518</v>
      </c>
      <c r="D9" s="215" t="s">
        <v>603</v>
      </c>
    </row>
    <row r="10" spans="1:6" ht="15.75" customHeight="1">
      <c r="A10" s="217">
        <v>1</v>
      </c>
      <c r="B10" s="218" t="s">
        <v>501</v>
      </c>
      <c r="C10" s="217">
        <f>D7</f>
        <v>2016</v>
      </c>
      <c r="D10" s="313">
        <v>76884</v>
      </c>
      <c r="F10" s="219"/>
    </row>
    <row r="11" spans="1:6" ht="15.6">
      <c r="A11" s="217">
        <v>2</v>
      </c>
      <c r="B11" s="220" t="s">
        <v>502</v>
      </c>
      <c r="C11" s="217">
        <f>C10</f>
        <v>2016</v>
      </c>
      <c r="D11" s="313">
        <v>75719</v>
      </c>
    </row>
    <row r="12" spans="1:6" ht="15.6">
      <c r="A12" s="217">
        <v>3</v>
      </c>
      <c r="B12" s="220" t="s">
        <v>503</v>
      </c>
      <c r="C12" s="217">
        <f>C11</f>
        <v>2016</v>
      </c>
      <c r="D12" s="313">
        <v>73750</v>
      </c>
    </row>
    <row r="13" spans="1:6" ht="15.6">
      <c r="A13" s="217">
        <v>4</v>
      </c>
      <c r="B13" s="220" t="s">
        <v>504</v>
      </c>
      <c r="C13" s="217">
        <f t="shared" ref="C13:C21" si="0">C12</f>
        <v>2016</v>
      </c>
      <c r="D13" s="313">
        <v>71376</v>
      </c>
    </row>
    <row r="14" spans="1:6" ht="15.6">
      <c r="A14" s="217">
        <v>5</v>
      </c>
      <c r="B14" s="220" t="s">
        <v>505</v>
      </c>
      <c r="C14" s="217">
        <f t="shared" si="0"/>
        <v>2016</v>
      </c>
      <c r="D14" s="313">
        <v>73562</v>
      </c>
    </row>
    <row r="15" spans="1:6" ht="15.6">
      <c r="A15" s="217">
        <v>6</v>
      </c>
      <c r="B15" s="220" t="s">
        <v>506</v>
      </c>
      <c r="C15" s="217">
        <f t="shared" si="0"/>
        <v>2016</v>
      </c>
      <c r="D15" s="313">
        <v>78826</v>
      </c>
    </row>
    <row r="16" spans="1:6" ht="15.6">
      <c r="A16" s="217">
        <v>7</v>
      </c>
      <c r="B16" s="220" t="s">
        <v>507</v>
      </c>
      <c r="C16" s="217">
        <f t="shared" si="0"/>
        <v>2016</v>
      </c>
      <c r="D16" s="313">
        <v>83428</v>
      </c>
    </row>
    <row r="17" spans="1:4" ht="15.6">
      <c r="A17" s="217">
        <v>8</v>
      </c>
      <c r="B17" s="220" t="s">
        <v>508</v>
      </c>
      <c r="C17" s="217">
        <f t="shared" si="0"/>
        <v>2016</v>
      </c>
      <c r="D17" s="313">
        <v>82376</v>
      </c>
    </row>
    <row r="18" spans="1:4" ht="15.6">
      <c r="A18" s="217">
        <v>9</v>
      </c>
      <c r="B18" s="220" t="s">
        <v>509</v>
      </c>
      <c r="C18" s="217">
        <f t="shared" si="0"/>
        <v>2016</v>
      </c>
      <c r="D18" s="313">
        <v>76659</v>
      </c>
    </row>
    <row r="19" spans="1:4" ht="15.6">
      <c r="A19" s="217">
        <v>10</v>
      </c>
      <c r="B19" s="220" t="s">
        <v>510</v>
      </c>
      <c r="C19" s="217">
        <f t="shared" si="0"/>
        <v>2016</v>
      </c>
      <c r="D19" s="313">
        <v>71020</v>
      </c>
    </row>
    <row r="20" spans="1:4" ht="15.6">
      <c r="A20" s="217">
        <v>11</v>
      </c>
      <c r="B20" s="220" t="s">
        <v>511</v>
      </c>
      <c r="C20" s="217">
        <f t="shared" si="0"/>
        <v>2016</v>
      </c>
      <c r="D20" s="313">
        <v>74156</v>
      </c>
    </row>
    <row r="21" spans="1:4" ht="15.6">
      <c r="A21" s="217">
        <v>12</v>
      </c>
      <c r="B21" s="220" t="s">
        <v>512</v>
      </c>
      <c r="C21" s="217">
        <f t="shared" si="0"/>
        <v>2016</v>
      </c>
      <c r="D21" s="314">
        <v>77941</v>
      </c>
    </row>
    <row r="22" spans="1:4">
      <c r="A22" s="217">
        <v>13</v>
      </c>
    </row>
    <row r="23" spans="1:4" ht="16.2">
      <c r="A23" s="217">
        <v>14</v>
      </c>
      <c r="B23" s="213" t="s">
        <v>519</v>
      </c>
      <c r="C23" s="221"/>
      <c r="D23" s="222">
        <f>SUM(D10:D21)/12</f>
        <v>76308.083333333328</v>
      </c>
    </row>
    <row r="25" spans="1:4">
      <c r="D25" s="295" t="s">
        <v>520</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Coversheet</vt:lpstr>
      <vt:lpstr>Att O_MMU</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'Adj to Rate Base'!Print_Area</vt:lpstr>
      <vt:lpstr>'Admin &amp; General'!Print_Area</vt:lpstr>
      <vt:lpstr>'Capital Structure'!Print_Area</vt:lpstr>
      <vt:lpstr>Divisor!Print_Area</vt:lpstr>
      <vt:lpstr>'EPRI Reg Comm Non Safety'!Print_Area</vt:lpstr>
      <vt:lpstr>'FERC Fees'!Print_Area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2017-04-20T15:25:02Z</cp:lastPrinted>
  <dcterms:created xsi:type="dcterms:W3CDTF">2008-03-20T17:17:49Z</dcterms:created>
  <dcterms:modified xsi:type="dcterms:W3CDTF">2017-08-18T20:16:35Z</dcterms:modified>
</cp:coreProperties>
</file>