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kennedy\Documents\MRES_MMU\Exhibits\"/>
    </mc:Choice>
  </mc:AlternateContent>
  <bookViews>
    <workbookView xWindow="0" yWindow="0" windowWidth="24000" windowHeight="9735" tabRatio="773"/>
  </bookViews>
  <sheets>
    <sheet name="Coversheet" sheetId="12" r:id="rId1"/>
    <sheet name="FLTY Att O_MMU" sheetId="1" r:id="rId2"/>
    <sheet name="Balance sheet Sched 2" sheetId="2" r:id="rId3"/>
    <sheet name="Income Sched 3" sheetId="3" r:id="rId4"/>
    <sheet name="Plant Sched 4" sheetId="4" r:id="rId5"/>
    <sheet name="Taxes Sched 5" sheetId="9" r:id="rId6"/>
    <sheet name="Op &amp; Maint Sched 7" sheetId="5" r:id="rId7"/>
    <sheet name="Salaries" sheetId="8" r:id="rId8"/>
    <sheet name="Divisor" sheetId="13" r:id="rId9"/>
    <sheet name="Plant" sheetId="14" r:id="rId10"/>
    <sheet name="Adj to Rate Base" sheetId="16" r:id="rId11"/>
    <sheet name="Land Held for Future Use" sheetId="18" r:id="rId12"/>
    <sheet name="Materials and Prepayments" sheetId="19" r:id="rId13"/>
    <sheet name="Capital Structure" sheetId="20" r:id="rId14"/>
    <sheet name="Transmission O&amp;M" sheetId="24" r:id="rId15"/>
    <sheet name="Admin &amp; General" sheetId="25" r:id="rId16"/>
    <sheet name="FERC Fees" sheetId="26" r:id="rId17"/>
    <sheet name="EPRI Reg Comm Non Safety" sheetId="27" r:id="rId18"/>
    <sheet name="Taxes other than inc tax" sheetId="28" r:id="rId19"/>
    <sheet name="Account 454" sheetId="31" r:id="rId20"/>
    <sheet name="Account 456.1" sheetId="32" r:id="rId21"/>
  </sheets>
  <externalReferences>
    <externalReference r:id="rId22"/>
    <externalReference r:id="rId23"/>
    <externalReference r:id="rId24"/>
    <externalReference r:id="rId25"/>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CIP_Year">OFFSET(#REF!,0,0,COUNTA(#REF!)-1,1)</definedName>
    <definedName name="Current_Year">'[4]Electric Fund Historical'!$D$1</definedName>
    <definedName name="CUSTAR">#REF!</definedName>
    <definedName name="CUYAHOGA_FALLS">#REF!</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UBBARD">#REF!</definedName>
    <definedName name="LHMonth">#REF!</definedName>
    <definedName name="LHYear">#REF!</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MBERVILLE">#REF!</definedName>
    <definedName name="PIONEER">#REF!</definedName>
    <definedName name="_xlnm.Print_Area" localSheetId="19">'Account 454'!$A$1:$F$20</definedName>
    <definedName name="_xlnm.Print_Area" localSheetId="20">'Account 456.1'!$A$1:$F$30</definedName>
    <definedName name="_xlnm.Print_Area" localSheetId="10">'Adj to Rate Base'!$D$4:$H$18</definedName>
    <definedName name="_xlnm.Print_Area" localSheetId="15">'Admin &amp; General'!$A$1:$I$55</definedName>
    <definedName name="_xlnm.Print_Area" localSheetId="13">'Capital Structure'!$D$4:$K$27</definedName>
    <definedName name="_xlnm.Print_Area" localSheetId="8">Divisor!$D$4:$I$26</definedName>
    <definedName name="_xlnm.Print_Area" localSheetId="17">'EPRI Reg Comm Non Safety'!$A$1:$J$24</definedName>
    <definedName name="_xlnm.Print_Area" localSheetId="16">'FERC Fees'!$A$1:$G$18</definedName>
    <definedName name="_xlnm.Print_Area" localSheetId="1">'FLTY Att O_MMU'!$A$1:$K$319</definedName>
    <definedName name="_xlnm.Print_Area" localSheetId="3">'Income Sched 3'!$A$1:$G$31</definedName>
    <definedName name="_xlnm.Print_Area" localSheetId="9">Plant!$B$4:$O$61</definedName>
    <definedName name="_xlnm.Print_Area" localSheetId="18">'Taxes other than inc tax'!$A$1:$M$16</definedName>
    <definedName name="_xlnm.Print_Area" localSheetId="5">'Taxes Sched 5'!$A$1:$F$23</definedName>
    <definedName name="_xlnm.Print_Area" localSheetId="14">'Transmission O&amp;M'!$A$1:$I$47</definedName>
    <definedName name="_xlnm.Print_Area">#REF!</definedName>
    <definedName name="Print_Area_MI">#REF!</definedName>
    <definedName name="Print_Titles_MI">#REF!</definedName>
    <definedName name="PROSPECT">#REF!</definedName>
    <definedName name="queryp1">[2]DANDE!#REF!</definedName>
    <definedName name="revreq">#REF!</definedName>
    <definedName name="SEVILLE">#REF!</definedName>
    <definedName name="SOUTH_VIENNA">#REF!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WADSWORTH">#REF!</definedName>
    <definedName name="wrn.ARREC." hidden="1">{#N/A,#N/A,FALSE,"ARREC"}</definedName>
    <definedName name="wrn.EMPPAY." hidden="1">{#N/A,#N/A,FALSE,"EMPPAY"}</definedName>
    <definedName name="xx" hidden="1">{#N/A,#N/A,FALSE,"EMPPAY"}</definedName>
    <definedName name="Year">OFFSET(#REF!,0,0,COUNTA(#REF!),1)</definedName>
  </definedNames>
  <calcPr calcId="152511"/>
</workbook>
</file>

<file path=xl/calcChain.xml><?xml version="1.0" encoding="utf-8"?>
<calcChain xmlns="http://schemas.openxmlformats.org/spreadsheetml/2006/main">
  <c r="B19" i="27" l="1"/>
  <c r="C44" i="25" l="1"/>
  <c r="E42" i="8" l="1"/>
  <c r="C43" i="25"/>
  <c r="C36" i="25"/>
  <c r="C41" i="25"/>
  <c r="C30" i="25"/>
  <c r="C33" i="24"/>
  <c r="C31" i="24"/>
  <c r="C30" i="24"/>
  <c r="C24" i="24"/>
  <c r="C6" i="24"/>
  <c r="D27" i="5"/>
  <c r="D25" i="5"/>
  <c r="C19" i="25"/>
  <c r="C17" i="25"/>
  <c r="E23" i="5"/>
  <c r="D23" i="5"/>
  <c r="D18" i="5"/>
  <c r="E18" i="5"/>
  <c r="D158" i="1" l="1"/>
  <c r="C43" i="2" l="1"/>
  <c r="D252" i="1"/>
  <c r="C33" i="2"/>
  <c r="F50" i="2" l="1"/>
  <c r="F26" i="2"/>
  <c r="F15" i="2"/>
  <c r="C19" i="3" l="1"/>
  <c r="C48" i="2"/>
  <c r="C34" i="25"/>
  <c r="C31" i="25"/>
  <c r="C22" i="24" l="1"/>
  <c r="I45" i="8"/>
  <c r="H45" i="8"/>
  <c r="G45" i="8"/>
  <c r="K16" i="8"/>
  <c r="K17" i="8"/>
  <c r="K24" i="8"/>
  <c r="K25" i="8"/>
  <c r="E31" i="8"/>
  <c r="E45" i="8" s="1"/>
  <c r="F29" i="8"/>
  <c r="F27" i="8"/>
  <c r="F45" i="8" s="1"/>
  <c r="H18" i="20"/>
  <c r="H19" i="20"/>
  <c r="H20" i="20"/>
  <c r="H21" i="20"/>
  <c r="H22" i="20"/>
  <c r="F20" i="2" s="1"/>
  <c r="H17" i="20"/>
  <c r="H11" i="20"/>
  <c r="H12" i="20"/>
  <c r="H13" i="20"/>
  <c r="H14" i="20"/>
  <c r="H15" i="20"/>
  <c r="H16" i="20"/>
  <c r="H10" i="20"/>
  <c r="H24" i="20" s="1"/>
  <c r="J29" i="14" l="1"/>
  <c r="J30" i="14" s="1"/>
  <c r="J31" i="14" s="1"/>
  <c r="J32" i="14" s="1"/>
  <c r="J33" i="14" s="1"/>
  <c r="J34" i="14" s="1"/>
  <c r="J35" i="14" s="1"/>
  <c r="J36" i="14" s="1"/>
  <c r="J37" i="14" s="1"/>
  <c r="J38" i="14" s="1"/>
  <c r="J39" i="14" s="1"/>
  <c r="J40" i="14" s="1"/>
  <c r="I29" i="14"/>
  <c r="I30" i="14" s="1"/>
  <c r="I31" i="14" s="1"/>
  <c r="I32" i="14" s="1"/>
  <c r="I33" i="14" s="1"/>
  <c r="I34" i="14" s="1"/>
  <c r="I35" i="14" s="1"/>
  <c r="I36" i="14" s="1"/>
  <c r="I37" i="14" s="1"/>
  <c r="I38" i="14" s="1"/>
  <c r="I39" i="14" s="1"/>
  <c r="I40" i="14" s="1"/>
  <c r="H29" i="14"/>
  <c r="H30" i="14" s="1"/>
  <c r="H31" i="14" s="1"/>
  <c r="H32" i="14" s="1"/>
  <c r="H33" i="14" s="1"/>
  <c r="H34" i="14" s="1"/>
  <c r="H35" i="14" s="1"/>
  <c r="H36" i="14" s="1"/>
  <c r="H37" i="14" s="1"/>
  <c r="H38" i="14" s="1"/>
  <c r="H39" i="14" s="1"/>
  <c r="H40" i="14" s="1"/>
  <c r="G29" i="14"/>
  <c r="G30" i="14" s="1"/>
  <c r="G31" i="14" s="1"/>
  <c r="G32" i="14" s="1"/>
  <c r="G33" i="14" s="1"/>
  <c r="G34" i="14" s="1"/>
  <c r="G35" i="14" s="1"/>
  <c r="G36" i="14" s="1"/>
  <c r="G37" i="14" s="1"/>
  <c r="G38" i="14" s="1"/>
  <c r="G39" i="14" s="1"/>
  <c r="G40" i="14" s="1"/>
  <c r="G18" i="4"/>
  <c r="D181" i="1"/>
  <c r="D17" i="9"/>
  <c r="D15" i="9"/>
  <c r="D179" i="1" s="1"/>
  <c r="D14" i="9"/>
  <c r="D178" i="1" s="1"/>
  <c r="D13" i="9"/>
  <c r="D176" i="1" s="1"/>
  <c r="D10" i="9"/>
  <c r="D175" i="1" s="1"/>
  <c r="I24" i="20"/>
  <c r="D255" i="1" s="1"/>
  <c r="I231" i="1" l="1"/>
  <c r="D157" i="1"/>
  <c r="C34" i="24"/>
  <c r="E21" i="5" s="1"/>
  <c r="D21" i="5"/>
  <c r="D118" i="1"/>
  <c r="D117" i="1"/>
  <c r="D116" i="1"/>
  <c r="D115" i="1"/>
  <c r="D114" i="1"/>
  <c r="I25" i="1"/>
  <c r="I27" i="1" s="1"/>
  <c r="I21" i="1"/>
  <c r="C37" i="24" l="1"/>
  <c r="D156" i="1" s="1"/>
  <c r="C23" i="32"/>
  <c r="I274" i="1" s="1"/>
  <c r="C22" i="32"/>
  <c r="I273" i="1" s="1"/>
  <c r="C21" i="32"/>
  <c r="I272" i="1" s="1"/>
  <c r="C17" i="32"/>
  <c r="C20" i="32" s="1"/>
  <c r="A2" i="24"/>
  <c r="A2" i="25" s="1"/>
  <c r="A2" i="26" s="1"/>
  <c r="A2" i="27" s="1"/>
  <c r="B14" i="31"/>
  <c r="I268" i="1" s="1"/>
  <c r="E12" i="28"/>
  <c r="C14" i="3" s="1"/>
  <c r="B21" i="27"/>
  <c r="B15" i="27"/>
  <c r="C13" i="26"/>
  <c r="D160" i="1" s="1"/>
  <c r="B13" i="26"/>
  <c r="C27" i="25"/>
  <c r="C20" i="25"/>
  <c r="C13" i="25"/>
  <c r="D29" i="5" l="1"/>
  <c r="D159" i="1"/>
  <c r="D161" i="1"/>
  <c r="A2" i="28"/>
  <c r="A2" i="31"/>
  <c r="C24" i="32"/>
  <c r="I271" i="1"/>
  <c r="M40" i="14"/>
  <c r="M39" i="14"/>
  <c r="M38" i="14"/>
  <c r="M37" i="14"/>
  <c r="M36" i="14"/>
  <c r="M35" i="14"/>
  <c r="M34" i="14"/>
  <c r="M33" i="14"/>
  <c r="M32" i="14"/>
  <c r="M31" i="14"/>
  <c r="M30" i="14"/>
  <c r="M29" i="14"/>
  <c r="M22" i="14"/>
  <c r="M21" i="14"/>
  <c r="M20" i="14"/>
  <c r="M19" i="14"/>
  <c r="M18" i="14"/>
  <c r="M17" i="14"/>
  <c r="M16" i="14"/>
  <c r="M15" i="14"/>
  <c r="M14" i="14"/>
  <c r="M13" i="14"/>
  <c r="M12" i="14"/>
  <c r="M11" i="14"/>
  <c r="D5" i="14"/>
  <c r="E5" i="16" s="1"/>
  <c r="B3" i="18" s="1"/>
  <c r="B3" i="19" s="1"/>
  <c r="E5" i="20" s="1"/>
  <c r="A1" i="24" s="1"/>
  <c r="A1" i="25" s="1"/>
  <c r="A1" i="26" s="1"/>
  <c r="A1" i="27" s="1"/>
  <c r="A1" i="3"/>
  <c r="A1" i="2"/>
  <c r="E5" i="13"/>
  <c r="G11" i="20"/>
  <c r="G10" i="20"/>
  <c r="H7" i="20"/>
  <c r="G13" i="20" s="1"/>
  <c r="E6" i="20"/>
  <c r="E5" i="19"/>
  <c r="D15" i="19" s="1"/>
  <c r="B4" i="19"/>
  <c r="E22" i="18"/>
  <c r="D121" i="1" s="1"/>
  <c r="E5" i="18"/>
  <c r="B4" i="18"/>
  <c r="G17" i="16"/>
  <c r="G7" i="16"/>
  <c r="E6" i="16"/>
  <c r="L57" i="14"/>
  <c r="I57" i="14"/>
  <c r="L56" i="14"/>
  <c r="I56" i="14"/>
  <c r="L55" i="14"/>
  <c r="I55" i="14"/>
  <c r="L54" i="14"/>
  <c r="I54" i="14"/>
  <c r="L53" i="14"/>
  <c r="I53" i="14"/>
  <c r="L52" i="14"/>
  <c r="I52" i="14"/>
  <c r="L51" i="14"/>
  <c r="I51" i="14"/>
  <c r="L50" i="14"/>
  <c r="I50" i="14"/>
  <c r="L49" i="14"/>
  <c r="I49" i="14"/>
  <c r="L48" i="14"/>
  <c r="I48" i="14"/>
  <c r="L47" i="14"/>
  <c r="I47" i="14"/>
  <c r="L46" i="14"/>
  <c r="I46" i="14"/>
  <c r="L45" i="14"/>
  <c r="I45" i="14"/>
  <c r="L42" i="14"/>
  <c r="I42" i="14"/>
  <c r="D100" i="1" s="1"/>
  <c r="K45" i="14"/>
  <c r="M28" i="14"/>
  <c r="K27" i="14"/>
  <c r="K44" i="14" s="1"/>
  <c r="J27" i="14"/>
  <c r="J44" i="14" s="1"/>
  <c r="L24" i="14"/>
  <c r="I24" i="14"/>
  <c r="D92" i="1" s="1"/>
  <c r="G7" i="14"/>
  <c r="D6" i="14"/>
  <c r="H23" i="13"/>
  <c r="I34" i="1" s="1"/>
  <c r="E6" i="13"/>
  <c r="G10" i="13" s="1"/>
  <c r="G11" i="13" s="1"/>
  <c r="G12" i="13" s="1"/>
  <c r="G13" i="13" s="1"/>
  <c r="G14" i="13" s="1"/>
  <c r="G15" i="13" s="1"/>
  <c r="G16" i="13" s="1"/>
  <c r="G17" i="13" s="1"/>
  <c r="G18" i="13" s="1"/>
  <c r="G19" i="13" s="1"/>
  <c r="G20" i="13" s="1"/>
  <c r="G21" i="13" s="1"/>
  <c r="D19" i="19" l="1"/>
  <c r="B2" i="32"/>
  <c r="A1" i="28"/>
  <c r="A1" i="31"/>
  <c r="G19" i="20"/>
  <c r="G20" i="20"/>
  <c r="B2" i="24"/>
  <c r="B2" i="25" s="1"/>
  <c r="B2" i="26" s="1"/>
  <c r="B2" i="27" s="1"/>
  <c r="D2" i="28" s="1"/>
  <c r="G15" i="20"/>
  <c r="K46" i="14"/>
  <c r="K47" i="14"/>
  <c r="F57" i="14"/>
  <c r="F55" i="14"/>
  <c r="F54" i="14"/>
  <c r="F50" i="14"/>
  <c r="F46" i="14"/>
  <c r="F38" i="14"/>
  <c r="F34" i="14"/>
  <c r="F30" i="14"/>
  <c r="F21" i="14"/>
  <c r="F17" i="14"/>
  <c r="F53" i="14"/>
  <c r="F49" i="14"/>
  <c r="F45" i="14"/>
  <c r="F39" i="14"/>
  <c r="F35" i="14"/>
  <c r="F31" i="14"/>
  <c r="F20" i="14"/>
  <c r="F16" i="14"/>
  <c r="F56" i="14"/>
  <c r="F52" i="14"/>
  <c r="F48" i="14"/>
  <c r="F40" i="14"/>
  <c r="F36" i="14"/>
  <c r="F32" i="14"/>
  <c r="F28" i="14"/>
  <c r="F19" i="14"/>
  <c r="F15" i="14"/>
  <c r="F22" i="14"/>
  <c r="F10" i="14"/>
  <c r="F11" i="14"/>
  <c r="F29" i="14"/>
  <c r="L59" i="14"/>
  <c r="F51" i="14"/>
  <c r="J45" i="14"/>
  <c r="F33" i="14"/>
  <c r="G45" i="14"/>
  <c r="F12" i="14"/>
  <c r="F14" i="14"/>
  <c r="F47" i="14"/>
  <c r="D18" i="18"/>
  <c r="D14" i="18"/>
  <c r="D10" i="18"/>
  <c r="D17" i="18"/>
  <c r="D13" i="18"/>
  <c r="D9" i="18"/>
  <c r="D20" i="18"/>
  <c r="D16" i="18"/>
  <c r="D12" i="18"/>
  <c r="D8" i="18"/>
  <c r="D19" i="18"/>
  <c r="D15" i="18"/>
  <c r="D11" i="18"/>
  <c r="F13" i="14"/>
  <c r="F18" i="14"/>
  <c r="F37" i="14"/>
  <c r="I59" i="14"/>
  <c r="J24" i="20"/>
  <c r="D256" i="1" s="1"/>
  <c r="D20" i="19"/>
  <c r="D16" i="19"/>
  <c r="D12" i="19"/>
  <c r="D17" i="19"/>
  <c r="D13" i="19"/>
  <c r="D9" i="19"/>
  <c r="D18" i="19"/>
  <c r="D14" i="19"/>
  <c r="D10" i="19"/>
  <c r="D8" i="19"/>
  <c r="D11" i="19"/>
  <c r="E22" i="19"/>
  <c r="D125" i="1" s="1"/>
  <c r="G14" i="20"/>
  <c r="G18" i="20"/>
  <c r="G22" i="20"/>
  <c r="G17" i="20"/>
  <c r="G21" i="20"/>
  <c r="G12" i="20"/>
  <c r="G16" i="20"/>
  <c r="B2" i="31" l="1"/>
  <c r="C2" i="32" s="1"/>
  <c r="B1" i="32"/>
  <c r="F22" i="19"/>
  <c r="D126" i="1" s="1"/>
  <c r="K48" i="14"/>
  <c r="J46" i="14"/>
  <c r="H45" i="14"/>
  <c r="H46" i="14"/>
  <c r="M10" i="14"/>
  <c r="G46" i="14" l="1"/>
  <c r="M45" i="14"/>
  <c r="G47" i="14"/>
  <c r="M46" i="14"/>
  <c r="K49" i="14"/>
  <c r="H47" i="14" l="1"/>
  <c r="J48" i="14"/>
  <c r="K50" i="14"/>
  <c r="G48" i="14"/>
  <c r="J47" i="14"/>
  <c r="M47" i="14"/>
  <c r="H48" i="14"/>
  <c r="M48" i="14" l="1"/>
  <c r="K51" i="14"/>
  <c r="G49" i="14"/>
  <c r="J49" i="14"/>
  <c r="H49" i="14"/>
  <c r="H50" i="14" l="1"/>
  <c r="M49" i="14"/>
  <c r="J50" i="14"/>
  <c r="G50" i="14"/>
  <c r="K52" i="14"/>
  <c r="H51" i="14"/>
  <c r="J51" i="14" l="1"/>
  <c r="K53" i="14"/>
  <c r="M50" i="14"/>
  <c r="G51" i="14"/>
  <c r="H52" i="14" l="1"/>
  <c r="M51" i="14"/>
  <c r="K54" i="14"/>
  <c r="G52" i="14"/>
  <c r="J52" i="14"/>
  <c r="H53" i="14" l="1"/>
  <c r="G53" i="14"/>
  <c r="J53" i="14"/>
  <c r="K42" i="14"/>
  <c r="K55" i="14"/>
  <c r="M52" i="14"/>
  <c r="H54" i="14" l="1"/>
  <c r="J54" i="14"/>
  <c r="K56" i="14"/>
  <c r="M53" i="14"/>
  <c r="G54" i="14"/>
  <c r="H55" i="14"/>
  <c r="M54" i="14" l="1"/>
  <c r="K57" i="14"/>
  <c r="K59" i="14" s="1"/>
  <c r="K24" i="14"/>
  <c r="J55" i="14"/>
  <c r="H56" i="14"/>
  <c r="G55" i="14"/>
  <c r="J42" i="14"/>
  <c r="D101" i="1" s="1"/>
  <c r="G56" i="14" l="1"/>
  <c r="M55" i="14"/>
  <c r="H42" i="14"/>
  <c r="D99" i="1" s="1"/>
  <c r="J56" i="14"/>
  <c r="M56" i="14" l="1"/>
  <c r="J57" i="14"/>
  <c r="J59" i="14" s="1"/>
  <c r="J24" i="14"/>
  <c r="D93" i="1" s="1"/>
  <c r="G57" i="14"/>
  <c r="G59" i="14" s="1"/>
  <c r="G24" i="14"/>
  <c r="D90" i="1" s="1"/>
  <c r="M42" i="14"/>
  <c r="G42" i="14"/>
  <c r="D98" i="1" s="1"/>
  <c r="H57" i="14"/>
  <c r="H59" i="14" s="1"/>
  <c r="H24" i="14"/>
  <c r="D91" i="1" s="1"/>
  <c r="M57" i="14" l="1"/>
  <c r="M59" i="14" s="1"/>
  <c r="M24" i="14"/>
  <c r="K43" i="8" l="1"/>
  <c r="K32" i="8" l="1"/>
  <c r="K31" i="8"/>
  <c r="K21" i="8"/>
  <c r="K20" i="8"/>
  <c r="K19" i="8"/>
  <c r="K18" i="8"/>
  <c r="K15" i="8"/>
  <c r="M21" i="8" l="1"/>
  <c r="D240" i="1" s="1"/>
  <c r="D169" i="1"/>
  <c r="D168" i="1"/>
  <c r="K42" i="8" l="1"/>
  <c r="K41" i="8"/>
  <c r="K38" i="8"/>
  <c r="K37" i="8"/>
  <c r="K36" i="8"/>
  <c r="K35" i="8"/>
  <c r="K30" i="8"/>
  <c r="K29" i="8"/>
  <c r="K28" i="8"/>
  <c r="K27" i="8"/>
  <c r="K26" i="8"/>
  <c r="K12" i="8"/>
  <c r="M12" i="8" s="1"/>
  <c r="K11" i="8"/>
  <c r="K10" i="8"/>
  <c r="A2" i="8"/>
  <c r="A1" i="8"/>
  <c r="F29" i="5"/>
  <c r="F28" i="5"/>
  <c r="F27" i="5"/>
  <c r="F25" i="5"/>
  <c r="F23" i="5"/>
  <c r="F21" i="5"/>
  <c r="E19" i="5"/>
  <c r="E31" i="5" s="1"/>
  <c r="C11" i="3" s="1"/>
  <c r="D19" i="5"/>
  <c r="D31" i="5" s="1"/>
  <c r="C10" i="3" s="1"/>
  <c r="C19" i="5"/>
  <c r="C31" i="5" s="1"/>
  <c r="F18" i="5"/>
  <c r="F16" i="5"/>
  <c r="F15" i="5"/>
  <c r="F13" i="5"/>
  <c r="F11" i="5"/>
  <c r="F10" i="5"/>
  <c r="G27" i="4"/>
  <c r="G24" i="4"/>
  <c r="G23" i="4"/>
  <c r="G22" i="4"/>
  <c r="G19" i="4"/>
  <c r="G17" i="4"/>
  <c r="K15" i="4"/>
  <c r="K20" i="4" s="1"/>
  <c r="K25" i="4" s="1"/>
  <c r="K28" i="4" s="1"/>
  <c r="I15" i="4"/>
  <c r="I20" i="4" s="1"/>
  <c r="I25" i="4" s="1"/>
  <c r="I28" i="4" s="1"/>
  <c r="C15" i="2" s="1"/>
  <c r="F15" i="4"/>
  <c r="F20" i="4" s="1"/>
  <c r="F25" i="4" s="1"/>
  <c r="F28" i="4" s="1"/>
  <c r="E15" i="4"/>
  <c r="E20" i="4" s="1"/>
  <c r="E25" i="4" s="1"/>
  <c r="E28" i="4" s="1"/>
  <c r="D15" i="4"/>
  <c r="D20" i="4" s="1"/>
  <c r="D25" i="4" s="1"/>
  <c r="D28" i="4" s="1"/>
  <c r="C15" i="4"/>
  <c r="C20" i="4" s="1"/>
  <c r="G14" i="4"/>
  <c r="G13" i="4"/>
  <c r="G12" i="4"/>
  <c r="G11" i="4"/>
  <c r="G9" i="4"/>
  <c r="C27" i="3"/>
  <c r="A4" i="3"/>
  <c r="A4" i="4" s="1"/>
  <c r="A4" i="5" s="1"/>
  <c r="A4" i="9" s="1"/>
  <c r="A1" i="4"/>
  <c r="A1" i="5" s="1"/>
  <c r="A1" i="9" s="1"/>
  <c r="F54" i="2"/>
  <c r="C54" i="2"/>
  <c r="C46" i="2"/>
  <c r="F45" i="2"/>
  <c r="F33" i="2"/>
  <c r="C30" i="2"/>
  <c r="F28" i="2"/>
  <c r="F16" i="2"/>
  <c r="M43" i="8" l="1"/>
  <c r="C15" i="3"/>
  <c r="C16" i="3" s="1"/>
  <c r="C18" i="3" s="1"/>
  <c r="C23" i="3" s="1"/>
  <c r="C28" i="3" s="1"/>
  <c r="C31" i="3" s="1"/>
  <c r="C36" i="3" s="1"/>
  <c r="M32" i="8"/>
  <c r="D241" i="1" s="1"/>
  <c r="M38" i="8"/>
  <c r="D242" i="1" s="1"/>
  <c r="K45" i="8"/>
  <c r="F56" i="2"/>
  <c r="D239" i="1"/>
  <c r="G20" i="4"/>
  <c r="C25" i="4"/>
  <c r="G15" i="4"/>
  <c r="F19" i="5"/>
  <c r="F31" i="5" s="1"/>
  <c r="I275" i="1"/>
  <c r="M45" i="8" l="1"/>
  <c r="G241" i="1"/>
  <c r="C28" i="4"/>
  <c r="G28" i="4" s="1"/>
  <c r="C11" i="2" s="1"/>
  <c r="C16" i="2" s="1"/>
  <c r="G25" i="4"/>
  <c r="D165" i="1"/>
  <c r="L238" i="1"/>
  <c r="L231" i="1"/>
  <c r="L233" i="1" s="1"/>
  <c r="D95" i="1"/>
  <c r="D246" i="1" s="1"/>
  <c r="I222" i="1"/>
  <c r="G239" i="1"/>
  <c r="G242" i="1"/>
  <c r="D249" i="1"/>
  <c r="G247" i="1" s="1"/>
  <c r="I230" i="1"/>
  <c r="D106" i="1"/>
  <c r="D107" i="1"/>
  <c r="D108" i="1"/>
  <c r="D109" i="1"/>
  <c r="G255" i="1"/>
  <c r="D257" i="1"/>
  <c r="E255" i="1" s="1"/>
  <c r="G256" i="1"/>
  <c r="I41" i="1"/>
  <c r="D14" i="1"/>
  <c r="I164" i="1"/>
  <c r="D185" i="1"/>
  <c r="D189" i="1" s="1"/>
  <c r="D193" i="1" s="1"/>
  <c r="D119" i="1"/>
  <c r="D110" i="1"/>
  <c r="D182" i="1"/>
  <c r="D171" i="1"/>
  <c r="D216" i="1"/>
  <c r="K281" i="1"/>
  <c r="I157" i="1"/>
  <c r="F180" i="1"/>
  <c r="F162" i="1"/>
  <c r="D13" i="1"/>
  <c r="I266" i="1"/>
  <c r="F117" i="1"/>
  <c r="D283" i="1"/>
  <c r="D282" i="1"/>
  <c r="C281" i="1"/>
  <c r="B281" i="1"/>
  <c r="D215" i="1"/>
  <c r="K215" i="1"/>
  <c r="B215" i="1"/>
  <c r="K148" i="1"/>
  <c r="D149" i="1"/>
  <c r="D148" i="1"/>
  <c r="B148" i="1"/>
  <c r="K82" i="1"/>
  <c r="D83" i="1"/>
  <c r="D82" i="1"/>
  <c r="B82" i="1"/>
  <c r="I53" i="1"/>
  <c r="I52" i="1"/>
  <c r="F99" i="1"/>
  <c r="F121" i="1" s="1"/>
  <c r="D218" i="1"/>
  <c r="D151" i="1"/>
  <c r="D85" i="1"/>
  <c r="F176" i="1"/>
  <c r="B170" i="1"/>
  <c r="B168" i="1"/>
  <c r="F160" i="1"/>
  <c r="F161" i="1" s="1"/>
  <c r="B102" i="1"/>
  <c r="B110" i="1" s="1"/>
  <c r="B101" i="1"/>
  <c r="B109" i="1" s="1"/>
  <c r="B100" i="1"/>
  <c r="B108" i="1" s="1"/>
  <c r="B99" i="1"/>
  <c r="B107" i="1" s="1"/>
  <c r="B98" i="1"/>
  <c r="B106" i="1" s="1"/>
  <c r="D103" i="1"/>
  <c r="F102" i="1"/>
  <c r="F101" i="1"/>
  <c r="G100" i="1"/>
  <c r="F100" i="1"/>
  <c r="G98" i="1"/>
  <c r="F98" i="1"/>
  <c r="F14" i="1"/>
  <c r="D124" i="1" l="1"/>
  <c r="D127" i="1" s="1"/>
  <c r="N28" i="4"/>
  <c r="C22" i="2"/>
  <c r="C56" i="2" s="1"/>
  <c r="D243" i="1"/>
  <c r="I225" i="1"/>
  <c r="I227" i="1" s="1"/>
  <c r="E256" i="1"/>
  <c r="I256" i="1" s="1"/>
  <c r="L239" i="1"/>
  <c r="D111" i="1"/>
  <c r="G240" i="1"/>
  <c r="G243" i="1" s="1"/>
  <c r="I232" i="1"/>
  <c r="I234" i="1" s="1"/>
  <c r="I255" i="1"/>
  <c r="D129" i="1" l="1"/>
  <c r="I243" i="1"/>
  <c r="G93" i="1" s="1"/>
  <c r="G101" i="1" s="1"/>
  <c r="I101" i="1" s="1"/>
  <c r="I257" i="1"/>
  <c r="I260" i="1" s="1"/>
  <c r="G13" i="1"/>
  <c r="G15" i="1" s="1"/>
  <c r="I15" i="1" s="1"/>
  <c r="I235" i="1"/>
  <c r="I236" i="1" s="1"/>
  <c r="G156" i="1" s="1"/>
  <c r="G91" i="1"/>
  <c r="E257" i="1"/>
  <c r="G161" i="1" l="1"/>
  <c r="I161" i="1" s="1"/>
  <c r="I247" i="1"/>
  <c r="K247" i="1" s="1"/>
  <c r="G94" i="1" s="1"/>
  <c r="G102" i="1" s="1"/>
  <c r="I102" i="1" s="1"/>
  <c r="G159" i="1"/>
  <c r="I159" i="1" s="1"/>
  <c r="I93" i="1"/>
  <c r="I109" i="1" s="1"/>
  <c r="I13" i="1"/>
  <c r="G160" i="1"/>
  <c r="I160" i="1" s="1"/>
  <c r="D196" i="1"/>
  <c r="D186" i="1"/>
  <c r="G16" i="1"/>
  <c r="I16" i="1" s="1"/>
  <c r="G14" i="1"/>
  <c r="I14" i="1" s="1"/>
  <c r="G99" i="1"/>
  <c r="I91" i="1"/>
  <c r="G125" i="1"/>
  <c r="I125" i="1" s="1"/>
  <c r="G162" i="1"/>
  <c r="I162" i="1" s="1"/>
  <c r="I156" i="1"/>
  <c r="G158" i="1"/>
  <c r="I158" i="1" s="1"/>
  <c r="G169" i="1" l="1"/>
  <c r="I169" i="1" s="1"/>
  <c r="I94" i="1"/>
  <c r="I95" i="1" s="1"/>
  <c r="G95" i="1" s="1"/>
  <c r="G163" i="1"/>
  <c r="I163" i="1" s="1"/>
  <c r="I165" i="1" s="1"/>
  <c r="I124" i="1" s="1"/>
  <c r="I17" i="1"/>
  <c r="D192" i="1"/>
  <c r="D194" i="1" s="1"/>
  <c r="D199" i="1" s="1"/>
  <c r="D208" i="1" s="1"/>
  <c r="I99" i="1"/>
  <c r="I107" i="1" s="1"/>
  <c r="G121" i="1"/>
  <c r="G175" i="1" l="1"/>
  <c r="G176" i="1" s="1"/>
  <c r="I176" i="1" s="1"/>
  <c r="I110" i="1"/>
  <c r="I111" i="1" s="1"/>
  <c r="G111" i="1" s="1"/>
  <c r="G115" i="1" s="1"/>
  <c r="G170" i="1"/>
  <c r="I170" i="1" s="1"/>
  <c r="G168" i="1"/>
  <c r="I168" i="1" s="1"/>
  <c r="I121" i="1"/>
  <c r="I103" i="1"/>
  <c r="G178" i="1"/>
  <c r="G126" i="1"/>
  <c r="I126" i="1" s="1"/>
  <c r="I127" i="1" s="1"/>
  <c r="I175" i="1" l="1"/>
  <c r="I171" i="1"/>
  <c r="G193" i="1"/>
  <c r="I193" i="1" s="1"/>
  <c r="G116" i="1"/>
  <c r="I115" i="1"/>
  <c r="I178" i="1"/>
  <c r="G180" i="1"/>
  <c r="G181" i="1" l="1"/>
  <c r="I181" i="1" s="1"/>
  <c r="I180" i="1"/>
  <c r="G117" i="1"/>
  <c r="I117" i="1" s="1"/>
  <c r="G118" i="1"/>
  <c r="I118" i="1" s="1"/>
  <c r="I116" i="1"/>
  <c r="I119" i="1" l="1"/>
  <c r="I129" i="1" s="1"/>
  <c r="I196" i="1" s="1"/>
  <c r="I182" i="1"/>
  <c r="I192" i="1" l="1"/>
  <c r="I194" i="1" s="1"/>
  <c r="I199" i="1" s="1"/>
  <c r="I208" i="1" s="1"/>
  <c r="I10" i="1" s="1"/>
  <c r="I31" i="1" l="1"/>
  <c r="D43" i="1" s="1"/>
  <c r="D48" i="1" s="1"/>
  <c r="D49" i="1" l="1"/>
  <c r="I47" i="1"/>
  <c r="D47" i="1"/>
  <c r="I48" i="1"/>
  <c r="I49" i="1"/>
  <c r="D44" i="1"/>
</calcChain>
</file>

<file path=xl/sharedStrings.xml><?xml version="1.0" encoding="utf-8"?>
<sst xmlns="http://schemas.openxmlformats.org/spreadsheetml/2006/main" count="1095" uniqueCount="789">
  <si>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</si>
  <si>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</si>
  <si>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</si>
  <si>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</si>
  <si>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</si>
  <si>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</si>
  <si>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</si>
  <si>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</si>
  <si>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</si>
  <si>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</si>
  <si>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</si>
  <si>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</si>
  <si>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</si>
  <si>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</si>
  <si>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</si>
  <si>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</si>
  <si>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</si>
  <si>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</si>
  <si>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</si>
  <si>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</si>
  <si>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</si>
  <si>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</si>
  <si>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</si>
  <si>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</si>
  <si>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</si>
  <si>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</si>
  <si>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</si>
  <si>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</si>
  <si>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</si>
  <si>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</si>
  <si>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</si>
  <si>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</si>
  <si>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</si>
  <si>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</si>
  <si>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</si>
  <si>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</si>
  <si>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</si>
  <si>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</si>
  <si>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</si>
  <si>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</si>
  <si>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</si>
  <si>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</si>
  <si>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</si>
  <si>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</si>
  <si>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</si>
  <si>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</si>
  <si>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</si>
  <si>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</si>
  <si>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</si>
  <si>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</si>
  <si>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</si>
  <si>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</si>
  <si>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</si>
  <si>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</si>
  <si>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</si>
  <si>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</si>
  <si>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</si>
  <si>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</si>
  <si>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</si>
  <si>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</si>
  <si>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</si>
  <si>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</si>
  <si>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</si>
  <si>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</si>
  <si>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</si>
  <si>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</si>
  <si>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</si>
  <si>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</si>
  <si>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</si>
  <si>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</si>
  <si>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</si>
  <si>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</si>
  <si>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</si>
  <si>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</si>
  <si>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</si>
  <si>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</si>
  <si>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</si>
  <si>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</si>
  <si>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</si>
  <si>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</si>
  <si>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</si>
  <si>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</si>
  <si>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</si>
  <si>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</si>
  <si>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</si>
  <si>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</si>
  <si>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</si>
  <si>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</si>
  <si>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</si>
  <si>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</si>
  <si>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</si>
  <si>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</si>
  <si>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</si>
  <si>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</si>
  <si>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</si>
  <si>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</si>
  <si>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</si>
  <si>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</si>
  <si>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</si>
  <si>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</si>
  <si>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</si>
  <si>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</si>
  <si>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</si>
  <si>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</si>
  <si>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</si>
  <si>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</si>
  <si>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</si>
  <si>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</si>
  <si>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</si>
  <si>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</si>
  <si>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</si>
  <si>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</si>
  <si>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</si>
  <si>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</si>
  <si>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</si>
  <si>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</si>
  <si>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</si>
  <si>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</si>
  <si>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</si>
  <si>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</si>
  <si>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</si>
  <si>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</si>
  <si>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</si>
  <si>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</si>
  <si>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</si>
  <si>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</si>
  <si>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</si>
  <si>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</si>
  <si>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</si>
  <si>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</si>
  <si>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</si>
  <si>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</si>
  <si>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</si>
  <si>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</si>
  <si>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</si>
  <si>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</si>
  <si>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</si>
  <si>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</si>
  <si>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</si>
  <si>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</si>
  <si>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</si>
  <si>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</si>
  <si>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</si>
  <si>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</si>
  <si>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</si>
  <si>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</si>
  <si>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</si>
  <si>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</si>
  <si>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</si>
  <si>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</si>
  <si>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</si>
  <si>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</si>
  <si>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</si>
  <si>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</si>
  <si>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</si>
  <si>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</si>
  <si>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</si>
  <si>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</si>
  <si>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</si>
  <si>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</si>
  <si>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</si>
  <si>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</si>
  <si>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</si>
  <si>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</si>
  <si>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</si>
  <si>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</si>
  <si>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</si>
  <si>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</si>
  <si>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</si>
  <si>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</si>
  <si>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</si>
  <si>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</si>
  <si>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</si>
  <si>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</si>
  <si>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</si>
  <si>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</si>
  <si>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</si>
  <si>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</si>
  <si>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</si>
  <si>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</si>
  <si>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</si>
  <si>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</si>
  <si>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</si>
  <si>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</si>
  <si>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</si>
  <si>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</si>
  <si>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</si>
  <si>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</si>
  <si>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</si>
  <si>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</si>
  <si>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</si>
  <si>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</si>
  <si>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</si>
  <si>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Schedule 1 Recoveralbe Expenses</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</si>
  <si>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</si>
  <si>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</si>
  <si>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</si>
  <si>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</si>
  <si>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</si>
  <si>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</si>
  <si>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</si>
  <si>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</si>
  <si>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</si>
  <si>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</si>
  <si>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</si>
  <si>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</si>
  <si>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</si>
  <si>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</si>
  <si>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</si>
  <si>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</si>
  <si>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</si>
  <si>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</si>
  <si>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</si>
  <si>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</si>
  <si>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</si>
  <si>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</si>
  <si>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</si>
  <si>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</si>
  <si>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</si>
  <si>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</si>
  <si>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</si>
  <si>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</si>
  <si>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</si>
  <si>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</si>
  <si>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</si>
  <si>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</si>
  <si>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</si>
  <si>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</si>
  <si>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</si>
  <si>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</si>
  <si>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</si>
  <si>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</si>
  <si>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</si>
  <si>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</si>
  <si>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</si>
  <si>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</si>
  <si>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</si>
  <si>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</si>
  <si>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</si>
  <si>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</si>
  <si>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</si>
  <si>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</si>
  <si>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</si>
  <si>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</si>
  <si>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</si>
  <si>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</si>
  <si>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</si>
  <si>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</si>
  <si>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</si>
  <si>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</si>
  <si>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</si>
  <si>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</si>
  <si>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</si>
  <si>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</si>
  <si>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</si>
  <si>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</si>
  <si>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</si>
  <si>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</si>
  <si>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</si>
  <si>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</si>
  <si>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</si>
  <si>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</si>
  <si>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</si>
  <si>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</si>
  <si>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</si>
  <si>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</si>
  <si>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</si>
  <si>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</si>
  <si>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</si>
  <si>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</si>
  <si>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</si>
  <si>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</si>
  <si>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</si>
  <si>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</si>
  <si>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</si>
  <si>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</si>
  <si>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</si>
  <si>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</si>
  <si>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</si>
  <si>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</si>
  <si>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</si>
  <si>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</si>
  <si>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</si>
  <si>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</si>
  <si>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</si>
  <si>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</si>
  <si>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</si>
  <si>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</si>
  <si>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</si>
  <si>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</si>
  <si>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</si>
  <si>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</si>
  <si>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r>
      <t>Removes transmission plant determined  to be state-jurisdictional by Commission order according to the seven-factor test (until EIA 412 balances are adjusted to reflect applicat</t>
    </r>
    <r>
      <rPr>
        <sz val="12"/>
        <color rgb="FFFF0000"/>
        <rFont val="Times New Roman"/>
        <family val="1"/>
      </rPr>
      <t>i</t>
    </r>
    <r>
      <rPr>
        <sz val="12"/>
        <rFont val="Times New Roman"/>
        <family val="1"/>
      </rPr>
      <t>on of seven-factor test).</t>
    </r>
  </si>
  <si>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</si>
  <si>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</si>
  <si>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</si>
  <si>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</si>
  <si>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</si>
  <si>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</si>
  <si>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</si>
  <si>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</si>
  <si>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</si>
  <si>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</si>
  <si>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</si>
  <si>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</si>
  <si>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</si>
  <si>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</si>
  <si>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</si>
  <si>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</si>
  <si>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</si>
  <si>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</si>
  <si>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</si>
  <si>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</si>
  <si>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</si>
  <si>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</si>
  <si>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</si>
  <si>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</si>
  <si>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</si>
  <si>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</si>
  <si>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</si>
  <si>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</si>
  <si>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</si>
  <si>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</si>
  <si>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</si>
  <si>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</si>
  <si>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</si>
  <si>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</si>
  <si>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</si>
  <si>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</si>
  <si>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</si>
  <si>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</si>
  <si>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</si>
  <si>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</si>
  <si>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</si>
  <si>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</si>
  <si>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</si>
  <si>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</si>
  <si>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</si>
  <si>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</si>
  <si>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</si>
  <si>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</si>
  <si>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</si>
  <si>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</si>
  <si>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</si>
  <si>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</si>
  <si>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</si>
  <si>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</si>
  <si>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</si>
  <si>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</si>
  <si>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</si>
  <si>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</si>
  <si>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</si>
  <si>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</si>
  <si>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</si>
  <si>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</si>
  <si>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</si>
  <si>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</si>
  <si>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</si>
  <si>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</si>
  <si>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</si>
  <si>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</si>
  <si>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</si>
  <si>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</si>
  <si>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</si>
  <si>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</si>
  <si>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</si>
  <si>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</si>
  <si>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</si>
  <si>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</si>
  <si>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</si>
  <si>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</si>
  <si>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</si>
  <si>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</si>
  <si>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</si>
  <si>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</si>
  <si>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</si>
  <si>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</si>
  <si>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</si>
  <si>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</si>
  <si>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</si>
  <si>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</si>
  <si>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</si>
  <si>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</si>
  <si>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</si>
  <si>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</si>
  <si>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</si>
  <si>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</si>
  <si>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</si>
  <si>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</si>
  <si>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</si>
  <si>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</si>
  <si>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</si>
  <si>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</si>
  <si>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</si>
  <si>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</si>
  <si>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</si>
  <si>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</si>
  <si>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</si>
  <si>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</si>
  <si>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</si>
  <si>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</si>
  <si>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</si>
  <si>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</si>
  <si>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</si>
  <si>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</si>
  <si>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</si>
  <si>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</si>
  <si>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</si>
  <si>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</si>
  <si>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</si>
  <si>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</si>
  <si>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</si>
  <si>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</si>
  <si>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</si>
  <si>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</si>
  <si>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</si>
  <si>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</si>
  <si>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</si>
  <si>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</si>
  <si>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</si>
  <si>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</si>
  <si>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</si>
  <si>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</si>
  <si>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</si>
  <si>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</si>
  <si>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</si>
  <si>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</si>
  <si>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</si>
  <si>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</si>
  <si>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</si>
  <si>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</si>
  <si>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</si>
  <si>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</si>
  <si>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</si>
  <si>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</si>
  <si>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</si>
  <si>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</si>
  <si>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</si>
  <si>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</si>
  <si>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</si>
  <si>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</si>
  <si>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</si>
  <si>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</si>
  <si>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</si>
  <si>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</si>
  <si>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</si>
  <si>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</si>
  <si>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</si>
  <si>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</si>
  <si>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</si>
  <si>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</si>
  <si>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</si>
  <si>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</si>
  <si>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</si>
  <si>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</si>
  <si>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</si>
  <si>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</si>
  <si>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</si>
  <si>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</si>
  <si>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</si>
  <si>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</si>
  <si>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</si>
  <si>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</si>
  <si>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</si>
  <si>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</si>
  <si>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</si>
  <si>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</si>
  <si>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</si>
  <si>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</si>
  <si>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</si>
  <si>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</si>
  <si>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</si>
  <si>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</si>
  <si>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</si>
  <si>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</si>
  <si>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</si>
  <si>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</si>
  <si>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</si>
  <si>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</si>
  <si>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</si>
  <si>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</si>
  <si>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</si>
  <si>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</si>
  <si>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</si>
  <si>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</si>
  <si>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</si>
  <si>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 xml:space="preserve">Other </t>
  </si>
  <si>
    <t xml:space="preserve">Salaries and Benefits - Supplemental Data for Att O's Wages &amp; Salary Allocator </t>
  </si>
  <si>
    <t>Retirement</t>
  </si>
  <si>
    <t>Accounts</t>
  </si>
  <si>
    <t>Taxes</t>
  </si>
  <si>
    <t>Benefits</t>
  </si>
  <si>
    <t>Production / Generation</t>
  </si>
  <si>
    <t>Station Expense</t>
  </si>
  <si>
    <t>Transmission:</t>
  </si>
  <si>
    <t>Distribution:</t>
  </si>
  <si>
    <t>Administrative &amp; General</t>
  </si>
  <si>
    <t>Schedule 5</t>
  </si>
  <si>
    <t xml:space="preserve">Line </t>
  </si>
  <si>
    <t>Taxes other than Income Taxes, Operating Income</t>
  </si>
  <si>
    <t>Payroll Taxes:</t>
  </si>
  <si>
    <t xml:space="preserve">Plant Related Taxes: </t>
  </si>
  <si>
    <t xml:space="preserve">  Highway Taxes</t>
  </si>
  <si>
    <t xml:space="preserve">  Property Taxes</t>
  </si>
  <si>
    <t xml:space="preserve">  Gross Receipts Taxes</t>
  </si>
  <si>
    <t>Payment In Lieu of Taxes (Transfer)</t>
  </si>
  <si>
    <t>Distribution</t>
  </si>
  <si>
    <r>
      <t xml:space="preserve">FICA, other payroll taxes, and retirement benefits include only those expenses that are </t>
    </r>
    <r>
      <rPr>
        <b/>
        <u/>
        <sz val="10"/>
        <rFont val="Arial mt"/>
      </rPr>
      <t>directly</t>
    </r>
    <r>
      <rPr>
        <b/>
        <sz val="10"/>
        <rFont val="Arial MT"/>
      </rPr>
      <t xml:space="preserve"> allocated to each account.</t>
    </r>
  </si>
  <si>
    <t>Wages &amp; Salary detail is shown in Salaries Tab</t>
  </si>
  <si>
    <t xml:space="preserve">Marshall (Minnesota) Municipal Utilities </t>
  </si>
  <si>
    <t>Marshall (Minnesota) Municipal Utilities</t>
  </si>
  <si>
    <t>Employees' Welfare</t>
  </si>
  <si>
    <t>Operating Supervisor</t>
  </si>
  <si>
    <t>Maintanence</t>
  </si>
  <si>
    <t>Maintenance Supervision</t>
  </si>
  <si>
    <t>Load Dispatching</t>
  </si>
  <si>
    <t>Maintenance of Lines</t>
  </si>
  <si>
    <t>Equipment Maintenance</t>
  </si>
  <si>
    <t>MMU Salaries Only</t>
  </si>
  <si>
    <t>Meter Reading Salaries</t>
  </si>
  <si>
    <t>Customer Records &amp; Collection Salaries</t>
  </si>
  <si>
    <t>Salaries of Executives</t>
  </si>
  <si>
    <t>General Office Salaries</t>
  </si>
  <si>
    <t>Customer Installation Expense Salaries</t>
  </si>
  <si>
    <t>FICA/Medicare</t>
  </si>
  <si>
    <t>includes FICA &amp; Medicare ER match</t>
  </si>
  <si>
    <t>includes ER PERA &amp; deferred comp match</t>
  </si>
  <si>
    <t>seasonal "summer help"</t>
  </si>
  <si>
    <t xml:space="preserve">Includes all Other Employer Paid Benefits </t>
  </si>
  <si>
    <t>January</t>
  </si>
  <si>
    <t>February</t>
  </si>
  <si>
    <t>March</t>
  </si>
  <si>
    <t>April</t>
  </si>
  <si>
    <t>May</t>
  </si>
  <si>
    <t>June</t>
  </si>
  <si>
    <t>July</t>
  </si>
  <si>
    <t>August</t>
  </si>
  <si>
    <t>September</t>
  </si>
  <si>
    <t>October</t>
  </si>
  <si>
    <t>November</t>
  </si>
  <si>
    <t>December</t>
  </si>
  <si>
    <t>Customer Installation - DSM</t>
  </si>
  <si>
    <t>Rental and Lease Income (454)</t>
  </si>
  <si>
    <t>Audit Net Income</t>
  </si>
  <si>
    <t>Total above</t>
  </si>
  <si>
    <t xml:space="preserve">Attachment O Workpapers </t>
  </si>
  <si>
    <t>Forecasted 12 Months Ended December 31,</t>
  </si>
  <si>
    <t>Attachment O Workpapers - Divisor</t>
  </si>
  <si>
    <t>Line No.</t>
  </si>
  <si>
    <t xml:space="preserve">Month </t>
  </si>
  <si>
    <t>Year</t>
  </si>
  <si>
    <t>12 Month Average</t>
  </si>
  <si>
    <t>Attach O, page 1, line 8</t>
  </si>
  <si>
    <t>Attachment O Workpapers - Plant</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</si>
  <si>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</si>
  <si>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</si>
  <si>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</si>
  <si>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</si>
  <si>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</si>
  <si>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</si>
  <si>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</si>
  <si>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</si>
  <si>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</si>
  <si>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</si>
  <si>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</si>
  <si>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</si>
  <si>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</si>
  <si>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</si>
  <si>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</si>
  <si>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</si>
  <si>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8</t>
  </si>
  <si>
    <t>Line 9</t>
  </si>
  <si>
    <t>Line 10</t>
  </si>
  <si>
    <t>Line 11</t>
  </si>
  <si>
    <t>Net Plant</t>
  </si>
  <si>
    <t>Total Net Plant in Service</t>
  </si>
  <si>
    <t>Attachment O Workpapers - Adjustments to Rate Base</t>
  </si>
  <si>
    <t>Adjustments to Rate Base</t>
  </si>
  <si>
    <t>Account 281 (enter as negative)</t>
  </si>
  <si>
    <t>Account 282  (enter as negative)</t>
  </si>
  <si>
    <t>Account 283  (enter as negative)</t>
  </si>
  <si>
    <t>Account 190</t>
  </si>
  <si>
    <t>Account 255  (enter as negative)</t>
  </si>
  <si>
    <t>Total Adjustments to Rate Base</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</si>
  <si>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</si>
  <si>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</si>
  <si>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Line 27</t>
  </si>
  <si>
    <t>Line 28</t>
  </si>
  <si>
    <t>Attachment O Workpapers - Capital Structure</t>
  </si>
  <si>
    <t>Outstanding Long-term Debt</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</si>
  <si>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</si>
  <si>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</si>
  <si>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</si>
  <si>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</si>
  <si>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</si>
  <si>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</si>
  <si>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</si>
  <si>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</si>
  <si>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</si>
  <si>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</si>
  <si>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</si>
  <si>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</si>
  <si>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</si>
  <si>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</si>
  <si>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</si>
  <si>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</si>
  <si>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</si>
  <si>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</si>
  <si>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</si>
  <si>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</si>
  <si>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</si>
  <si>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</si>
  <si>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</si>
  <si>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</si>
  <si>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</si>
  <si>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</si>
  <si>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</si>
  <si>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</si>
  <si>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</si>
  <si>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</si>
  <si>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</si>
  <si>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</si>
  <si>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</si>
  <si>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</si>
  <si>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</si>
  <si>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</si>
  <si>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</si>
  <si>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</si>
  <si>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</si>
  <si>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</si>
  <si>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</si>
  <si>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</si>
  <si>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</si>
  <si>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</si>
  <si>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</si>
  <si>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</si>
  <si>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12 CP Load</t>
  </si>
  <si>
    <t>2015 Depreciation</t>
  </si>
  <si>
    <t>Attachment O Workpapers - Transmission Materials &amp; Supplies and Total Prepayments</t>
  </si>
  <si>
    <t>Transmission Materials and Supplies</t>
  </si>
  <si>
    <t>Total Prepayments - Account 165</t>
  </si>
  <si>
    <t>Total Transmission O&amp;M Expense</t>
  </si>
  <si>
    <t>Please provide the following information:</t>
  </si>
  <si>
    <t>If you report zero for accounts 561.4 &amp; 561.8 - please provide a brief written statement indicating that you do not have</t>
  </si>
  <si>
    <t>If you report zero for account 565 - please provide a brief written statement indicating that you do not have</t>
  </si>
  <si>
    <t>Customer Accts &amp; Admin and General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</si>
  <si>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</si>
  <si>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</si>
  <si>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</si>
  <si>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</si>
  <si>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</si>
  <si>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</si>
  <si>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</si>
  <si>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</si>
  <si>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</si>
  <si>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</si>
  <si>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</si>
  <si>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</si>
  <si>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</si>
  <si>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</si>
  <si>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Sales Expenses</t>
  </si>
  <si>
    <t>911 – Supervision</t>
  </si>
  <si>
    <t>912 – Demonstrating and Selling Expenses</t>
  </si>
  <si>
    <t>913 – Advertising Expenses</t>
  </si>
  <si>
    <t>916 – Miscellaneous Sales Expenses</t>
  </si>
  <si>
    <t>Attach O, page 3, line 3 and EAI 412, Sch 7, line 13</t>
  </si>
  <si>
    <t>Attachment O, page 3, line 4</t>
  </si>
  <si>
    <t>Account</t>
  </si>
  <si>
    <t>FERC fees recorded to expense during the year</t>
  </si>
  <si>
    <t>Charged</t>
  </si>
  <si>
    <t>FERC fees payable to FERC</t>
  </si>
  <si>
    <t>FERC fees paid to MISO via Schedule 10-FERC</t>
  </si>
  <si>
    <t>Other FERC fees paid</t>
  </si>
  <si>
    <t>at any time during the year, and therefore did not record any FERC Fees to</t>
  </si>
  <si>
    <t>expense during the year.</t>
  </si>
  <si>
    <t>Attachment O, page 3, lines 5 and 5a</t>
  </si>
  <si>
    <t>EPRI Costs</t>
  </si>
  <si>
    <t>recorded in Usof A account ________, relfected in I/S in _______ exp</t>
  </si>
  <si>
    <r>
      <t xml:space="preserve">Regulatory Commission Expense (provide a brief but descriptive list of charges)  </t>
    </r>
    <r>
      <rPr>
        <b/>
        <u/>
        <sz val="11"/>
        <color theme="1"/>
        <rFont val="Calibri"/>
        <family val="2"/>
        <scheme val="minor"/>
      </rPr>
      <t>Indicate by yellow highlight if Transmission Related</t>
    </r>
  </si>
  <si>
    <t>Fuel adjustment clause docket XX</t>
  </si>
  <si>
    <t>recorded in USofA account ________, relfected in I/S in _________ exp</t>
  </si>
  <si>
    <t>Non Safety Advertising (provide a brief but descriptive list of charges</t>
  </si>
  <si>
    <t>Xxxxxxxx</t>
  </si>
  <si>
    <t>recorded in USofA account ________, relfected in I/S in ________ exp</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</si>
  <si>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</si>
  <si>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</si>
  <si>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</si>
  <si>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</si>
  <si>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</si>
  <si>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</si>
  <si>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</si>
  <si>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</si>
  <si>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</si>
  <si>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</si>
  <si>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</si>
  <si>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</si>
  <si>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</si>
  <si>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</si>
  <si>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</si>
  <si>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</si>
  <si>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Account 454 (Rent from Electric Property)</t>
  </si>
  <si>
    <t>Attachment O, page 4, line 30</t>
  </si>
  <si>
    <t>Property Description</t>
  </si>
  <si>
    <t>XXXXX</t>
  </si>
  <si>
    <t>Total Rent Income</t>
  </si>
  <si>
    <t>Includes income related only to transmission facilities,</t>
  </si>
  <si>
    <t>such as pole attachments, rentals and special use.</t>
  </si>
  <si>
    <t xml:space="preserve">
</t>
  </si>
  <si>
    <t>Should tie to a financial statement line item - if not please</t>
  </si>
  <si>
    <t>indicate what line of the audited financials reflectes Pre Payments</t>
  </si>
  <si>
    <t xml:space="preserve">and indicate what other items are included in that financial statement line item </t>
  </si>
  <si>
    <t>by providing a brief but descriptive explanation</t>
  </si>
  <si>
    <t>Account 456.1 (Other Electric Revenues)</t>
  </si>
  <si>
    <t>Account 456.1</t>
  </si>
  <si>
    <t>Revenue</t>
  </si>
  <si>
    <t>MISO Schedule 7 &amp; 8</t>
  </si>
  <si>
    <t>MISO Schedule 9</t>
  </si>
  <si>
    <t>MISO Schedule 1</t>
  </si>
  <si>
    <t>MISO Schedule 2</t>
  </si>
  <si>
    <t>MISO Schedule 24</t>
  </si>
  <si>
    <t>MISO Schedule 26 (NUC)</t>
  </si>
  <si>
    <t>MISO Schedule 26-A (MVP)</t>
  </si>
  <si>
    <t>Other (provide description / explanation below)</t>
  </si>
  <si>
    <t>Total Revenue</t>
  </si>
  <si>
    <t>Attachment O, pg. 4, Line 31</t>
  </si>
  <si>
    <t xml:space="preserve">  b. Transmission charges for all transmission transactions included in Divisor on Page 1</t>
  </si>
  <si>
    <t>Attachment O, pg. 4, Line 32</t>
  </si>
  <si>
    <t>Attachment O, pg. 4, Line 32a</t>
  </si>
  <si>
    <t>Attachment O, pg. 4, Line 32b</t>
  </si>
  <si>
    <t>Total of (a)-(b)-(c)-(d)</t>
  </si>
  <si>
    <t>Attachment O, pg .4, Line 33</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</si>
  <si>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</si>
  <si>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</si>
  <si>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</si>
  <si>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</si>
  <si>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</si>
  <si>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</si>
  <si>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</si>
  <si>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</si>
  <si>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</si>
  <si>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</si>
  <si>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</si>
  <si>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</si>
  <si>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</si>
  <si>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</si>
  <si>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</si>
  <si>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</si>
  <si>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</si>
  <si>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</si>
  <si>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</si>
  <si>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</si>
  <si>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</si>
  <si>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Total Operation Expense</t>
  </si>
  <si>
    <t>Total Maintenance Expense</t>
  </si>
  <si>
    <t xml:space="preserve"> Propritary Capital (Retained Earnings)</t>
  </si>
  <si>
    <t>EIA Form 412</t>
  </si>
  <si>
    <t>Schedule 2, Line  31</t>
  </si>
  <si>
    <t>Schedule 2, Line  33</t>
  </si>
  <si>
    <t>Unamortized Discount on Long-term Debt</t>
  </si>
  <si>
    <t>Schedule 2, Line  36</t>
  </si>
  <si>
    <t>Operation Supervision</t>
  </si>
  <si>
    <t>EIA 412, Sch 7, line 12</t>
  </si>
  <si>
    <t>For the 12 months ended 12/31/15</t>
  </si>
  <si>
    <r>
      <t xml:space="preserve">What line of the audited financial statements includes the Transmission O&amp;M Expense?  </t>
    </r>
    <r>
      <rPr>
        <sz val="11"/>
        <color theme="9" tint="-0.499984740745262"/>
        <rFont val="Calibri"/>
        <family val="2"/>
        <scheme val="minor"/>
      </rPr>
      <t>In the Schedules of Revenues, Expenses, and Changes in Net Position - Electric Department, there is a Transmission Cost section that includes these amounts</t>
    </r>
  </si>
  <si>
    <r>
      <t xml:space="preserve">Provide a brief but descriptive list of the items and associated amounts reflected in that line of the financial statements     </t>
    </r>
    <r>
      <rPr>
        <sz val="11"/>
        <color theme="9" tint="-0.499984740745262"/>
        <rFont val="Calibri"/>
        <family val="2"/>
        <scheme val="minor"/>
      </rPr>
      <t>The total Transmission Costs line includes Salary and Benefits, Transmission by Others, Outside Services Costs, and Station and Maintenance expenses.</t>
    </r>
  </si>
  <si>
    <r>
      <t xml:space="preserve">any of these expenses.     </t>
    </r>
    <r>
      <rPr>
        <sz val="11"/>
        <color theme="9" tint="-0.499984740745262"/>
        <rFont val="Calibri"/>
        <family val="2"/>
        <scheme val="minor"/>
      </rPr>
      <t xml:space="preserve">We do not have any expenses related to Scheduling, System Control and Dispatching Services, or Reliability, Planning and Standards Development Service.  </t>
    </r>
  </si>
  <si>
    <r>
      <t xml:space="preserve">any of these expenses.     </t>
    </r>
    <r>
      <rPr>
        <sz val="11"/>
        <color theme="9" tint="-0.499984740745262"/>
        <rFont val="Calibri"/>
        <family val="2"/>
        <scheme val="minor"/>
      </rPr>
      <t>N/A</t>
    </r>
  </si>
  <si>
    <r>
      <t xml:space="preserve">If you have account 565 expenses - provide brief but descriptive detail of the 565 expenses     </t>
    </r>
    <r>
      <rPr>
        <sz val="11"/>
        <color theme="9" tint="-0.499984740745262"/>
        <rFont val="Calibri"/>
        <family val="2"/>
        <scheme val="minor"/>
      </rPr>
      <t>This account is the projected cost of transmission of Eletricity by Others, based on a 2015 usage forecast of electricity and the projected power and transmission charges, using the Network Integrated Transmission Service (NITS) Rate.</t>
    </r>
  </si>
  <si>
    <r>
      <rPr>
        <sz val="11"/>
        <color theme="9" tint="-0.499984740745262"/>
        <rFont val="Calibri"/>
        <family val="2"/>
        <scheme val="minor"/>
      </rPr>
      <t>Marshall Municipal Utilities</t>
    </r>
    <r>
      <rPr>
        <sz val="11"/>
        <color theme="1"/>
        <rFont val="Calibri"/>
        <family val="2"/>
        <scheme val="minor"/>
      </rPr>
      <t xml:space="preserve"> is not a FERC regulated company and was not a member of an RTO  </t>
    </r>
  </si>
  <si>
    <r>
      <t>If a zero is reported</t>
    </r>
    <r>
      <rPr>
        <b/>
        <u/>
        <sz val="11"/>
        <color theme="1"/>
        <rFont val="Calibri"/>
        <family val="2"/>
        <scheme val="minor"/>
      </rPr>
      <t xml:space="preserve"> for any category above</t>
    </r>
    <r>
      <rPr>
        <b/>
        <sz val="11"/>
        <color theme="1"/>
        <rFont val="Calibri"/>
        <family val="2"/>
        <scheme val="minor"/>
      </rPr>
      <t xml:space="preserve">, please provide a brief explanation as to why.    </t>
    </r>
    <r>
      <rPr>
        <b/>
        <sz val="11"/>
        <color theme="9" tint="-0.499984740745262"/>
        <rFont val="Calibri"/>
        <family val="2"/>
        <scheme val="minor"/>
      </rPr>
      <t xml:space="preserve"> EPRI Costs are paid for by MRES.</t>
    </r>
  </si>
  <si>
    <r>
      <t xml:space="preserve">recorded in UsofA account </t>
    </r>
    <r>
      <rPr>
        <sz val="11"/>
        <color theme="9" tint="-0.499984740745262"/>
        <rFont val="Calibri"/>
        <family val="2"/>
        <scheme val="minor"/>
      </rPr>
      <t>928</t>
    </r>
    <r>
      <rPr>
        <sz val="11"/>
        <color theme="1"/>
        <rFont val="Calibri"/>
        <family val="2"/>
        <scheme val="minor"/>
      </rPr>
      <t xml:space="preserve">, relfected in I/S in </t>
    </r>
    <r>
      <rPr>
        <sz val="11"/>
        <color theme="9" tint="-0.499984740745262"/>
        <rFont val="Calibri"/>
        <family val="2"/>
        <scheme val="minor"/>
      </rPr>
      <t>Admininstrative and Genera</t>
    </r>
    <r>
      <rPr>
        <sz val="11"/>
        <color theme="1"/>
        <rFont val="Calibri"/>
        <family val="2"/>
        <scheme val="minor"/>
      </rPr>
      <t>l exp</t>
    </r>
  </si>
  <si>
    <t>Commission Expense</t>
  </si>
  <si>
    <t>(line 1 minus line 6 + line 6c + line 6h + line 6i)</t>
  </si>
  <si>
    <r>
      <t xml:space="preserve">RATE BASE: </t>
    </r>
    <r>
      <rPr>
        <sz val="12"/>
        <rFont val="Times New Roman"/>
        <family val="1"/>
      </rPr>
      <t>(Note CC)</t>
    </r>
  </si>
  <si>
    <t>CC</t>
  </si>
  <si>
    <t>Calcualte using 13 month average balances</t>
  </si>
  <si>
    <t>II.32.b (Note CC)</t>
  </si>
  <si>
    <t>II.37.b (Note CC)</t>
  </si>
  <si>
    <t>Advertising costs for required public notices in local newspapers.</t>
  </si>
  <si>
    <t>recorded in USofA account  930 refected in I/S in ________ exp</t>
  </si>
  <si>
    <t>A&amp;G exp</t>
  </si>
  <si>
    <r>
      <t xml:space="preserve">What line of the audited financial statements includes the A&amp;G Expense?   </t>
    </r>
    <r>
      <rPr>
        <sz val="11"/>
        <color theme="9" tint="-0.499984740745262"/>
        <rFont val="Calibri"/>
        <family val="2"/>
        <scheme val="minor"/>
      </rPr>
      <t>In the Schedules of Revenues, Expenses, and Changes in Net Position - Electric Department, there is an Administrative</t>
    </r>
  </si>
  <si>
    <t xml:space="preserve"> and General Expense section that includes these amounts</t>
  </si>
  <si>
    <r>
      <t xml:space="preserve">Provide a brief but descriptive list of the items and associated amounts reflected in that line of the financial statements    </t>
    </r>
    <r>
      <rPr>
        <sz val="11"/>
        <color theme="9" tint="-0.499984740745262"/>
        <rFont val="Calibri"/>
        <family val="2"/>
        <scheme val="minor"/>
      </rPr>
      <t xml:space="preserve"> The total Administrative and General Expenses line includes Salary </t>
    </r>
  </si>
  <si>
    <t>and Benefits, Office Supplies, and Outside Services Costs.</t>
  </si>
  <si>
    <r>
      <t xml:space="preserve">What line of the audited financial statements includes the Customer Account, Customer Service, and Sales Expense?  </t>
    </r>
    <r>
      <rPr>
        <sz val="11"/>
        <color theme="9" tint="-0.499984740745262"/>
        <rFont val="Calibri"/>
        <family val="2"/>
        <scheme val="minor"/>
      </rPr>
      <t xml:space="preserve">   In the Schedules of Revenues, Expenses, and Changes in Net Position </t>
    </r>
  </si>
  <si>
    <t>less Electric Department, there is a Customer Service and Information section that includes these amounts</t>
  </si>
  <si>
    <r>
      <t xml:space="preserve">Provide a brief but descriptive list of the items and associated amounts reflected in that line of the financial statements     </t>
    </r>
    <r>
      <rPr>
        <sz val="11"/>
        <color theme="9" tint="-0.499984740745262"/>
        <rFont val="Calibri"/>
        <family val="2"/>
        <scheme val="minor"/>
      </rPr>
      <t>The total Customer Account, Customer Service, and Sales Expense</t>
    </r>
  </si>
  <si>
    <t>lines include Salary and Benefits, Outside Services Costs,  and Meter Reading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</si>
</sst>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s>
  <fonts count="96">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b/>
      <sz val="10"/>
      <name val="Arial MT"/>
    </font>
    <font>
      <sz val="10"/>
      <name val="Arial MT"/>
    </font>
    <font>
      <b/>
      <u/>
      <sz val="10"/>
      <name val="Arial mt"/>
    </font>
    <font>
      <sz val="10"/>
      <color rgb="FFFF0000"/>
      <name val="Arial"/>
      <family val="2"/>
    </font>
    <font>
      <sz val="10"/>
      <color rgb="FFFF0000"/>
      <name val="Arial MT"/>
    </font>
    <font>
      <sz val="8"/>
      <name val="Arial MT"/>
    </font>
    <font>
      <sz val="8"/>
      <color rgb="FFFF0000"/>
      <name val="Arial MT"/>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u val="singleAccounting"/>
      <sz val="11"/>
      <color theme="1"/>
      <name val="Calibri"/>
      <family val="2"/>
      <scheme val="minor"/>
    </font>
    <font>
      <b/>
      <u val="doubleAccounting"/>
      <sz val="11"/>
      <color theme="1"/>
      <name val="Calibri"/>
      <family val="2"/>
      <scheme val="minor"/>
    </font>
    <font>
      <sz val="10"/>
      <color theme="1"/>
      <name val="Calibri"/>
      <family val="2"/>
      <scheme val="minor"/>
    </font>
    <font>
      <b/>
      <u/>
      <sz val="12"/>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sz val="16"/>
      <color theme="1"/>
      <name val="Calibri"/>
      <family val="2"/>
      <scheme val="minor"/>
    </font>
    <font>
      <b/>
      <sz val="12"/>
      <name val="Helv"/>
    </font>
    <font>
      <b/>
      <sz val="14"/>
      <color theme="1"/>
      <name val="Times New Roman"/>
      <family val="1"/>
    </font>
    <font>
      <b/>
      <sz val="18"/>
      <color theme="1"/>
      <name val="Calibri"/>
      <family val="2"/>
      <scheme val="minor"/>
    </font>
    <font>
      <sz val="18"/>
      <color theme="1"/>
      <name val="Calibri"/>
      <family val="2"/>
      <scheme val="minor"/>
    </font>
    <font>
      <b/>
      <sz val="12"/>
      <name val="Arial MT"/>
    </font>
    <font>
      <sz val="11"/>
      <color theme="9" tint="-0.499984740745262"/>
      <name val="Calibri"/>
      <family val="2"/>
      <scheme val="minor"/>
    </font>
    <font>
      <b/>
      <sz val="11"/>
      <color theme="9" tint="-0.499984740745262"/>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31">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s>
  <cellStyleXfs count="211">
    <xf numFmtId="172" fontId="0" fillId="0" borderId="0" applyProtection="0"/>
    <xf numFmtId="43" fontId="20"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10" fillId="0" borderId="0"/>
    <xf numFmtId="172" fontId="20" fillId="0" borderId="0" applyProtection="0"/>
    <xf numFmtId="172" fontId="29" fillId="0" borderId="0" applyFill="0"/>
    <xf numFmtId="172" fontId="29" fillId="0" borderId="0">
      <alignment horizontal="center"/>
    </xf>
    <xf numFmtId="0" fontId="29" fillId="0" borderId="0" applyFill="0">
      <alignment horizontal="center"/>
    </xf>
    <xf numFmtId="172" fontId="30" fillId="0" borderId="30" applyFill="0"/>
    <xf numFmtId="0" fontId="23" fillId="0" borderId="0" applyFont="0" applyAlignment="0"/>
    <xf numFmtId="0" fontId="31" fillId="0" borderId="0" applyFill="0">
      <alignment vertical="top"/>
    </xf>
    <xf numFmtId="0" fontId="30" fillId="0" borderId="0" applyFill="0">
      <alignment horizontal="left" vertical="top"/>
    </xf>
    <xf numFmtId="172" fontId="22" fillId="0" borderId="9" applyFill="0"/>
    <xf numFmtId="0" fontId="23" fillId="0" borderId="0" applyNumberFormat="0" applyFont="0" applyAlignment="0"/>
    <xf numFmtId="0" fontId="31" fillId="0" borderId="0" applyFill="0">
      <alignment wrapText="1"/>
    </xf>
    <xf numFmtId="0" fontId="30" fillId="0" borderId="0" applyFill="0">
      <alignment horizontal="left" vertical="top" wrapText="1"/>
    </xf>
    <xf numFmtId="172" fontId="25" fillId="0" borderId="0" applyFill="0"/>
    <xf numFmtId="0" fontId="32" fillId="0" borderId="0" applyNumberFormat="0" applyFont="0" applyAlignment="0">
      <alignment horizontal="center"/>
    </xf>
    <xf numFmtId="0" fontId="33" fillId="0" borderId="0" applyFill="0">
      <alignment vertical="top" wrapText="1"/>
    </xf>
    <xf numFmtId="0" fontId="22" fillId="0" borderId="0" applyFill="0">
      <alignment horizontal="left" vertical="top" wrapText="1"/>
    </xf>
    <xf numFmtId="172" fontId="23" fillId="0" borderId="0" applyFill="0"/>
    <xf numFmtId="0" fontId="32" fillId="0" borderId="0" applyNumberFormat="0" applyFont="0" applyAlignment="0">
      <alignment horizontal="center"/>
    </xf>
    <xf numFmtId="0" fontId="34" fillId="0" borderId="0" applyFill="0">
      <alignment vertical="center" wrapText="1"/>
    </xf>
    <xf numFmtId="0" fontId="24" fillId="0" borderId="0">
      <alignment horizontal="left" vertical="center" wrapText="1"/>
    </xf>
    <xf numFmtId="172" fontId="35" fillId="0" borderId="0" applyFill="0"/>
    <xf numFmtId="0" fontId="32" fillId="0" borderId="0" applyNumberFormat="0" applyFont="0" applyAlignment="0">
      <alignment horizontal="center"/>
    </xf>
    <xf numFmtId="0" fontId="36" fillId="0" borderId="0" applyFill="0">
      <alignment horizontal="center" vertical="center" wrapText="1"/>
    </xf>
    <xf numFmtId="0" fontId="23"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72" fontId="40" fillId="0" borderId="0" applyFill="0"/>
    <xf numFmtId="0" fontId="32" fillId="0" borderId="0" applyNumberFormat="0" applyFont="0" applyAlignment="0">
      <alignment horizontal="center"/>
    </xf>
    <xf numFmtId="0" fontId="41" fillId="0" borderId="0">
      <alignment horizontal="center" wrapText="1"/>
    </xf>
    <xf numFmtId="0" fontId="37" fillId="0" borderId="0" applyFill="0">
      <alignment horizontal="center" wrapText="1"/>
    </xf>
    <xf numFmtId="39"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23"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0" fontId="4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38" fontId="29" fillId="3" borderId="0" applyNumberFormat="0" applyBorder="0" applyAlignment="0" applyProtection="0"/>
    <xf numFmtId="0" fontId="43" fillId="0" borderId="1"/>
    <xf numFmtId="0" fontId="44" fillId="0" borderId="0"/>
    <xf numFmtId="10" fontId="29" fillId="4" borderId="14" applyNumberFormat="0" applyBorder="0" applyAlignment="0" applyProtection="0"/>
    <xf numFmtId="176" fontId="45" fillId="0" borderId="0"/>
    <xf numFmtId="0" fontId="28" fillId="0" borderId="0"/>
    <xf numFmtId="39" fontId="46" fillId="0" borderId="0"/>
    <xf numFmtId="0" fontId="28" fillId="0" borderId="0"/>
    <xf numFmtId="0" fontId="28" fillId="0" borderId="0"/>
    <xf numFmtId="0" fontId="23" fillId="0" borderId="0"/>
    <xf numFmtId="0" fontId="23" fillId="0" borderId="0"/>
    <xf numFmtId="0" fontId="47" fillId="0" borderId="0"/>
    <xf numFmtId="0" fontId="10" fillId="0" borderId="0"/>
    <xf numFmtId="0" fontId="10" fillId="0" borderId="0"/>
    <xf numFmtId="0" fontId="20"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3" fontId="23" fillId="0" borderId="0">
      <alignment horizontal="left" vertical="top"/>
    </xf>
    <xf numFmtId="0" fontId="49" fillId="0" borderId="1">
      <alignment horizontal="center"/>
    </xf>
    <xf numFmtId="3" fontId="42" fillId="0" borderId="0" applyFont="0" applyFill="0" applyBorder="0" applyAlignment="0" applyProtection="0"/>
    <xf numFmtId="0" fontId="42" fillId="5" borderId="0" applyNumberFormat="0" applyFont="0" applyBorder="0" applyAlignment="0" applyProtection="0"/>
    <xf numFmtId="3" fontId="23" fillId="0" borderId="0">
      <alignment horizontal="right" vertical="top"/>
    </xf>
    <xf numFmtId="41" fontId="24" fillId="3" borderId="13" applyFill="0"/>
    <xf numFmtId="0" fontId="50" fillId="0" borderId="0">
      <alignment horizontal="left" indent="7"/>
    </xf>
    <xf numFmtId="41" fontId="24" fillId="0" borderId="13" applyFill="0">
      <alignment horizontal="left" indent="2"/>
    </xf>
    <xf numFmtId="172" fontId="51" fillId="0" borderId="4" applyFill="0">
      <alignment horizontal="right"/>
    </xf>
    <xf numFmtId="0" fontId="26" fillId="0" borderId="14" applyNumberFormat="0" applyFont="0" applyBorder="0">
      <alignment horizontal="right"/>
    </xf>
    <xf numFmtId="0" fontId="52" fillId="0" borderId="0" applyFill="0"/>
    <xf numFmtId="0" fontId="22" fillId="0" borderId="0" applyFill="0"/>
    <xf numFmtId="4" fontId="51" fillId="0" borderId="4" applyFill="0"/>
    <xf numFmtId="0" fontId="23" fillId="0" borderId="0" applyNumberFormat="0" applyFont="0" applyBorder="0" applyAlignment="0"/>
    <xf numFmtId="0" fontId="33" fillId="0" borderId="0" applyFill="0">
      <alignment horizontal="left" indent="1"/>
    </xf>
    <xf numFmtId="0" fontId="53" fillId="0" borderId="0" applyFill="0">
      <alignment horizontal="left" indent="1"/>
    </xf>
    <xf numFmtId="4" fontId="35" fillId="0" borderId="0" applyFill="0"/>
    <xf numFmtId="0" fontId="23" fillId="0" borderId="0" applyNumberFormat="0" applyFont="0" applyFill="0" applyBorder="0" applyAlignment="0"/>
    <xf numFmtId="0" fontId="33" fillId="0" borderId="0" applyFill="0">
      <alignment horizontal="left" indent="2"/>
    </xf>
    <xf numFmtId="0" fontId="22" fillId="0" borderId="0" applyFill="0">
      <alignment horizontal="left" indent="2"/>
    </xf>
    <xf numFmtId="4" fontId="35" fillId="0" borderId="0" applyFill="0"/>
    <xf numFmtId="0" fontId="23" fillId="0" borderId="0" applyNumberFormat="0" applyFont="0" applyBorder="0" applyAlignment="0"/>
    <xf numFmtId="0" fontId="54" fillId="0" borderId="0">
      <alignment horizontal="left" indent="3"/>
    </xf>
    <xf numFmtId="0" fontId="55" fillId="0" borderId="0" applyFill="0">
      <alignment horizontal="left" indent="3"/>
    </xf>
    <xf numFmtId="4" fontId="35" fillId="0" borderId="0" applyFill="0"/>
    <xf numFmtId="0" fontId="23" fillId="0" borderId="0" applyNumberFormat="0" applyFont="0" applyBorder="0" applyAlignment="0"/>
    <xf numFmtId="0" fontId="36" fillId="0" borderId="0">
      <alignment horizontal="left" indent="4"/>
    </xf>
    <xf numFmtId="0" fontId="23" fillId="0" borderId="0" applyFill="0">
      <alignment horizontal="left" indent="4"/>
    </xf>
    <xf numFmtId="4" fontId="37" fillId="0" borderId="0" applyFill="0"/>
    <xf numFmtId="0" fontId="23"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23"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48" fillId="0" borderId="0" applyNumberFormat="0" applyBorder="0" applyAlignment="0"/>
    <xf numFmtId="0" fontId="56" fillId="0" borderId="0" applyNumberFormat="0" applyBorder="0" applyAlignment="0"/>
    <xf numFmtId="0" fontId="57" fillId="0" borderId="0" applyNumberFormat="0" applyBorder="0" applyAlignment="0"/>
    <xf numFmtId="0" fontId="48" fillId="0" borderId="0" applyNumberFormat="0" applyBorder="0" applyAlignment="0"/>
    <xf numFmtId="9" fontId="20" fillId="0" borderId="0" applyFont="0" applyFill="0" applyBorder="0" applyAlignment="0" applyProtection="0"/>
    <xf numFmtId="44" fontId="20" fillId="0" borderId="0" applyFont="0" applyFill="0" applyBorder="0" applyAlignment="0" applyProtection="0"/>
    <xf numFmtId="0" fontId="9" fillId="0" borderId="0"/>
    <xf numFmtId="43" fontId="21" fillId="0" borderId="0" applyFont="0" applyFill="0" applyBorder="0" applyAlignment="0" applyProtection="0"/>
    <xf numFmtId="44" fontId="21" fillId="0" borderId="0" applyFont="0" applyFill="0" applyBorder="0" applyAlignment="0" applyProtection="0"/>
    <xf numFmtId="0" fontId="20"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178" fontId="82" fillId="0" borderId="0"/>
    <xf numFmtId="44" fontId="21" fillId="0" borderId="0" applyFont="0" applyFill="0" applyBorder="0" applyAlignment="0" applyProtection="0"/>
    <xf numFmtId="0" fontId="21" fillId="0" borderId="0"/>
  </cellStyleXfs>
  <cellXfs count="559">
    <xf numFmtId="172" fontId="0" fillId="0" borderId="0" xfId="0" applyAlignment="1"/>
    <xf numFmtId="0" fontId="11" fillId="0" borderId="0" xfId="0" applyNumberFormat="1" applyFont="1" applyAlignment="1" applyProtection="1">
      <alignment horizontal="center"/>
      <protection locked="0"/>
    </xf>
    <xf numFmtId="0" fontId="11" fillId="0" borderId="0" xfId="0" applyNumberFormat="1" applyFont="1" applyAlignment="1" applyProtection="1">
      <protection locked="0"/>
    </xf>
    <xf numFmtId="172" fontId="11" fillId="0" borderId="0" xfId="0" applyFont="1" applyAlignment="1"/>
    <xf numFmtId="0" fontId="11" fillId="0" borderId="0" xfId="0" applyNumberFormat="1" applyFont="1" applyAlignment="1"/>
    <xf numFmtId="3" fontId="11" fillId="0" borderId="0" xfId="0" applyNumberFormat="1" applyFont="1" applyAlignment="1"/>
    <xf numFmtId="3" fontId="11" fillId="0" borderId="0" xfId="0" applyNumberFormat="1" applyFont="1" applyBorder="1" applyAlignment="1"/>
    <xf numFmtId="164" fontId="11" fillId="0" borderId="0" xfId="0" applyNumberFormat="1" applyFont="1" applyAlignment="1">
      <alignment horizontal="center"/>
    </xf>
    <xf numFmtId="3" fontId="11" fillId="0" borderId="0" xfId="0" applyNumberFormat="1" applyFont="1" applyFill="1" applyAlignment="1"/>
    <xf numFmtId="3" fontId="11" fillId="0" borderId="0" xfId="0" applyNumberFormat="1" applyFont="1" applyFill="1" applyAlignment="1">
      <alignment horizontal="right"/>
    </xf>
    <xf numFmtId="0" fontId="11" fillId="0" borderId="0" xfId="0" applyNumberFormat="1" applyFont="1" applyAlignment="1" applyProtection="1">
      <alignment horizontal="left"/>
      <protection locked="0"/>
    </xf>
    <xf numFmtId="0" fontId="11" fillId="0" borderId="0" xfId="0" applyNumberFormat="1" applyFont="1" applyProtection="1">
      <protection locked="0"/>
    </xf>
    <xf numFmtId="0" fontId="11" fillId="0" borderId="0" xfId="0" applyNumberFormat="1" applyFont="1"/>
    <xf numFmtId="0" fontId="11" fillId="0" borderId="0" xfId="0" applyNumberFormat="1" applyFont="1" applyAlignment="1">
      <alignment horizontal="right"/>
    </xf>
    <xf numFmtId="0" fontId="11" fillId="0" borderId="0" xfId="0" applyNumberFormat="1" applyFont="1" applyAlignment="1">
      <alignment horizontal="center"/>
    </xf>
    <xf numFmtId="0" fontId="11" fillId="2" borderId="0" xfId="0" applyNumberFormat="1" applyFont="1" applyFill="1"/>
    <xf numFmtId="0" fontId="11" fillId="2" borderId="0" xfId="0" applyNumberFormat="1" applyFont="1" applyFill="1" applyAlignment="1" applyProtection="1">
      <alignment horizontal="right"/>
      <protection locked="0"/>
    </xf>
    <xf numFmtId="49" fontId="11" fillId="0" borderId="0" xfId="0" applyNumberFormat="1" applyFont="1"/>
    <xf numFmtId="0" fontId="11" fillId="0" borderId="1" xfId="0" applyNumberFormat="1" applyFont="1" applyBorder="1" applyAlignment="1" applyProtection="1">
      <alignment horizontal="center"/>
      <protection locked="0"/>
    </xf>
    <xf numFmtId="3" fontId="11" fillId="0" borderId="0" xfId="0" applyNumberFormat="1" applyFont="1"/>
    <xf numFmtId="42" fontId="11" fillId="0" borderId="0" xfId="0" applyNumberFormat="1" applyFont="1"/>
    <xf numFmtId="0" fontId="11" fillId="0" borderId="1" xfId="0" applyNumberFormat="1" applyFont="1" applyBorder="1" applyAlignment="1" applyProtection="1">
      <alignment horizontal="centerContinuous"/>
      <protection locked="0"/>
    </xf>
    <xf numFmtId="166" fontId="11" fillId="0" borderId="0" xfId="0" applyNumberFormat="1" applyFont="1" applyAlignment="1"/>
    <xf numFmtId="3" fontId="11" fillId="2" borderId="0" xfId="0" applyNumberFormat="1" applyFont="1" applyFill="1"/>
    <xf numFmtId="0" fontId="13" fillId="0" borderId="0" xfId="0" applyNumberFormat="1" applyFont="1"/>
    <xf numFmtId="3" fontId="11" fillId="0" borderId="1" xfId="0" applyNumberFormat="1" applyFont="1" applyBorder="1" applyAlignment="1"/>
    <xf numFmtId="3" fontId="11" fillId="0" borderId="0" xfId="0" applyNumberFormat="1" applyFont="1" applyAlignment="1">
      <alignment horizontal="fill"/>
    </xf>
    <xf numFmtId="3" fontId="11" fillId="0" borderId="0" xfId="0" applyNumberFormat="1" applyFont="1" applyFill="1" applyBorder="1"/>
    <xf numFmtId="3" fontId="11" fillId="2" borderId="0" xfId="0" applyNumberFormat="1" applyFont="1" applyFill="1" applyBorder="1"/>
    <xf numFmtId="3" fontId="11" fillId="2" borderId="1" xfId="0" applyNumberFormat="1" applyFont="1" applyFill="1" applyBorder="1"/>
    <xf numFmtId="168" fontId="11" fillId="0" borderId="0" xfId="0" applyNumberFormat="1" applyFont="1"/>
    <xf numFmtId="168" fontId="11" fillId="0" borderId="0" xfId="0" applyNumberFormat="1" applyFont="1" applyAlignment="1">
      <alignment horizontal="center"/>
    </xf>
    <xf numFmtId="172" fontId="11" fillId="0" borderId="0" xfId="0" applyFont="1" applyAlignment="1">
      <alignment horizontal="center"/>
    </xf>
    <xf numFmtId="171" fontId="11" fillId="0" borderId="0" xfId="0" applyNumberFormat="1" applyFont="1" applyAlignment="1"/>
    <xf numFmtId="171" fontId="11" fillId="2" borderId="0" xfId="0" applyNumberFormat="1" applyFont="1" applyFill="1" applyProtection="1">
      <protection locked="0"/>
    </xf>
    <xf numFmtId="171" fontId="11" fillId="0" borderId="0" xfId="0" applyNumberFormat="1" applyFont="1" applyProtection="1">
      <protection locked="0"/>
    </xf>
    <xf numFmtId="0" fontId="11" fillId="0" borderId="0" xfId="0" applyNumberFormat="1" applyFont="1" applyAlignment="1">
      <alignment horizontal="left"/>
    </xf>
    <xf numFmtId="49" fontId="11" fillId="0" borderId="0" xfId="0" applyNumberFormat="1" applyFont="1" applyAlignment="1">
      <alignment horizontal="left"/>
    </xf>
    <xf numFmtId="49" fontId="11" fillId="0" borderId="0" xfId="0" applyNumberFormat="1" applyFont="1" applyAlignment="1">
      <alignment horizontal="center"/>
    </xf>
    <xf numFmtId="3" fontId="14" fillId="0" borderId="0" xfId="0" applyNumberFormat="1" applyFont="1" applyAlignment="1">
      <alignment horizontal="center"/>
    </xf>
    <xf numFmtId="0" fontId="14" fillId="0" borderId="0" xfId="0" applyNumberFormat="1" applyFont="1" applyAlignment="1" applyProtection="1">
      <alignment horizontal="center"/>
      <protection locked="0"/>
    </xf>
    <xf numFmtId="172" fontId="14" fillId="0" borderId="0" xfId="0" applyFont="1" applyAlignment="1">
      <alignment horizontal="center"/>
    </xf>
    <xf numFmtId="3" fontId="14" fillId="0" borderId="0" xfId="0" applyNumberFormat="1" applyFont="1" applyAlignment="1"/>
    <xf numFmtId="0" fontId="14" fillId="0" borderId="0" xfId="0" applyNumberFormat="1" applyFont="1" applyAlignment="1"/>
    <xf numFmtId="3" fontId="11" fillId="2" borderId="0" xfId="0" applyNumberFormat="1" applyFont="1" applyFill="1" applyBorder="1" applyAlignment="1"/>
    <xf numFmtId="165" fontId="11" fillId="0" borderId="0" xfId="0" applyNumberFormat="1" applyFont="1" applyAlignment="1"/>
    <xf numFmtId="3" fontId="11" fillId="2" borderId="1" xfId="0" applyNumberFormat="1" applyFont="1" applyFill="1" applyBorder="1" applyAlignment="1"/>
    <xf numFmtId="3" fontId="11" fillId="2" borderId="0" xfId="0" applyNumberFormat="1" applyFont="1" applyFill="1" applyAlignment="1"/>
    <xf numFmtId="0" fontId="11" fillId="0" borderId="0" xfId="0" applyNumberFormat="1" applyFont="1" applyAlignment="1">
      <alignment horizontal="fill"/>
    </xf>
    <xf numFmtId="165" fontId="11" fillId="0" borderId="0" xfId="0" applyNumberFormat="1" applyFont="1" applyAlignment="1">
      <alignment horizontal="right"/>
    </xf>
    <xf numFmtId="3" fontId="11" fillId="0" borderId="0" xfId="0" applyNumberFormat="1" applyFont="1" applyAlignment="1">
      <alignment horizontal="center"/>
    </xf>
    <xf numFmtId="172" fontId="11" fillId="0" borderId="1" xfId="0" applyFont="1" applyBorder="1" applyAlignment="1"/>
    <xf numFmtId="3" fontId="11" fillId="0" borderId="2" xfId="0" applyNumberFormat="1" applyFont="1" applyBorder="1" applyAlignment="1"/>
    <xf numFmtId="3" fontId="11" fillId="0" borderId="0" xfId="0" applyNumberFormat="1" applyFont="1" applyAlignment="1">
      <alignment horizontal="right"/>
    </xf>
    <xf numFmtId="0" fontId="11" fillId="0" borderId="0" xfId="0" applyNumberFormat="1" applyFont="1" applyFill="1" applyAlignment="1" applyProtection="1">
      <alignment horizontal="center"/>
      <protection locked="0"/>
    </xf>
    <xf numFmtId="0" fontId="11" fillId="0" borderId="0" xfId="0" applyNumberFormat="1" applyFont="1" applyFill="1" applyAlignment="1"/>
    <xf numFmtId="172" fontId="11" fillId="0" borderId="0" xfId="0" applyFont="1" applyFill="1" applyAlignment="1"/>
    <xf numFmtId="3" fontId="11" fillId="0" borderId="0" xfId="0" applyNumberFormat="1" applyFont="1" applyAlignment="1">
      <alignment horizontal="left"/>
    </xf>
    <xf numFmtId="166" fontId="11" fillId="0" borderId="0" xfId="0" applyNumberFormat="1" applyFont="1" applyAlignment="1">
      <alignment horizontal="right"/>
    </xf>
    <xf numFmtId="10" fontId="11" fillId="0" borderId="0" xfId="0" applyNumberFormat="1" applyFont="1" applyAlignment="1">
      <alignment horizontal="left"/>
    </xf>
    <xf numFmtId="166" fontId="11" fillId="0" borderId="0" xfId="0" applyNumberFormat="1" applyFont="1" applyAlignment="1">
      <alignment horizontal="center"/>
    </xf>
    <xf numFmtId="164" fontId="11" fillId="0" borderId="0" xfId="0" applyNumberFormat="1" applyFont="1" applyAlignment="1">
      <alignment horizontal="left"/>
    </xf>
    <xf numFmtId="10" fontId="11" fillId="0" borderId="0" xfId="0" applyNumberFormat="1" applyFont="1" applyFill="1" applyAlignment="1">
      <alignment horizontal="right"/>
    </xf>
    <xf numFmtId="169" fontId="11" fillId="0" borderId="0" xfId="0" applyNumberFormat="1" applyFont="1" applyFill="1" applyAlignment="1">
      <alignment horizontal="right"/>
    </xf>
    <xf numFmtId="164" fontId="11" fillId="0" borderId="0" xfId="0" applyNumberFormat="1" applyFont="1" applyAlignment="1" applyProtection="1">
      <alignment horizontal="left"/>
      <protection locked="0"/>
    </xf>
    <xf numFmtId="167" fontId="11" fillId="0" borderId="0" xfId="0" applyNumberFormat="1" applyFont="1" applyAlignment="1"/>
    <xf numFmtId="0" fontId="12" fillId="0" borderId="0" xfId="0" applyNumberFormat="1" applyFont="1" applyAlignment="1" applyProtection="1">
      <alignment horizontal="center"/>
      <protection locked="0"/>
    </xf>
    <xf numFmtId="172" fontId="12" fillId="0" borderId="0" xfId="0" applyFont="1" applyAlignment="1"/>
    <xf numFmtId="3" fontId="12" fillId="0" borderId="0" xfId="0" applyNumberFormat="1" applyFont="1" applyAlignment="1"/>
    <xf numFmtId="0" fontId="12" fillId="0" borderId="0" xfId="0" applyNumberFormat="1" applyFont="1"/>
    <xf numFmtId="0" fontId="12" fillId="0" borderId="0" xfId="0" applyNumberFormat="1" applyFont="1" applyAlignment="1">
      <alignment horizontal="center"/>
    </xf>
    <xf numFmtId="172" fontId="11" fillId="0" borderId="0" xfId="0" applyFont="1" applyAlignment="1">
      <alignment horizontal="right"/>
    </xf>
    <xf numFmtId="0" fontId="15" fillId="0" borderId="0" xfId="0" applyNumberFormat="1" applyFont="1"/>
    <xf numFmtId="0" fontId="11" fillId="0" borderId="1" xfId="0" applyNumberFormat="1" applyFont="1" applyBorder="1" applyProtection="1">
      <protection locked="0"/>
    </xf>
    <xf numFmtId="0" fontId="11" fillId="0" borderId="1" xfId="0" applyNumberFormat="1" applyFont="1" applyBorder="1"/>
    <xf numFmtId="49" fontId="11" fillId="0" borderId="0" xfId="0" applyNumberFormat="1" applyFont="1" applyAlignment="1"/>
    <xf numFmtId="172" fontId="11" fillId="0" borderId="0" xfId="0" applyFont="1" applyBorder="1" applyAlignment="1"/>
    <xf numFmtId="0" fontId="11" fillId="0" borderId="0" xfId="0" applyNumberFormat="1" applyFont="1" applyBorder="1" applyAlignment="1"/>
    <xf numFmtId="172" fontId="11" fillId="0" borderId="3" xfId="0" applyFont="1" applyBorder="1" applyAlignment="1"/>
    <xf numFmtId="3" fontId="13" fillId="0" borderId="0" xfId="0" applyNumberFormat="1" applyFont="1" applyBorder="1" applyAlignment="1"/>
    <xf numFmtId="165" fontId="11" fillId="0" borderId="0" xfId="0" applyNumberFormat="1" applyFont="1"/>
    <xf numFmtId="172" fontId="16" fillId="0" borderId="0" xfId="0" applyFont="1" applyBorder="1"/>
    <xf numFmtId="172" fontId="13" fillId="0" borderId="0" xfId="0" applyFont="1" applyBorder="1"/>
    <xf numFmtId="166" fontId="11" fillId="0" borderId="0" xfId="0" applyNumberFormat="1" applyFont="1"/>
    <xf numFmtId="3" fontId="11" fillId="0" borderId="1" xfId="0" applyNumberFormat="1" applyFont="1" applyBorder="1" applyAlignment="1">
      <alignment horizontal="center"/>
    </xf>
    <xf numFmtId="172" fontId="13" fillId="0" borderId="0" xfId="0" applyFont="1" applyBorder="1" applyAlignment="1"/>
    <xf numFmtId="4" fontId="11" fillId="0" borderId="0" xfId="0" applyNumberFormat="1" applyFont="1" applyAlignment="1"/>
    <xf numFmtId="172" fontId="13" fillId="0" borderId="4" xfId="0" applyFont="1" applyBorder="1" applyAlignment="1"/>
    <xf numFmtId="172" fontId="11" fillId="0" borderId="4" xfId="0" applyFont="1" applyBorder="1" applyAlignment="1"/>
    <xf numFmtId="172" fontId="11" fillId="0" borderId="5" xfId="0" applyFont="1" applyBorder="1" applyAlignment="1"/>
    <xf numFmtId="3" fontId="11" fillId="0" borderId="0" xfId="0" applyNumberFormat="1" applyFont="1" applyBorder="1" applyAlignment="1">
      <alignment horizontal="center"/>
    </xf>
    <xf numFmtId="166" fontId="11" fillId="0" borderId="0" xfId="0" applyNumberFormat="1" applyFont="1" applyAlignment="1" applyProtection="1">
      <alignment horizontal="center"/>
      <protection locked="0"/>
    </xf>
    <xf numFmtId="0" fontId="11" fillId="0" borderId="1" xfId="0" applyNumberFormat="1" applyFont="1" applyBorder="1" applyAlignment="1"/>
    <xf numFmtId="170" fontId="11" fillId="2" borderId="0" xfId="0" applyNumberFormat="1" applyFont="1" applyFill="1" applyAlignment="1"/>
    <xf numFmtId="9" fontId="11" fillId="0" borderId="0" xfId="0" applyNumberFormat="1" applyFont="1" applyAlignment="1"/>
    <xf numFmtId="169" fontId="11" fillId="0" borderId="0" xfId="0" applyNumberFormat="1" applyFont="1" applyAlignment="1"/>
    <xf numFmtId="10" fontId="11" fillId="0" borderId="0" xfId="0" applyNumberFormat="1" applyFont="1" applyAlignment="1"/>
    <xf numFmtId="169" fontId="11" fillId="0" borderId="1" xfId="0" applyNumberFormat="1" applyFont="1" applyBorder="1" applyAlignment="1"/>
    <xf numFmtId="3" fontId="11" fillId="0" borderId="0" xfId="0" quotePrefix="1" applyNumberFormat="1" applyFont="1" applyAlignment="1"/>
    <xf numFmtId="10" fontId="11" fillId="2" borderId="0" xfId="0" applyNumberFormat="1" applyFont="1" applyFill="1" applyAlignment="1"/>
    <xf numFmtId="0" fontId="12" fillId="0" borderId="0" xfId="0" applyNumberFormat="1" applyFont="1" applyProtection="1">
      <protection locked="0"/>
    </xf>
    <xf numFmtId="172" fontId="11" fillId="0" borderId="0" xfId="0" applyFont="1" applyFill="1" applyAlignment="1" applyProtection="1"/>
    <xf numFmtId="170" fontId="11" fillId="0" borderId="0" xfId="0" applyNumberFormat="1" applyFont="1" applyFill="1" applyBorder="1" applyProtection="1"/>
    <xf numFmtId="170" fontId="11" fillId="2" borderId="0" xfId="0" applyNumberFormat="1" applyFont="1" applyFill="1" applyBorder="1" applyProtection="1"/>
    <xf numFmtId="3" fontId="13" fillId="0" borderId="0" xfId="0" applyNumberFormat="1" applyFont="1" applyAlignment="1">
      <alignment horizontal="left"/>
    </xf>
    <xf numFmtId="170" fontId="11" fillId="2" borderId="0" xfId="0" applyNumberFormat="1" applyFont="1" applyFill="1" applyBorder="1" applyAlignment="1" applyProtection="1">
      <protection locked="0"/>
    </xf>
    <xf numFmtId="0" fontId="11" fillId="0" borderId="0" xfId="0" applyNumberFormat="1" applyFont="1" applyBorder="1" applyAlignment="1" applyProtection="1">
      <protection locked="0"/>
    </xf>
    <xf numFmtId="0" fontId="11" fillId="0" borderId="0" xfId="0" applyNumberFormat="1" applyFont="1" applyBorder="1" applyProtection="1">
      <protection locked="0"/>
    </xf>
    <xf numFmtId="0" fontId="12" fillId="0" borderId="0" xfId="0" applyNumberFormat="1" applyFont="1" applyAlignment="1" applyProtection="1">
      <protection locked="0"/>
    </xf>
    <xf numFmtId="170" fontId="11" fillId="0" borderId="0" xfId="0" applyNumberFormat="1" applyFont="1" applyFill="1" applyBorder="1" applyAlignment="1" applyProtection="1"/>
    <xf numFmtId="0" fontId="12" fillId="0" borderId="0" xfId="0" applyNumberFormat="1" applyFont="1" applyAlignment="1"/>
    <xf numFmtId="172" fontId="11" fillId="0" borderId="0" xfId="0" applyNumberFormat="1" applyFont="1" applyAlignment="1" applyProtection="1">
      <protection locked="0"/>
    </xf>
    <xf numFmtId="3" fontId="11" fillId="0" borderId="0" xfId="0" applyNumberFormat="1" applyFont="1" applyProtection="1">
      <protection locked="0"/>
    </xf>
    <xf numFmtId="170" fontId="11" fillId="0" borderId="0" xfId="0" applyNumberFormat="1" applyFont="1" applyAlignment="1" applyProtection="1">
      <alignment horizontal="right"/>
      <protection locked="0"/>
    </xf>
    <xf numFmtId="170" fontId="11" fillId="0" borderId="0" xfId="0" applyNumberFormat="1" applyFont="1" applyProtection="1">
      <protection locked="0"/>
    </xf>
    <xf numFmtId="3" fontId="11" fillId="0" borderId="0" xfId="0" applyNumberFormat="1" applyFont="1" applyFill="1" applyAlignment="1" applyProtection="1"/>
    <xf numFmtId="0" fontId="13" fillId="0" borderId="0" xfId="0" applyNumberFormat="1" applyFont="1" applyFill="1" applyAlignment="1" applyProtection="1">
      <alignment horizontal="left"/>
      <protection locked="0"/>
    </xf>
    <xf numFmtId="172" fontId="11" fillId="2" borderId="0" xfId="0" applyFont="1" applyFill="1" applyAlignment="1"/>
    <xf numFmtId="0" fontId="11" fillId="2" borderId="0" xfId="0" applyNumberFormat="1" applyFont="1" applyFill="1" applyProtection="1">
      <protection locked="0"/>
    </xf>
    <xf numFmtId="0" fontId="11" fillId="0" borderId="0" xfId="0" applyNumberFormat="1" applyFont="1" applyAlignment="1" applyProtection="1">
      <alignment horizontal="left" indent="8"/>
      <protection locked="0"/>
    </xf>
    <xf numFmtId="9" fontId="11" fillId="0" borderId="1" xfId="0" applyNumberFormat="1" applyFont="1" applyBorder="1" applyAlignment="1"/>
    <xf numFmtId="171" fontId="11" fillId="0" borderId="0" xfId="0" applyNumberFormat="1" applyFont="1" applyBorder="1" applyProtection="1">
      <protection locked="0"/>
    </xf>
    <xf numFmtId="0" fontId="11" fillId="0" borderId="0" xfId="0" applyNumberFormat="1" applyFont="1" applyBorder="1"/>
    <xf numFmtId="0" fontId="11" fillId="0" borderId="6" xfId="0" applyNumberFormat="1" applyFont="1" applyBorder="1" applyAlignment="1">
      <alignment horizontal="center"/>
    </xf>
    <xf numFmtId="0" fontId="11" fillId="0" borderId="0" xfId="0" applyNumberFormat="1" applyFont="1" applyBorder="1" applyAlignment="1">
      <alignment horizontal="center"/>
    </xf>
    <xf numFmtId="0" fontId="11" fillId="0" borderId="3" xfId="0" applyNumberFormat="1" applyFont="1" applyBorder="1" applyAlignment="1">
      <alignment horizontal="center"/>
    </xf>
    <xf numFmtId="0" fontId="11" fillId="0" borderId="0" xfId="0" applyNumberFormat="1" applyFont="1" applyAlignment="1" applyProtection="1">
      <alignment horizontal="center" vertical="top" wrapText="1"/>
      <protection locked="0"/>
    </xf>
    <xf numFmtId="0" fontId="11" fillId="0" borderId="0" xfId="0" applyNumberFormat="1" applyFont="1" applyAlignment="1" applyProtection="1">
      <alignment vertical="top" wrapText="1"/>
      <protection locked="0"/>
    </xf>
    <xf numFmtId="3" fontId="11" fillId="0" borderId="0" xfId="0" applyNumberFormat="1" applyFont="1" applyAlignment="1">
      <alignment vertical="top" wrapText="1"/>
    </xf>
    <xf numFmtId="0" fontId="11" fillId="0" borderId="0" xfId="0" applyNumberFormat="1" applyFont="1" applyFill="1" applyAlignment="1" applyProtection="1">
      <alignment vertical="top" wrapText="1"/>
      <protection locked="0"/>
    </xf>
    <xf numFmtId="10" fontId="11" fillId="2" borderId="0" xfId="0" applyNumberFormat="1" applyFont="1" applyFill="1" applyAlignment="1" applyProtection="1">
      <alignment vertical="top" wrapText="1"/>
      <protection locked="0"/>
    </xf>
    <xf numFmtId="0" fontId="11" fillId="0" borderId="0" xfId="0" applyNumberFormat="1" applyFont="1" applyFill="1" applyAlignment="1">
      <alignment vertical="top" wrapText="1"/>
    </xf>
    <xf numFmtId="172" fontId="11" fillId="0" borderId="0" xfId="0" applyFont="1" applyAlignment="1">
      <alignment horizontal="center" vertical="top" wrapText="1"/>
    </xf>
    <xf numFmtId="172" fontId="11" fillId="0" borderId="0" xfId="0" applyFont="1" applyFill="1" applyAlignment="1">
      <alignment horizontal="center" vertical="top" wrapText="1"/>
    </xf>
    <xf numFmtId="0" fontId="12" fillId="0" borderId="0" xfId="0" applyNumberFormat="1" applyFont="1" applyAlignment="1" applyProtection="1">
      <alignment vertical="top" wrapText="1"/>
      <protection locked="0"/>
    </xf>
    <xf numFmtId="0" fontId="11" fillId="0" borderId="0" xfId="0" applyNumberFormat="1" applyFont="1" applyFill="1" applyAlignment="1" applyProtection="1">
      <alignment horizontal="left" vertical="top" wrapText="1" indent="8"/>
      <protection locked="0"/>
    </xf>
    <xf numFmtId="170" fontId="11" fillId="2" borderId="1" xfId="0" applyNumberFormat="1" applyFont="1" applyFill="1" applyBorder="1" applyAlignment="1" applyProtection="1">
      <protection locked="0"/>
    </xf>
    <xf numFmtId="0" fontId="11" fillId="0" borderId="0" xfId="0" applyNumberFormat="1" applyFont="1" applyFill="1"/>
    <xf numFmtId="0" fontId="11" fillId="2" borderId="1" xfId="0" applyNumberFormat="1" applyFont="1" applyFill="1" applyBorder="1" applyAlignment="1"/>
    <xf numFmtId="170" fontId="11" fillId="2" borderId="6" xfId="0" applyNumberFormat="1" applyFont="1" applyFill="1" applyBorder="1" applyAlignment="1"/>
    <xf numFmtId="170" fontId="11" fillId="2" borderId="7" xfId="0" applyNumberFormat="1" applyFont="1" applyFill="1" applyBorder="1" applyAlignment="1"/>
    <xf numFmtId="170" fontId="11" fillId="0" borderId="6" xfId="0" applyNumberFormat="1" applyFont="1" applyBorder="1" applyAlignment="1"/>
    <xf numFmtId="170" fontId="11" fillId="0" borderId="6" xfId="0" applyNumberFormat="1" applyFont="1" applyFill="1" applyBorder="1" applyAlignment="1"/>
    <xf numFmtId="170" fontId="11" fillId="0" borderId="7" xfId="0" applyNumberFormat="1" applyFont="1" applyBorder="1" applyAlignment="1"/>
    <xf numFmtId="172" fontId="17" fillId="0" borderId="0" xfId="0" applyFont="1" applyAlignment="1"/>
    <xf numFmtId="3" fontId="11" fillId="0" borderId="2" xfId="0" applyNumberFormat="1" applyFont="1" applyFill="1" applyBorder="1" applyAlignment="1"/>
    <xf numFmtId="0" fontId="11" fillId="0" borderId="0" xfId="0" applyNumberFormat="1" applyFont="1" applyFill="1" applyAlignment="1">
      <alignment horizontal="fill"/>
    </xf>
    <xf numFmtId="3" fontId="18" fillId="0" borderId="0" xfId="0" applyNumberFormat="1" applyFont="1" applyAlignment="1"/>
    <xf numFmtId="0" fontId="11" fillId="2" borderId="0" xfId="0" applyNumberFormat="1" applyFont="1" applyFill="1" applyBorder="1" applyAlignment="1"/>
    <xf numFmtId="0" fontId="11" fillId="0" borderId="0" xfId="0" applyNumberFormat="1" applyFont="1" applyFill="1" applyAlignment="1">
      <alignment horizontal="left" vertical="top"/>
    </xf>
    <xf numFmtId="0" fontId="11" fillId="0" borderId="0" xfId="0" applyNumberFormat="1" applyFont="1" applyFill="1" applyAlignment="1">
      <alignment vertical="top"/>
    </xf>
    <xf numFmtId="0" fontId="11" fillId="0" borderId="0" xfId="0" applyNumberFormat="1" applyFont="1" applyFill="1" applyBorder="1" applyAlignment="1" applyProtection="1">
      <protection locked="0"/>
    </xf>
    <xf numFmtId="0" fontId="11" fillId="0" borderId="0" xfId="0" applyNumberFormat="1" applyFont="1" applyFill="1" applyBorder="1" applyProtection="1">
      <protection locked="0"/>
    </xf>
    <xf numFmtId="0" fontId="11" fillId="0" borderId="1" xfId="0" applyNumberFormat="1" applyFont="1" applyFill="1" applyBorder="1" applyAlignment="1" applyProtection="1">
      <protection locked="0"/>
    </xf>
    <xf numFmtId="0" fontId="11" fillId="0" borderId="1" xfId="0" applyNumberFormat="1" applyFont="1" applyFill="1" applyBorder="1" applyProtection="1">
      <protection locked="0"/>
    </xf>
    <xf numFmtId="0" fontId="23" fillId="0" borderId="0" xfId="2" applyFont="1"/>
    <xf numFmtId="0" fontId="21" fillId="0" borderId="0" xfId="2"/>
    <xf numFmtId="0" fontId="21" fillId="0" borderId="11" xfId="2" applyBorder="1" applyAlignment="1">
      <alignment horizontal="center"/>
    </xf>
    <xf numFmtId="0" fontId="21" fillId="0" borderId="3" xfId="2" applyBorder="1"/>
    <xf numFmtId="0" fontId="21" fillId="0" borderId="3" xfId="2" applyBorder="1" applyAlignment="1">
      <alignment horizontal="center"/>
    </xf>
    <xf numFmtId="0" fontId="21" fillId="0" borderId="12" xfId="2" applyBorder="1" applyAlignment="1">
      <alignment horizontal="center"/>
    </xf>
    <xf numFmtId="0" fontId="21" fillId="0" borderId="5" xfId="2" applyBorder="1" applyAlignment="1">
      <alignment horizontal="center"/>
    </xf>
    <xf numFmtId="0" fontId="21" fillId="0" borderId="5" xfId="2" applyFill="1" applyBorder="1" applyAlignment="1">
      <alignment horizontal="center"/>
    </xf>
    <xf numFmtId="0" fontId="21" fillId="0" borderId="13" xfId="2" applyBorder="1" applyAlignment="1">
      <alignment horizontal="center"/>
    </xf>
    <xf numFmtId="0" fontId="26" fillId="0" borderId="11" xfId="2" applyFont="1" applyBorder="1" applyAlignment="1">
      <alignment horizontal="center"/>
    </xf>
    <xf numFmtId="43" fontId="0" fillId="0" borderId="11" xfId="3" applyFont="1" applyFill="1" applyBorder="1"/>
    <xf numFmtId="0" fontId="21" fillId="0" borderId="11" xfId="2" applyFill="1" applyBorder="1" applyAlignment="1">
      <alignment horizontal="center"/>
    </xf>
    <xf numFmtId="0" fontId="26" fillId="0" borderId="11" xfId="2" applyFont="1" applyFill="1" applyBorder="1" applyAlignment="1">
      <alignment horizontal="center"/>
    </xf>
    <xf numFmtId="0" fontId="21" fillId="0" borderId="13" xfId="2" applyBorder="1"/>
    <xf numFmtId="37" fontId="0" fillId="0" borderId="13" xfId="3" applyNumberFormat="1" applyFont="1" applyFill="1" applyBorder="1"/>
    <xf numFmtId="0" fontId="21" fillId="0" borderId="13" xfId="2" applyFill="1" applyBorder="1" applyAlignment="1">
      <alignment horizontal="center"/>
    </xf>
    <xf numFmtId="0" fontId="21" fillId="0" borderId="13" xfId="2" applyFill="1" applyBorder="1"/>
    <xf numFmtId="0" fontId="21" fillId="0" borderId="12" xfId="2" applyBorder="1" applyAlignment="1">
      <alignment horizontal="left" indent="1"/>
    </xf>
    <xf numFmtId="173" fontId="27" fillId="0" borderId="12" xfId="4" applyNumberFormat="1" applyFont="1" applyFill="1" applyBorder="1"/>
    <xf numFmtId="0" fontId="21" fillId="0" borderId="12" xfId="2" applyFill="1" applyBorder="1" applyAlignment="1">
      <alignment horizontal="center"/>
    </xf>
    <xf numFmtId="0" fontId="21" fillId="0" borderId="12" xfId="2" applyFill="1" applyBorder="1"/>
    <xf numFmtId="0" fontId="21" fillId="0" borderId="14" xfId="2" applyBorder="1" applyAlignment="1">
      <alignment horizontal="center"/>
    </xf>
    <xf numFmtId="0" fontId="21" fillId="0" borderId="14" xfId="2" applyBorder="1"/>
    <xf numFmtId="0" fontId="21" fillId="0" borderId="14" xfId="2" applyFill="1" applyBorder="1" applyAlignment="1">
      <alignment horizontal="center"/>
    </xf>
    <xf numFmtId="0" fontId="21" fillId="0" borderId="14" xfId="2" applyFill="1" applyBorder="1"/>
    <xf numFmtId="0" fontId="21" fillId="0" borderId="13" xfId="2" applyBorder="1" applyAlignment="1">
      <alignment horizontal="left" indent="1"/>
    </xf>
    <xf numFmtId="37" fontId="27" fillId="0" borderId="13" xfId="3" applyNumberFormat="1" applyFont="1" applyFill="1" applyBorder="1"/>
    <xf numFmtId="0" fontId="21" fillId="0" borderId="12" xfId="2" applyFill="1" applyBorder="1" applyAlignment="1">
      <alignment horizontal="left" indent="1"/>
    </xf>
    <xf numFmtId="0" fontId="26" fillId="0" borderId="15" xfId="2" applyFont="1" applyFill="1" applyBorder="1"/>
    <xf numFmtId="37" fontId="26" fillId="0" borderId="16" xfId="3" applyNumberFormat="1" applyFont="1" applyFill="1" applyBorder="1"/>
    <xf numFmtId="0" fontId="21" fillId="0" borderId="17" xfId="2" applyFill="1" applyBorder="1" applyAlignment="1">
      <alignment horizontal="center"/>
    </xf>
    <xf numFmtId="0" fontId="26" fillId="0" borderId="18" xfId="2" applyFont="1" applyFill="1" applyBorder="1"/>
    <xf numFmtId="37" fontId="27" fillId="0" borderId="3" xfId="3" applyNumberFormat="1" applyFont="1" applyFill="1" applyBorder="1"/>
    <xf numFmtId="0" fontId="26" fillId="0" borderId="13" xfId="2" applyFont="1" applyFill="1" applyBorder="1" applyAlignment="1">
      <alignment horizontal="center"/>
    </xf>
    <xf numFmtId="0" fontId="21" fillId="0" borderId="6" xfId="2" applyBorder="1"/>
    <xf numFmtId="0" fontId="21" fillId="0" borderId="3" xfId="2" applyFill="1" applyBorder="1" applyAlignment="1">
      <alignment horizontal="center"/>
    </xf>
    <xf numFmtId="0" fontId="21" fillId="0" borderId="9" xfId="2" applyBorder="1" applyAlignment="1">
      <alignment horizontal="center"/>
    </xf>
    <xf numFmtId="0" fontId="26" fillId="0" borderId="11" xfId="2" applyFont="1" applyBorder="1"/>
    <xf numFmtId="37" fontId="26" fillId="0" borderId="11" xfId="3" applyNumberFormat="1" applyFont="1" applyFill="1" applyBorder="1"/>
    <xf numFmtId="0" fontId="26" fillId="0" borderId="19" xfId="2" applyFont="1" applyBorder="1"/>
    <xf numFmtId="0" fontId="26" fillId="0" borderId="13" xfId="2" applyFont="1" applyBorder="1" applyAlignment="1">
      <alignment horizontal="center"/>
    </xf>
    <xf numFmtId="0" fontId="21" fillId="0" borderId="12" xfId="2" applyBorder="1"/>
    <xf numFmtId="174" fontId="27" fillId="0" borderId="12" xfId="3" applyNumberFormat="1" applyFont="1" applyFill="1" applyBorder="1"/>
    <xf numFmtId="174" fontId="0" fillId="0" borderId="13" xfId="3" applyNumberFormat="1" applyFont="1" applyFill="1" applyBorder="1"/>
    <xf numFmtId="0" fontId="26" fillId="0" borderId="7" xfId="2" applyFont="1" applyFill="1" applyBorder="1"/>
    <xf numFmtId="174" fontId="26" fillId="0" borderId="16" xfId="3" applyNumberFormat="1" applyFont="1" applyFill="1" applyBorder="1"/>
    <xf numFmtId="174" fontId="27" fillId="0" borderId="11" xfId="3" applyNumberFormat="1" applyFont="1" applyFill="1" applyBorder="1"/>
    <xf numFmtId="0" fontId="26" fillId="0" borderId="18" xfId="2" applyFont="1" applyBorder="1"/>
    <xf numFmtId="0" fontId="26" fillId="0" borderId="12" xfId="2" applyFont="1" applyFill="1" applyBorder="1" applyAlignment="1">
      <alignment horizontal="center"/>
    </xf>
    <xf numFmtId="174" fontId="27" fillId="0" borderId="14" xfId="3" applyNumberFormat="1" applyFont="1" applyFill="1" applyBorder="1"/>
    <xf numFmtId="0" fontId="21" fillId="0" borderId="0" xfId="2" applyFill="1"/>
    <xf numFmtId="174" fontId="27" fillId="0" borderId="13" xfId="3" applyNumberFormat="1" applyFont="1" applyFill="1" applyBorder="1"/>
    <xf numFmtId="0" fontId="21" fillId="0" borderId="12" xfId="2" quotePrefix="1" applyFill="1" applyBorder="1" applyAlignment="1">
      <alignment horizontal="left" indent="1"/>
    </xf>
    <xf numFmtId="0" fontId="26" fillId="0" borderId="13" xfId="2" applyFont="1" applyBorder="1"/>
    <xf numFmtId="174" fontId="26" fillId="0" borderId="13" xfId="3" applyNumberFormat="1" applyFont="1" applyFill="1" applyBorder="1"/>
    <xf numFmtId="0" fontId="21" fillId="0" borderId="20" xfId="2" applyBorder="1" applyAlignment="1">
      <alignment horizontal="center"/>
    </xf>
    <xf numFmtId="0" fontId="26" fillId="0" borderId="21" xfId="2" applyFont="1" applyBorder="1"/>
    <xf numFmtId="173" fontId="26" fillId="0" borderId="16" xfId="4" applyNumberFormat="1" applyFont="1" applyFill="1" applyBorder="1"/>
    <xf numFmtId="0" fontId="21" fillId="0" borderId="22" xfId="2" applyFill="1" applyBorder="1" applyAlignment="1">
      <alignment horizontal="center"/>
    </xf>
    <xf numFmtId="0" fontId="26" fillId="0" borderId="21" xfId="2" applyFont="1" applyFill="1" applyBorder="1"/>
    <xf numFmtId="0" fontId="21" fillId="0" borderId="0" xfId="2" applyBorder="1"/>
    <xf numFmtId="37" fontId="0" fillId="0" borderId="0" xfId="3" applyNumberFormat="1" applyFont="1" applyFill="1" applyBorder="1"/>
    <xf numFmtId="0" fontId="21" fillId="0" borderId="0" xfId="2" applyFill="1" applyBorder="1"/>
    <xf numFmtId="37" fontId="21" fillId="0" borderId="0" xfId="2" applyNumberFormat="1" applyFill="1" applyBorder="1"/>
    <xf numFmtId="37" fontId="21" fillId="0" borderId="0" xfId="2" applyNumberFormat="1" applyBorder="1"/>
    <xf numFmtId="0" fontId="24" fillId="0" borderId="0" xfId="2" applyFont="1" applyAlignment="1">
      <alignment horizontal="left"/>
    </xf>
    <xf numFmtId="14" fontId="24" fillId="0" borderId="0" xfId="2" applyNumberFormat="1" applyFont="1" applyAlignment="1">
      <alignment horizontal="left"/>
    </xf>
    <xf numFmtId="0" fontId="23" fillId="0" borderId="0" xfId="2" applyFont="1" applyAlignment="1">
      <alignment horizontal="left"/>
    </xf>
    <xf numFmtId="0" fontId="25" fillId="0" borderId="0" xfId="2" applyFont="1" applyBorder="1" applyAlignment="1">
      <alignment horizontal="left"/>
    </xf>
    <xf numFmtId="0" fontId="21" fillId="0" borderId="11" xfId="2" applyFill="1" applyBorder="1"/>
    <xf numFmtId="0" fontId="21" fillId="0" borderId="10" xfId="2" applyFill="1" applyBorder="1"/>
    <xf numFmtId="0" fontId="21" fillId="0" borderId="10" xfId="2" applyFill="1" applyBorder="1" applyAlignment="1">
      <alignment horizontal="center"/>
    </xf>
    <xf numFmtId="0" fontId="21" fillId="0" borderId="5" xfId="2" applyFill="1" applyBorder="1"/>
    <xf numFmtId="174" fontId="27" fillId="0" borderId="5" xfId="3" applyNumberFormat="1" applyFont="1" applyFill="1" applyBorder="1"/>
    <xf numFmtId="0" fontId="21" fillId="0" borderId="17" xfId="2" applyFill="1" applyBorder="1"/>
    <xf numFmtId="174" fontId="27" fillId="0" borderId="17" xfId="3" applyNumberFormat="1" applyFont="1" applyFill="1" applyBorder="1"/>
    <xf numFmtId="0" fontId="21" fillId="0" borderId="3" xfId="2" applyFill="1" applyBorder="1"/>
    <xf numFmtId="174" fontId="27" fillId="0" borderId="3" xfId="3" applyNumberFormat="1" applyFont="1" applyFill="1" applyBorder="1"/>
    <xf numFmtId="0" fontId="21" fillId="0" borderId="23" xfId="2" applyFill="1" applyBorder="1" applyAlignment="1">
      <alignment horizontal="center"/>
    </xf>
    <xf numFmtId="0" fontId="21" fillId="0" borderId="24" xfId="2" applyFill="1" applyBorder="1"/>
    <xf numFmtId="174" fontId="26" fillId="0" borderId="25" xfId="3" applyNumberFormat="1" applyFont="1" applyFill="1" applyBorder="1"/>
    <xf numFmtId="0" fontId="26" fillId="0" borderId="24" xfId="2" applyFont="1" applyFill="1" applyBorder="1"/>
    <xf numFmtId="0" fontId="23" fillId="0" borderId="23" xfId="2" applyFont="1" applyFill="1" applyBorder="1" applyAlignment="1">
      <alignment horizontal="center"/>
    </xf>
    <xf numFmtId="0" fontId="23" fillId="0" borderId="24" xfId="2" applyFont="1" applyFill="1" applyBorder="1"/>
    <xf numFmtId="173" fontId="26" fillId="0" borderId="26" xfId="4" applyNumberFormat="1" applyFont="1" applyFill="1" applyBorder="1"/>
    <xf numFmtId="37" fontId="21" fillId="0" borderId="0" xfId="2" applyNumberFormat="1"/>
    <xf numFmtId="0" fontId="24" fillId="0" borderId="0" xfId="2" applyFont="1" applyAlignment="1">
      <alignment horizontal="center"/>
    </xf>
    <xf numFmtId="0" fontId="26" fillId="0" borderId="0" xfId="2" applyFont="1"/>
    <xf numFmtId="14" fontId="24" fillId="0" borderId="0" xfId="2" applyNumberFormat="1" applyFont="1" applyAlignment="1">
      <alignment horizontal="center"/>
    </xf>
    <xf numFmtId="37" fontId="21" fillId="0" borderId="11" xfId="2" applyNumberFormat="1" applyBorder="1"/>
    <xf numFmtId="37" fontId="21" fillId="0" borderId="3" xfId="2" applyNumberFormat="1" applyBorder="1"/>
    <xf numFmtId="0" fontId="21" fillId="0" borderId="4" xfId="2" applyBorder="1"/>
    <xf numFmtId="173" fontId="27" fillId="0" borderId="12" xfId="4" applyNumberFormat="1" applyFont="1" applyBorder="1"/>
    <xf numFmtId="173" fontId="27" fillId="0" borderId="5" xfId="4" applyNumberFormat="1" applyFont="1" applyBorder="1"/>
    <xf numFmtId="174" fontId="27" fillId="0" borderId="12" xfId="3" applyNumberFormat="1" applyFont="1" applyBorder="1"/>
    <xf numFmtId="174" fontId="27" fillId="0" borderId="5" xfId="3" applyNumberFormat="1" applyFont="1" applyBorder="1"/>
    <xf numFmtId="174" fontId="27" fillId="0" borderId="13" xfId="3" applyNumberFormat="1" applyFont="1" applyBorder="1"/>
    <xf numFmtId="174" fontId="27" fillId="0" borderId="3" xfId="3" applyNumberFormat="1" applyFont="1" applyBorder="1"/>
    <xf numFmtId="0" fontId="21" fillId="0" borderId="4" xfId="2" applyFill="1" applyBorder="1" applyAlignment="1">
      <alignment horizontal="left" indent="1"/>
    </xf>
    <xf numFmtId="0" fontId="21" fillId="0" borderId="28" xfId="2" applyFill="1" applyBorder="1"/>
    <xf numFmtId="173" fontId="26" fillId="0" borderId="27" xfId="4" applyNumberFormat="1" applyFont="1" applyFill="1" applyBorder="1"/>
    <xf numFmtId="173" fontId="26" fillId="0" borderId="24" xfId="4" applyNumberFormat="1" applyFont="1" applyFill="1" applyBorder="1"/>
    <xf numFmtId="37" fontId="27" fillId="0" borderId="3" xfId="2" applyNumberFormat="1" applyFont="1" applyFill="1" applyBorder="1"/>
    <xf numFmtId="174" fontId="27" fillId="0" borderId="5" xfId="3" applyNumberFormat="1" applyFont="1" applyFill="1" applyBorder="1" applyAlignment="1">
      <alignment horizontal="right"/>
    </xf>
    <xf numFmtId="174" fontId="27" fillId="0" borderId="3" xfId="3" applyNumberFormat="1" applyFont="1" applyFill="1" applyBorder="1" applyAlignment="1">
      <alignment horizontal="right"/>
    </xf>
    <xf numFmtId="174" fontId="27" fillId="0" borderId="17" xfId="3" applyNumberFormat="1" applyFont="1" applyFill="1" applyBorder="1" applyAlignment="1">
      <alignment horizontal="right"/>
    </xf>
    <xf numFmtId="37" fontId="27" fillId="0" borderId="3" xfId="2" applyNumberFormat="1" applyFont="1" applyFill="1" applyBorder="1" applyAlignment="1">
      <alignment horizontal="right"/>
    </xf>
    <xf numFmtId="37" fontId="21" fillId="0" borderId="0" xfId="2" applyNumberFormat="1" applyFill="1"/>
    <xf numFmtId="0" fontId="23" fillId="0" borderId="0" xfId="2" applyFont="1" applyBorder="1"/>
    <xf numFmtId="9" fontId="23" fillId="0" borderId="0" xfId="2" applyNumberFormat="1" applyFont="1"/>
    <xf numFmtId="3" fontId="21" fillId="0" borderId="0" xfId="2" applyNumberFormat="1"/>
    <xf numFmtId="173" fontId="59" fillId="0" borderId="0" xfId="4" applyNumberFormat="1" applyFont="1"/>
    <xf numFmtId="173" fontId="59" fillId="0" borderId="0" xfId="4" applyNumberFormat="1" applyFont="1" applyBorder="1"/>
    <xf numFmtId="173" fontId="59" fillId="0" borderId="29" xfId="4" applyNumberFormat="1" applyFont="1" applyBorder="1"/>
    <xf numFmtId="0" fontId="58" fillId="0" borderId="0" xfId="2" applyFont="1" applyAlignment="1">
      <alignment horizontal="center"/>
    </xf>
    <xf numFmtId="0" fontId="59" fillId="0" borderId="0" xfId="2" applyFont="1"/>
    <xf numFmtId="14" fontId="58" fillId="0" borderId="0" xfId="2" applyNumberFormat="1" applyFont="1" applyAlignment="1">
      <alignment horizontal="center"/>
    </xf>
    <xf numFmtId="0" fontId="59" fillId="0" borderId="0" xfId="2" applyFont="1" applyBorder="1"/>
    <xf numFmtId="0" fontId="59" fillId="0" borderId="8" xfId="2" applyFont="1" applyBorder="1"/>
    <xf numFmtId="0" fontId="59" fillId="0" borderId="9" xfId="2" applyFont="1" applyBorder="1"/>
    <xf numFmtId="0" fontId="59" fillId="0" borderId="10" xfId="2" applyFont="1" applyBorder="1"/>
    <xf numFmtId="0" fontId="59" fillId="0" borderId="11" xfId="2" applyFont="1" applyBorder="1" applyAlignment="1">
      <alignment horizontal="center"/>
    </xf>
    <xf numFmtId="0" fontId="59" fillId="0" borderId="0" xfId="2" applyFont="1" applyBorder="1" applyAlignment="1">
      <alignment horizontal="center"/>
    </xf>
    <xf numFmtId="0" fontId="59" fillId="0" borderId="0" xfId="2" applyFont="1" applyBorder="1" applyAlignment="1">
      <alignment horizontal="left"/>
    </xf>
    <xf numFmtId="0" fontId="59" fillId="0" borderId="12" xfId="2" applyFont="1" applyBorder="1" applyAlignment="1">
      <alignment horizontal="center"/>
    </xf>
    <xf numFmtId="0" fontId="23" fillId="0" borderId="5" xfId="2" applyFont="1" applyBorder="1" applyAlignment="1">
      <alignment horizontal="center"/>
    </xf>
    <xf numFmtId="170" fontId="11" fillId="0" borderId="0" xfId="0" applyNumberFormat="1" applyFont="1" applyAlignment="1"/>
    <xf numFmtId="174" fontId="11" fillId="0" borderId="0" xfId="1" applyNumberFormat="1" applyFont="1" applyAlignment="1"/>
    <xf numFmtId="177" fontId="11" fillId="0" borderId="0" xfId="1" applyNumberFormat="1" applyFont="1" applyAlignment="1"/>
    <xf numFmtId="0" fontId="23" fillId="0" borderId="3" xfId="2" applyFont="1" applyBorder="1" applyAlignment="1">
      <alignment horizontal="center"/>
    </xf>
    <xf numFmtId="37" fontId="23" fillId="0" borderId="3" xfId="2" applyNumberFormat="1" applyFont="1" applyBorder="1"/>
    <xf numFmtId="173" fontId="23" fillId="0" borderId="5" xfId="4" applyNumberFormat="1" applyFont="1" applyBorder="1"/>
    <xf numFmtId="174" fontId="23" fillId="0" borderId="5" xfId="3" applyNumberFormat="1" applyFont="1" applyBorder="1"/>
    <xf numFmtId="174" fontId="23" fillId="0" borderId="3" xfId="3" applyNumberFormat="1" applyFont="1" applyBorder="1"/>
    <xf numFmtId="0" fontId="23" fillId="0" borderId="5" xfId="2" applyFont="1" applyFill="1" applyBorder="1" applyAlignment="1">
      <alignment horizontal="center"/>
    </xf>
    <xf numFmtId="43" fontId="59" fillId="0" borderId="11" xfId="3" applyFont="1" applyFill="1" applyBorder="1"/>
    <xf numFmtId="37" fontId="59" fillId="0" borderId="13" xfId="3" applyNumberFormat="1" applyFont="1" applyFill="1" applyBorder="1"/>
    <xf numFmtId="37" fontId="59" fillId="0" borderId="14" xfId="3" applyNumberFormat="1" applyFont="1" applyFill="1" applyBorder="1"/>
    <xf numFmtId="174" fontId="59" fillId="0" borderId="13" xfId="3" applyNumberFormat="1" applyFont="1" applyFill="1" applyBorder="1"/>
    <xf numFmtId="174" fontId="59" fillId="0" borderId="12" xfId="3" applyNumberFormat="1" applyFont="1" applyFill="1" applyBorder="1"/>
    <xf numFmtId="174" fontId="59" fillId="0" borderId="0" xfId="3" applyNumberFormat="1" applyFont="1" applyFill="1" applyBorder="1"/>
    <xf numFmtId="43" fontId="59" fillId="0" borderId="0" xfId="3" applyFont="1" applyFill="1" applyBorder="1"/>
    <xf numFmtId="37" fontId="23" fillId="0" borderId="0" xfId="2" applyNumberFormat="1" applyFont="1" applyBorder="1"/>
    <xf numFmtId="43" fontId="59" fillId="0" borderId="0" xfId="3" applyFont="1" applyBorder="1"/>
    <xf numFmtId="43" fontId="23" fillId="0" borderId="0" xfId="2" applyNumberFormat="1" applyFont="1" applyBorder="1"/>
    <xf numFmtId="9" fontId="11" fillId="0" borderId="0" xfId="198" applyFont="1" applyFill="1" applyAlignment="1"/>
    <xf numFmtId="37" fontId="27" fillId="0" borderId="14" xfId="3" applyNumberFormat="1" applyFont="1" applyFill="1" applyBorder="1"/>
    <xf numFmtId="37" fontId="27" fillId="0" borderId="12" xfId="3" applyNumberFormat="1" applyFont="1" applyFill="1" applyBorder="1"/>
    <xf numFmtId="37" fontId="59" fillId="0" borderId="12" xfId="3" applyNumberFormat="1" applyFont="1" applyFill="1" applyBorder="1"/>
    <xf numFmtId="173" fontId="27" fillId="0" borderId="5" xfId="4" applyNumberFormat="1" applyFont="1" applyFill="1" applyBorder="1"/>
    <xf numFmtId="0" fontId="23" fillId="0" borderId="0" xfId="2" applyFont="1" applyFill="1"/>
    <xf numFmtId="173" fontId="23" fillId="0" borderId="0" xfId="4" applyNumberFormat="1" applyFont="1" applyFill="1"/>
    <xf numFmtId="174" fontId="23" fillId="0" borderId="5" xfId="3" applyNumberFormat="1" applyFont="1" applyFill="1" applyBorder="1"/>
    <xf numFmtId="174" fontId="23" fillId="0" borderId="3" xfId="3" applyNumberFormat="1" applyFont="1" applyFill="1" applyBorder="1"/>
    <xf numFmtId="174" fontId="23" fillId="0" borderId="17" xfId="3" applyNumberFormat="1" applyFont="1" applyFill="1" applyBorder="1"/>
    <xf numFmtId="173" fontId="26" fillId="0" borderId="25" xfId="4" applyNumberFormat="1" applyFont="1" applyFill="1" applyBorder="1"/>
    <xf numFmtId="37" fontId="23" fillId="0" borderId="3" xfId="2" applyNumberFormat="1" applyFont="1" applyFill="1" applyBorder="1"/>
    <xf numFmtId="0" fontId="21" fillId="0" borderId="5" xfId="2" applyFill="1" applyBorder="1" applyAlignment="1">
      <alignment horizontal="left" indent="1"/>
    </xf>
    <xf numFmtId="174" fontId="59" fillId="0" borderId="5" xfId="3" applyNumberFormat="1" applyFont="1" applyFill="1" applyBorder="1"/>
    <xf numFmtId="174" fontId="59" fillId="0" borderId="3" xfId="3" applyNumberFormat="1" applyFont="1" applyFill="1" applyBorder="1"/>
    <xf numFmtId="37" fontId="23" fillId="0" borderId="0" xfId="2" applyNumberFormat="1" applyFont="1" applyFill="1"/>
    <xf numFmtId="0" fontId="21" fillId="0" borderId="7" xfId="2" applyFill="1" applyBorder="1"/>
    <xf numFmtId="37" fontId="21" fillId="0" borderId="4" xfId="2" applyNumberFormat="1" applyFill="1" applyBorder="1"/>
    <xf numFmtId="173" fontId="23" fillId="0" borderId="0" xfId="2" applyNumberFormat="1" applyFont="1" applyFill="1"/>
    <xf numFmtId="173" fontId="59" fillId="0" borderId="0" xfId="4" applyNumberFormat="1" applyFont="1" applyFill="1"/>
    <xf numFmtId="0" fontId="59" fillId="0" borderId="0" xfId="2" applyFont="1" applyFill="1"/>
    <xf numFmtId="0" fontId="59" fillId="6" borderId="14" xfId="2" applyFont="1" applyFill="1" applyBorder="1" applyAlignment="1">
      <alignment horizontal="center"/>
    </xf>
    <xf numFmtId="0" fontId="11" fillId="6" borderId="0" xfId="0" applyNumberFormat="1" applyFont="1" applyFill="1"/>
    <xf numFmtId="49" fontId="14" fillId="6" borderId="0" xfId="0" applyNumberFormat="1" applyFont="1" applyFill="1"/>
    <xf numFmtId="0" fontId="59" fillId="7" borderId="8" xfId="2" applyFont="1" applyFill="1" applyBorder="1" applyAlignment="1">
      <alignment horizontal="center"/>
    </xf>
    <xf numFmtId="0" fontId="59" fillId="7" borderId="7" xfId="2" applyFont="1" applyFill="1" applyBorder="1" applyAlignment="1">
      <alignment horizontal="center"/>
    </xf>
    <xf numFmtId="173" fontId="63" fillId="0" borderId="0" xfId="4" applyNumberFormat="1" applyFont="1"/>
    <xf numFmtId="0" fontId="62" fillId="0" borderId="0" xfId="2" applyFont="1"/>
    <xf numFmtId="0" fontId="59" fillId="8" borderId="11" xfId="2" applyFont="1" applyFill="1" applyBorder="1" applyAlignment="1">
      <alignment horizontal="center"/>
    </xf>
    <xf numFmtId="0" fontId="59" fillId="8" borderId="12" xfId="2" applyFont="1" applyFill="1" applyBorder="1" applyAlignment="1">
      <alignment horizontal="center"/>
    </xf>
    <xf numFmtId="0" fontId="59" fillId="9" borderId="11" xfId="2" applyFont="1" applyFill="1" applyBorder="1" applyAlignment="1">
      <alignment horizontal="center"/>
    </xf>
    <xf numFmtId="0" fontId="59" fillId="9" borderId="12" xfId="2" applyFont="1" applyFill="1" applyBorder="1" applyAlignment="1">
      <alignment horizontal="center"/>
    </xf>
    <xf numFmtId="173" fontId="63" fillId="0" borderId="0" xfId="4" applyNumberFormat="1" applyFont="1" applyFill="1"/>
    <xf numFmtId="0" fontId="61" fillId="0" borderId="0" xfId="2" applyFont="1" applyFill="1"/>
    <xf numFmtId="173" fontId="61" fillId="0" borderId="0" xfId="2" applyNumberFormat="1" applyFont="1" applyFill="1"/>
    <xf numFmtId="37" fontId="27" fillId="0" borderId="10" xfId="2" applyNumberFormat="1" applyFont="1" applyFill="1" applyBorder="1"/>
    <xf numFmtId="37" fontId="27" fillId="0" borderId="5" xfId="2" applyNumberFormat="1" applyFont="1" applyFill="1" applyBorder="1"/>
    <xf numFmtId="37" fontId="61" fillId="0" borderId="0" xfId="2" applyNumberFormat="1" applyFont="1" applyFill="1"/>
    <xf numFmtId="0" fontId="64" fillId="7" borderId="0" xfId="2" applyFont="1" applyFill="1" applyBorder="1"/>
    <xf numFmtId="0" fontId="63" fillId="0" borderId="0" xfId="2" applyFont="1"/>
    <xf numFmtId="0" fontId="63" fillId="0" borderId="0" xfId="2" applyFont="1" applyFill="1"/>
    <xf numFmtId="0" fontId="64" fillId="0" borderId="0" xfId="2" applyFont="1" applyFill="1" applyBorder="1"/>
    <xf numFmtId="0" fontId="63" fillId="8" borderId="0" xfId="2" applyFont="1" applyFill="1"/>
    <xf numFmtId="0" fontId="63" fillId="9" borderId="0" xfId="2" applyFont="1" applyFill="1" applyBorder="1"/>
    <xf numFmtId="0" fontId="63" fillId="0" borderId="0" xfId="2" applyFont="1" applyFill="1" applyBorder="1"/>
    <xf numFmtId="173" fontId="21" fillId="0" borderId="0" xfId="199" applyNumberFormat="1" applyFont="1"/>
    <xf numFmtId="174" fontId="21" fillId="0" borderId="0" xfId="1" applyNumberFormat="1" applyFont="1"/>
    <xf numFmtId="174" fontId="66" fillId="0" borderId="0" xfId="1" applyNumberFormat="1" applyFont="1"/>
    <xf numFmtId="0" fontId="66" fillId="0" borderId="0" xfId="2" applyFont="1"/>
    <xf numFmtId="0" fontId="66" fillId="0" borderId="0" xfId="2" applyFont="1" applyAlignment="1">
      <alignment horizontal="left"/>
    </xf>
    <xf numFmtId="0" fontId="66" fillId="0" borderId="11" xfId="2" applyFont="1" applyBorder="1" applyAlignment="1">
      <alignment horizontal="center"/>
    </xf>
    <xf numFmtId="0" fontId="66" fillId="0" borderId="10" xfId="2" applyFont="1" applyBorder="1" applyAlignment="1">
      <alignment horizontal="center"/>
    </xf>
    <xf numFmtId="0" fontId="66" fillId="0" borderId="12" xfId="2" applyFont="1" applyBorder="1" applyAlignment="1">
      <alignment horizontal="center"/>
    </xf>
    <xf numFmtId="0" fontId="66" fillId="0" borderId="5" xfId="2" applyFont="1" applyBorder="1" applyAlignment="1">
      <alignment horizontal="center"/>
    </xf>
    <xf numFmtId="0" fontId="66" fillId="0" borderId="13" xfId="2" applyFont="1" applyFill="1" applyBorder="1" applyAlignment="1">
      <alignment horizontal="center"/>
    </xf>
    <xf numFmtId="0" fontId="66" fillId="0" borderId="14" xfId="2" applyFont="1" applyBorder="1" applyAlignment="1">
      <alignment horizontal="center"/>
    </xf>
    <xf numFmtId="0" fontId="66" fillId="0" borderId="14" xfId="2" applyFont="1" applyBorder="1"/>
    <xf numFmtId="173" fontId="69" fillId="0" borderId="14" xfId="4" applyNumberFormat="1" applyFont="1" applyBorder="1"/>
    <xf numFmtId="173" fontId="70" fillId="0" borderId="14" xfId="4" applyNumberFormat="1" applyFont="1" applyBorder="1"/>
    <xf numFmtId="173" fontId="66" fillId="0" borderId="14" xfId="4" applyNumberFormat="1" applyFont="1" applyBorder="1"/>
    <xf numFmtId="173" fontId="65" fillId="0" borderId="14" xfId="4" applyNumberFormat="1" applyFont="1" applyBorder="1"/>
    <xf numFmtId="174" fontId="69" fillId="0" borderId="14" xfId="3" applyNumberFormat="1" applyFont="1" applyBorder="1"/>
    <xf numFmtId="174" fontId="70" fillId="0" borderId="14" xfId="3" applyNumberFormat="1" applyFont="1" applyBorder="1"/>
    <xf numFmtId="174" fontId="69" fillId="0" borderId="14" xfId="3" applyNumberFormat="1" applyFont="1" applyFill="1" applyBorder="1"/>
    <xf numFmtId="174" fontId="70" fillId="0" borderId="14" xfId="3" applyNumberFormat="1" applyFont="1" applyFill="1" applyBorder="1"/>
    <xf numFmtId="0" fontId="66" fillId="0" borderId="0" xfId="2" applyFont="1" applyFill="1"/>
    <xf numFmtId="173" fontId="66" fillId="0" borderId="14" xfId="4" applyNumberFormat="1" applyFont="1" applyFill="1" applyBorder="1"/>
    <xf numFmtId="174" fontId="69" fillId="0" borderId="11" xfId="3" applyNumberFormat="1" applyFont="1" applyFill="1" applyBorder="1"/>
    <xf numFmtId="174" fontId="70" fillId="0" borderId="11" xfId="3" applyNumberFormat="1" applyFont="1" applyFill="1" applyBorder="1"/>
    <xf numFmtId="173" fontId="66" fillId="0" borderId="11" xfId="4" applyNumberFormat="1" applyFont="1" applyFill="1" applyBorder="1"/>
    <xf numFmtId="0" fontId="70" fillId="0" borderId="18" xfId="2" applyFont="1" applyBorder="1"/>
    <xf numFmtId="173" fontId="70" fillId="0" borderId="27" xfId="4" applyNumberFormat="1" applyFont="1" applyFill="1" applyBorder="1"/>
    <xf numFmtId="173" fontId="70" fillId="0" borderId="23" xfId="4" applyNumberFormat="1" applyFont="1" applyFill="1" applyBorder="1"/>
    <xf numFmtId="173" fontId="70" fillId="0" borderId="26" xfId="4" applyNumberFormat="1" applyFont="1" applyFill="1" applyBorder="1"/>
    <xf numFmtId="173" fontId="70" fillId="0" borderId="16" xfId="4" applyNumberFormat="1" applyFont="1" applyFill="1" applyBorder="1"/>
    <xf numFmtId="0" fontId="70" fillId="0" borderId="14" xfId="2" applyFont="1" applyBorder="1"/>
    <xf numFmtId="173" fontId="70" fillId="0" borderId="12" xfId="4" applyNumberFormat="1" applyFont="1" applyFill="1" applyBorder="1"/>
    <xf numFmtId="173" fontId="66" fillId="0" borderId="0" xfId="4" applyNumberFormat="1" applyFont="1" applyFill="1"/>
    <xf numFmtId="173" fontId="66" fillId="0" borderId="0" xfId="2" applyNumberFormat="1" applyFont="1"/>
    <xf numFmtId="173" fontId="66" fillId="0" borderId="12" xfId="4" applyNumberFormat="1" applyFont="1" applyFill="1" applyBorder="1"/>
    <xf numFmtId="37" fontId="70" fillId="0" borderId="12" xfId="2" applyNumberFormat="1" applyFont="1" applyFill="1" applyBorder="1"/>
    <xf numFmtId="37" fontId="66" fillId="0" borderId="0" xfId="2" applyNumberFormat="1" applyFont="1"/>
    <xf numFmtId="170" fontId="11" fillId="0" borderId="0" xfId="0" applyNumberFormat="1" applyFont="1" applyFill="1" applyBorder="1" applyAlignment="1"/>
    <xf numFmtId="3" fontId="11" fillId="0" borderId="0" xfId="0" applyNumberFormat="1" applyFont="1" applyFill="1" applyAlignment="1">
      <alignment horizontal="left"/>
    </xf>
    <xf numFmtId="3" fontId="11" fillId="0" borderId="0" xfId="0" applyNumberFormat="1" applyFont="1" applyFill="1" applyAlignment="1">
      <alignment horizontal="center"/>
    </xf>
    <xf numFmtId="37" fontId="21" fillId="0" borderId="0" xfId="2" applyNumberFormat="1" applyFont="1" applyFill="1"/>
    <xf numFmtId="0" fontId="68" fillId="0" borderId="0" xfId="2" applyFont="1" applyBorder="1" applyAlignment="1">
      <alignment horizontal="left"/>
    </xf>
    <xf numFmtId="0" fontId="71" fillId="0" borderId="0" xfId="2" applyFont="1" applyAlignment="1">
      <alignment horizontal="left"/>
    </xf>
    <xf numFmtId="0" fontId="71" fillId="0" borderId="0" xfId="2" applyFont="1"/>
    <xf numFmtId="0" fontId="71" fillId="0" borderId="0" xfId="2" applyFont="1" applyFill="1" applyBorder="1"/>
    <xf numFmtId="0" fontId="71" fillId="0" borderId="0" xfId="2" applyFont="1" applyBorder="1"/>
    <xf numFmtId="37" fontId="71" fillId="0" borderId="0" xfId="2" applyNumberFormat="1" applyFont="1" applyBorder="1"/>
    <xf numFmtId="173" fontId="71" fillId="0" borderId="0" xfId="199" applyNumberFormat="1" applyFont="1" applyBorder="1"/>
    <xf numFmtId="173" fontId="71" fillId="0" borderId="28" xfId="199" applyNumberFormat="1" applyFont="1" applyBorder="1"/>
    <xf numFmtId="44" fontId="66" fillId="0" borderId="11" xfId="199" applyFont="1" applyFill="1" applyBorder="1"/>
    <xf numFmtId="44" fontId="70" fillId="0" borderId="16" xfId="199" applyFont="1" applyFill="1" applyBorder="1"/>
    <xf numFmtId="44" fontId="66" fillId="0" borderId="0" xfId="199" applyFont="1" applyFill="1"/>
    <xf numFmtId="44" fontId="66" fillId="0" borderId="14" xfId="199" applyFont="1" applyFill="1" applyBorder="1"/>
    <xf numFmtId="44" fontId="66" fillId="0" borderId="12" xfId="199" applyFont="1" applyFill="1" applyBorder="1"/>
    <xf numFmtId="0" fontId="73" fillId="0" borderId="0" xfId="204" applyFont="1"/>
    <xf numFmtId="0" fontId="74" fillId="0" borderId="0" xfId="204" applyFont="1"/>
    <xf numFmtId="0" fontId="8" fillId="0" borderId="0" xfId="204"/>
    <xf numFmtId="0" fontId="73" fillId="7" borderId="0" xfId="204" applyFont="1" applyFill="1" applyAlignment="1">
      <alignment horizontal="left"/>
    </xf>
    <xf numFmtId="0" fontId="8" fillId="0" borderId="0" xfId="204" applyAlignment="1">
      <alignment vertical="center"/>
    </xf>
    <xf numFmtId="0" fontId="75" fillId="0" borderId="0" xfId="204" applyFont="1" applyAlignment="1">
      <alignment vertical="center"/>
    </xf>
    <xf numFmtId="0" fontId="75" fillId="0" borderId="0" xfId="204" applyFont="1" applyAlignment="1">
      <alignment horizontal="center" vertical="center"/>
    </xf>
    <xf numFmtId="0" fontId="75" fillId="0" borderId="0" xfId="204" applyFont="1" applyAlignment="1">
      <alignment horizontal="left" vertical="center"/>
    </xf>
    <xf numFmtId="0" fontId="72" fillId="0" borderId="4" xfId="204" applyFont="1" applyBorder="1" applyAlignment="1">
      <alignment horizontal="center" vertical="center" wrapText="1"/>
    </xf>
    <xf numFmtId="0" fontId="8" fillId="0" borderId="0" xfId="204" applyAlignment="1">
      <alignment horizontal="center" vertical="center" wrapText="1"/>
    </xf>
    <xf numFmtId="0" fontId="8" fillId="0" borderId="0" xfId="204" applyAlignment="1">
      <alignment horizontal="center" vertical="center"/>
    </xf>
    <xf numFmtId="0" fontId="8" fillId="0" borderId="0" xfId="204" applyFont="1" applyAlignment="1">
      <alignment horizontal="center" vertical="center"/>
    </xf>
    <xf numFmtId="174" fontId="8" fillId="0" borderId="0" xfId="204" applyNumberFormat="1" applyAlignment="1">
      <alignment vertical="center"/>
    </xf>
    <xf numFmtId="0" fontId="76" fillId="0" borderId="0" xfId="204" applyFont="1" applyFill="1" applyAlignment="1">
      <alignment vertical="center" wrapText="1"/>
    </xf>
    <xf numFmtId="0" fontId="77" fillId="0" borderId="0" xfId="204" applyFont="1" applyAlignment="1">
      <alignment horizontal="center" vertical="center"/>
    </xf>
    <xf numFmtId="174" fontId="78" fillId="0" borderId="0" xfId="204" applyNumberFormat="1" applyFont="1" applyBorder="1" applyAlignment="1">
      <alignment vertical="center"/>
    </xf>
    <xf numFmtId="0" fontId="72" fillId="0" borderId="0" xfId="204" applyFont="1" applyAlignment="1">
      <alignment vertical="center"/>
    </xf>
    <xf numFmtId="174" fontId="79" fillId="0" borderId="0" xfId="204" applyNumberFormat="1" applyFont="1" applyAlignment="1">
      <alignment vertical="center"/>
    </xf>
    <xf numFmtId="0" fontId="35" fillId="0" borderId="0" xfId="204" applyNumberFormat="1" applyFont="1"/>
    <xf numFmtId="0" fontId="8" fillId="0" borderId="0" xfId="204" applyFont="1" applyBorder="1" applyAlignment="1">
      <alignment horizontal="center" vertical="center" wrapText="1"/>
    </xf>
    <xf numFmtId="173" fontId="0" fillId="0" borderId="0" xfId="206" applyNumberFormat="1" applyFont="1" applyAlignment="1">
      <alignment vertical="center"/>
    </xf>
    <xf numFmtId="173" fontId="8" fillId="0" borderId="0" xfId="204" applyNumberFormat="1" applyFont="1" applyBorder="1" applyAlignment="1">
      <alignment horizontal="center" vertical="center" wrapText="1"/>
    </xf>
    <xf numFmtId="173" fontId="8" fillId="0" borderId="0" xfId="204" applyNumberFormat="1" applyAlignment="1">
      <alignment horizontal="center" vertical="center" wrapText="1"/>
    </xf>
    <xf numFmtId="173" fontId="0" fillId="0" borderId="4" xfId="206" applyNumberFormat="1" applyFont="1" applyBorder="1" applyAlignment="1">
      <alignment vertical="center"/>
    </xf>
    <xf numFmtId="173" fontId="79" fillId="0" borderId="0" xfId="206" applyNumberFormat="1" applyFont="1" applyAlignment="1">
      <alignment vertical="center"/>
    </xf>
    <xf numFmtId="0" fontId="80" fillId="0" borderId="0" xfId="204" applyFont="1" applyAlignment="1">
      <alignment horizontal="center" vertical="center"/>
    </xf>
    <xf numFmtId="173" fontId="8" fillId="0" borderId="0" xfId="204" applyNumberFormat="1" applyAlignment="1">
      <alignment vertical="center"/>
    </xf>
    <xf numFmtId="173" fontId="8" fillId="0" borderId="0" xfId="206" applyNumberFormat="1" applyFont="1" applyBorder="1" applyAlignment="1">
      <alignment horizontal="center" vertical="center" wrapText="1"/>
    </xf>
    <xf numFmtId="173" fontId="78" fillId="0" borderId="0" xfId="206" applyNumberFormat="1" applyFont="1" applyBorder="1" applyAlignment="1">
      <alignment horizontal="center" vertical="center" wrapText="1"/>
    </xf>
    <xf numFmtId="0" fontId="72" fillId="0" borderId="0" xfId="204" applyFont="1" applyBorder="1" applyAlignment="1">
      <alignment horizontal="left" vertical="center" wrapText="1"/>
    </xf>
    <xf numFmtId="0" fontId="8" fillId="0" borderId="0" xfId="204" applyAlignment="1">
      <alignment horizontal="left" vertical="center"/>
    </xf>
    <xf numFmtId="173" fontId="8" fillId="0" borderId="4" xfId="206" applyNumberFormat="1" applyFont="1" applyBorder="1" applyAlignment="1">
      <alignment horizontal="center" vertical="center" wrapText="1"/>
    </xf>
    <xf numFmtId="173" fontId="72" fillId="0" borderId="0" xfId="206" applyNumberFormat="1" applyFont="1" applyAlignment="1">
      <alignment vertical="center"/>
    </xf>
    <xf numFmtId="173" fontId="78" fillId="0" borderId="4" xfId="206" applyNumberFormat="1" applyFont="1" applyBorder="1" applyAlignment="1">
      <alignment horizontal="center" vertical="center" wrapText="1"/>
    </xf>
    <xf numFmtId="0" fontId="83" fillId="0" borderId="0" xfId="204" applyFont="1" applyAlignment="1">
      <alignment horizontal="center"/>
    </xf>
    <xf numFmtId="0" fontId="84" fillId="0" borderId="0" xfId="204" applyFont="1" applyAlignment="1">
      <alignment horizontal="center"/>
    </xf>
    <xf numFmtId="0" fontId="85" fillId="0" borderId="0" xfId="204" applyFont="1" applyAlignment="1">
      <alignment horizontal="left" indent="1"/>
    </xf>
    <xf numFmtId="0" fontId="8" fillId="0" borderId="0" xfId="204" applyAlignment="1"/>
    <xf numFmtId="0" fontId="85" fillId="0" borderId="0" xfId="204" applyFont="1" applyAlignment="1">
      <alignment horizontal="left" indent="2"/>
    </xf>
    <xf numFmtId="44" fontId="0" fillId="0" borderId="0" xfId="206" applyFont="1"/>
    <xf numFmtId="43" fontId="0" fillId="0" borderId="0" xfId="205" applyFont="1"/>
    <xf numFmtId="43" fontId="0" fillId="7" borderId="0" xfId="205" applyFont="1" applyFill="1"/>
    <xf numFmtId="43" fontId="0" fillId="7" borderId="0" xfId="205" applyFont="1" applyFill="1" applyBorder="1"/>
    <xf numFmtId="43" fontId="78" fillId="0" borderId="0" xfId="205" applyFont="1"/>
    <xf numFmtId="44" fontId="8" fillId="7" borderId="14" xfId="204" applyNumberFormat="1" applyFill="1" applyBorder="1"/>
    <xf numFmtId="0" fontId="72" fillId="0" borderId="0" xfId="204" applyFont="1"/>
    <xf numFmtId="0" fontId="8" fillId="0" borderId="0" xfId="204" applyAlignment="1">
      <alignment horizontal="left" indent="1"/>
    </xf>
    <xf numFmtId="0" fontId="86" fillId="0" borderId="0" xfId="204" applyFont="1"/>
    <xf numFmtId="0" fontId="86" fillId="0" borderId="0" xfId="204" applyFont="1" applyAlignment="1">
      <alignment horizontal="left" indent="1"/>
    </xf>
    <xf numFmtId="43" fontId="8" fillId="0" borderId="0" xfId="205" applyFont="1"/>
    <xf numFmtId="43" fontId="0" fillId="0" borderId="0" xfId="205" applyFont="1" applyFill="1" applyBorder="1"/>
    <xf numFmtId="43" fontId="8" fillId="0" borderId="0" xfId="205" applyFont="1" applyFill="1" applyBorder="1"/>
    <xf numFmtId="44" fontId="0" fillId="7" borderId="14" xfId="206" applyFont="1" applyFill="1" applyBorder="1"/>
    <xf numFmtId="0" fontId="8" fillId="0" borderId="0" xfId="204" applyFont="1"/>
    <xf numFmtId="0" fontId="87" fillId="0" borderId="0" xfId="204" applyFont="1"/>
    <xf numFmtId="0" fontId="72" fillId="0" borderId="0" xfId="204" applyFont="1" applyAlignment="1">
      <alignment horizontal="center"/>
    </xf>
    <xf numFmtId="173" fontId="0" fillId="0" borderId="0" xfId="206" applyNumberFormat="1" applyFont="1"/>
    <xf numFmtId="174" fontId="0" fillId="0" borderId="0" xfId="205" applyNumberFormat="1" applyFont="1"/>
    <xf numFmtId="173" fontId="8" fillId="0" borderId="0" xfId="204" applyNumberFormat="1"/>
    <xf numFmtId="174" fontId="0" fillId="0" borderId="4" xfId="205" applyNumberFormat="1" applyFont="1" applyBorder="1"/>
    <xf numFmtId="0" fontId="88" fillId="0" borderId="0" xfId="204" applyFont="1"/>
    <xf numFmtId="173" fontId="0" fillId="7" borderId="0" xfId="206" applyNumberFormat="1" applyFont="1" applyFill="1"/>
    <xf numFmtId="174" fontId="0" fillId="7" borderId="0" xfId="205" applyNumberFormat="1" applyFont="1" applyFill="1"/>
    <xf numFmtId="174" fontId="0" fillId="0" borderId="0" xfId="205" applyNumberFormat="1" applyFont="1" applyFill="1" applyBorder="1"/>
    <xf numFmtId="0" fontId="8" fillId="0" borderId="0" xfId="204" applyAlignment="1">
      <alignment horizontal="center"/>
    </xf>
    <xf numFmtId="0" fontId="90" fillId="0" borderId="0" xfId="204" applyFont="1"/>
    <xf numFmtId="0" fontId="84" fillId="0" borderId="0" xfId="204" applyFont="1" applyAlignment="1">
      <alignment horizontal="left"/>
    </xf>
    <xf numFmtId="174" fontId="8" fillId="0" borderId="0" xfId="205" applyNumberFormat="1" applyFont="1"/>
    <xf numFmtId="173" fontId="8" fillId="7" borderId="14" xfId="204" applyNumberFormat="1" applyFill="1" applyBorder="1"/>
    <xf numFmtId="0" fontId="8" fillId="0" borderId="0" xfId="204" applyAlignment="1">
      <alignment wrapText="1"/>
    </xf>
    <xf numFmtId="0" fontId="73" fillId="0" borderId="0" xfId="204" applyFont="1" applyAlignment="1"/>
    <xf numFmtId="0" fontId="73" fillId="0" borderId="0" xfId="204" applyFont="1" applyAlignment="1">
      <alignment horizontal="left"/>
    </xf>
    <xf numFmtId="0" fontId="73" fillId="0" borderId="0" xfId="204" applyFont="1" applyAlignment="1">
      <alignment horizontal="right"/>
    </xf>
    <xf numFmtId="0" fontId="8" fillId="0" borderId="0" xfId="204" applyAlignment="1">
      <alignment horizontal="left"/>
    </xf>
    <xf numFmtId="0" fontId="75" fillId="0" borderId="0" xfId="204" applyFont="1" applyAlignment="1">
      <alignment horizontal="right"/>
    </xf>
    <xf numFmtId="0" fontId="75" fillId="0" borderId="0" xfId="204" applyFont="1" applyAlignment="1">
      <alignment horizontal="left"/>
    </xf>
    <xf numFmtId="0" fontId="74" fillId="0" borderId="0" xfId="204" applyFont="1" applyAlignment="1"/>
    <xf numFmtId="0" fontId="91" fillId="0" borderId="0" xfId="204" applyFont="1" applyAlignment="1">
      <alignment horizontal="right"/>
    </xf>
    <xf numFmtId="0" fontId="92" fillId="0" borderId="0" xfId="204" applyFont="1" applyAlignment="1"/>
    <xf numFmtId="0" fontId="91" fillId="0" borderId="0" xfId="204" applyFont="1" applyAlignment="1">
      <alignment horizontal="left"/>
    </xf>
    <xf numFmtId="0" fontId="91" fillId="0" borderId="0" xfId="204" applyFont="1" applyAlignment="1"/>
    <xf numFmtId="178" fontId="89" fillId="0" borderId="0" xfId="208" applyFont="1" applyAlignment="1"/>
    <xf numFmtId="0" fontId="8" fillId="0" borderId="0" xfId="204" quotePrefix="1" applyAlignment="1"/>
    <xf numFmtId="0" fontId="93" fillId="0" borderId="0" xfId="204" quotePrefix="1" applyFont="1" applyAlignment="1"/>
    <xf numFmtId="0" fontId="93" fillId="0" borderId="4" xfId="204" quotePrefix="1" applyFont="1" applyBorder="1" applyAlignment="1">
      <alignment horizontal="center"/>
    </xf>
    <xf numFmtId="44" fontId="0" fillId="7" borderId="0" xfId="206" applyFont="1" applyFill="1" applyAlignment="1"/>
    <xf numFmtId="3" fontId="8" fillId="0" borderId="0" xfId="204" applyNumberFormat="1" applyAlignment="1"/>
    <xf numFmtId="44" fontId="0" fillId="0" borderId="28" xfId="206" applyFont="1" applyBorder="1" applyAlignment="1"/>
    <xf numFmtId="44" fontId="0" fillId="0" borderId="0" xfId="206" applyFont="1" applyBorder="1" applyAlignment="1"/>
    <xf numFmtId="44" fontId="0" fillId="0" borderId="0" xfId="206" applyFont="1" applyAlignment="1"/>
    <xf numFmtId="0" fontId="11" fillId="0" borderId="0" xfId="204" applyNumberFormat="1" applyFont="1" applyAlignment="1" applyProtection="1">
      <alignment horizontal="center"/>
      <protection locked="0"/>
    </xf>
    <xf numFmtId="0" fontId="11" fillId="0" borderId="0" xfId="204" applyNumberFormat="1" applyFont="1" applyAlignment="1" applyProtection="1">
      <protection locked="0"/>
    </xf>
    <xf numFmtId="0" fontId="11" fillId="0" borderId="0" xfId="204" applyNumberFormat="1" applyFont="1" applyBorder="1" applyAlignment="1" applyProtection="1">
      <protection locked="0"/>
    </xf>
    <xf numFmtId="0" fontId="11" fillId="0" borderId="0" xfId="204" applyNumberFormat="1" applyFont="1" applyFill="1" applyAlignment="1" applyProtection="1">
      <alignment horizontal="center"/>
      <protection locked="0"/>
    </xf>
    <xf numFmtId="0" fontId="11" fillId="0" borderId="0" xfId="204" applyNumberFormat="1" applyFont="1" applyFill="1" applyBorder="1" applyAlignment="1" applyProtection="1">
      <protection locked="0"/>
    </xf>
    <xf numFmtId="44" fontId="0" fillId="0" borderId="9" xfId="206" applyFont="1" applyBorder="1" applyAlignment="1"/>
    <xf numFmtId="0" fontId="11" fillId="0" borderId="0" xfId="139" applyNumberFormat="1" applyFont="1" applyAlignment="1"/>
    <xf numFmtId="0" fontId="11" fillId="0" borderId="0" xfId="139" applyNumberFormat="1" applyFont="1"/>
    <xf numFmtId="39" fontId="11" fillId="0" borderId="0" xfId="139" applyFont="1" applyAlignment="1"/>
    <xf numFmtId="3" fontId="11" fillId="2" borderId="0" xfId="139" applyNumberFormat="1" applyFont="1" applyFill="1"/>
    <xf numFmtId="3" fontId="11" fillId="2" borderId="1" xfId="139" applyNumberFormat="1" applyFont="1" applyFill="1" applyBorder="1"/>
    <xf numFmtId="3" fontId="11" fillId="0" borderId="0" xfId="139" applyNumberFormat="1" applyFont="1" applyFill="1"/>
    <xf numFmtId="42" fontId="11" fillId="0" borderId="29" xfId="139" applyNumberFormat="1" applyFont="1" applyBorder="1" applyAlignment="1" applyProtection="1">
      <alignment horizontal="right"/>
      <protection locked="0"/>
    </xf>
    <xf numFmtId="43" fontId="0" fillId="0" borderId="1" xfId="205" applyFont="1" applyBorder="1"/>
    <xf numFmtId="0" fontId="86" fillId="0" borderId="0" xfId="204" applyFont="1" applyAlignment="1">
      <alignment horizontal="left" indent="2"/>
    </xf>
    <xf numFmtId="174" fontId="8" fillId="0" borderId="0" xfId="1" applyNumberFormat="1" applyFont="1"/>
    <xf numFmtId="174" fontId="0" fillId="0" borderId="0" xfId="1" applyNumberFormat="1" applyFont="1"/>
    <xf numFmtId="174" fontId="78" fillId="0" borderId="0" xfId="1" applyNumberFormat="1" applyFont="1"/>
    <xf numFmtId="173" fontId="0" fillId="0" borderId="0" xfId="199" applyNumberFormat="1" applyFont="1"/>
    <xf numFmtId="173" fontId="78" fillId="0" borderId="0" xfId="199" applyNumberFormat="1" applyFont="1"/>
    <xf numFmtId="173" fontId="8" fillId="0" borderId="0" xfId="199" applyNumberFormat="1" applyFont="1"/>
    <xf numFmtId="173" fontId="0" fillId="0" borderId="4" xfId="199" applyNumberFormat="1" applyFont="1" applyBorder="1"/>
    <xf numFmtId="173" fontId="23" fillId="0" borderId="0" xfId="199" applyNumberFormat="1" applyFont="1" applyFill="1"/>
    <xf numFmtId="173" fontId="47" fillId="0" borderId="0" xfId="4" applyNumberFormat="1" applyFont="1" applyFill="1"/>
    <xf numFmtId="44" fontId="0" fillId="0" borderId="0" xfId="199" applyFont="1"/>
    <xf numFmtId="43" fontId="6" fillId="0" borderId="0" xfId="205" applyFont="1"/>
    <xf numFmtId="0" fontId="6" fillId="7" borderId="0" xfId="204" applyFont="1" applyFill="1"/>
    <xf numFmtId="0" fontId="11" fillId="0" borderId="0" xfId="139" applyNumberFormat="1" applyFont="1" applyFill="1" applyAlignment="1" applyProtection="1">
      <alignment horizontal="center"/>
      <protection locked="0"/>
    </xf>
    <xf numFmtId="0" fontId="8" fillId="0" borderId="0" xfId="204" applyFill="1"/>
    <xf numFmtId="0" fontId="7" fillId="0" borderId="0" xfId="204" applyFont="1" applyFill="1" applyAlignment="1">
      <alignment horizontal="center"/>
    </xf>
    <xf numFmtId="0" fontId="5" fillId="0" borderId="0" xfId="204" applyFont="1"/>
    <xf numFmtId="173" fontId="79" fillId="0" borderId="0" xfId="206" applyNumberFormat="1" applyFont="1" applyFill="1" applyAlignment="1">
      <alignment vertical="center"/>
    </xf>
    <xf numFmtId="0" fontId="4" fillId="0" borderId="0" xfId="204" applyFont="1"/>
    <xf numFmtId="0" fontId="4" fillId="0" borderId="0" xfId="204" applyFont="1" applyAlignment="1">
      <alignment horizontal="left" indent="1"/>
    </xf>
    <xf numFmtId="0" fontId="4" fillId="0" borderId="0" xfId="204" applyFont="1" applyAlignment="1">
      <alignment horizontal="left" indent="2"/>
    </xf>
    <xf numFmtId="0" fontId="3" fillId="0" borderId="0" xfId="204" applyFont="1"/>
    <xf numFmtId="0" fontId="94" fillId="0" borderId="0" xfId="204" applyFont="1"/>
    <xf numFmtId="0" fontId="2" fillId="0" borderId="0" xfId="204" applyFont="1"/>
    <xf numFmtId="0" fontId="2" fillId="0" borderId="0" xfId="204" applyFont="1" applyAlignment="1">
      <alignment horizontal="left" indent="1"/>
    </xf>
    <xf numFmtId="174" fontId="0" fillId="7" borderId="0" xfId="205" applyNumberFormat="1" applyFont="1" applyFill="1" applyBorder="1"/>
    <xf numFmtId="0" fontId="71" fillId="0" borderId="0" xfId="204" applyFont="1"/>
    <xf numFmtId="0" fontId="11" fillId="0" borderId="0" xfId="0" applyNumberFormat="1" applyFont="1" applyFill="1" applyAlignment="1">
      <alignment vertical="top" wrapText="1"/>
    </xf>
    <xf numFmtId="0" fontId="11" fillId="0" borderId="0" xfId="0" applyNumberFormat="1" applyFont="1" applyFill="1" applyAlignment="1" applyProtection="1">
      <alignment vertical="top" wrapText="1"/>
      <protection locked="0"/>
    </xf>
    <xf numFmtId="0" fontId="11" fillId="0" borderId="0" xfId="0" applyNumberFormat="1" applyFont="1" applyAlignment="1" applyProtection="1">
      <alignment vertical="top" wrapText="1"/>
      <protection locked="0"/>
    </xf>
    <xf numFmtId="0" fontId="11" fillId="0" borderId="8" xfId="0" applyNumberFormat="1" applyFont="1" applyBorder="1" applyAlignment="1">
      <alignment horizontal="center"/>
    </xf>
    <xf numFmtId="0" fontId="11" fillId="0" borderId="9" xfId="0" applyNumberFormat="1" applyFont="1" applyBorder="1" applyAlignment="1">
      <alignment horizontal="center"/>
    </xf>
    <xf numFmtId="0" fontId="11" fillId="0" borderId="10" xfId="0" applyNumberFormat="1" applyFont="1" applyBorder="1" applyAlignment="1">
      <alignment horizontal="center"/>
    </xf>
    <xf numFmtId="3" fontId="11" fillId="0" borderId="0" xfId="0" applyNumberFormat="1" applyFont="1" applyAlignment="1">
      <alignment horizontal="right"/>
    </xf>
    <xf numFmtId="0" fontId="22" fillId="0" borderId="0" xfId="2" applyFont="1" applyAlignment="1">
      <alignment horizontal="center"/>
    </xf>
    <xf numFmtId="0" fontId="24" fillId="0" borderId="0" xfId="2" applyFont="1" applyAlignment="1">
      <alignment horizontal="center"/>
    </xf>
    <xf numFmtId="14" fontId="22" fillId="0" borderId="0" xfId="2" applyNumberFormat="1" applyFont="1" applyAlignment="1">
      <alignment horizontal="center"/>
    </xf>
    <xf numFmtId="0" fontId="25" fillId="0" borderId="4" xfId="2" applyFont="1" applyBorder="1" applyAlignment="1">
      <alignment horizontal="center"/>
    </xf>
    <xf numFmtId="0" fontId="25" fillId="0" borderId="4" xfId="2" applyFont="1" applyFill="1" applyBorder="1" applyAlignment="1">
      <alignment horizontal="center"/>
    </xf>
    <xf numFmtId="0" fontId="67" fillId="0" borderId="0" xfId="2" applyFont="1" applyAlignment="1">
      <alignment horizontal="center"/>
    </xf>
    <xf numFmtId="0" fontId="65" fillId="0" borderId="0" xfId="2" applyFont="1" applyAlignment="1">
      <alignment horizontal="center"/>
    </xf>
    <xf numFmtId="14" fontId="67" fillId="0" borderId="0" xfId="2" applyNumberFormat="1" applyFont="1" applyAlignment="1">
      <alignment horizontal="center"/>
    </xf>
    <xf numFmtId="0" fontId="68" fillId="0" borderId="4" xfId="2" applyFont="1" applyBorder="1" applyAlignment="1">
      <alignment horizontal="center"/>
    </xf>
    <xf numFmtId="0" fontId="21" fillId="0" borderId="8" xfId="2" applyFill="1" applyBorder="1" applyAlignment="1">
      <alignment horizontal="left"/>
    </xf>
    <xf numFmtId="0" fontId="21" fillId="0" borderId="9" xfId="2" applyFill="1" applyBorder="1" applyAlignment="1">
      <alignment horizontal="left"/>
    </xf>
    <xf numFmtId="0" fontId="26" fillId="0" borderId="4" xfId="2" applyFont="1" applyBorder="1" applyAlignment="1">
      <alignment horizontal="center"/>
    </xf>
    <xf numFmtId="0" fontId="59" fillId="0" borderId="7" xfId="2" applyFont="1" applyBorder="1" applyAlignment="1">
      <alignment horizontal="left"/>
    </xf>
    <xf numFmtId="0" fontId="59" fillId="0" borderId="4" xfId="2" applyFont="1" applyBorder="1" applyAlignment="1">
      <alignment horizontal="left"/>
    </xf>
    <xf numFmtId="0" fontId="59" fillId="0" borderId="5" xfId="2" applyFont="1" applyBorder="1" applyAlignment="1">
      <alignment horizontal="left"/>
    </xf>
    <xf numFmtId="0" fontId="58" fillId="0" borderId="0" xfId="2" applyFont="1" applyAlignment="1">
      <alignment horizontal="center"/>
    </xf>
    <xf numFmtId="14" fontId="58" fillId="0" borderId="0" xfId="2" applyNumberFormat="1" applyFont="1" applyAlignment="1">
      <alignment horizontal="center"/>
    </xf>
    <xf numFmtId="0" fontId="59" fillId="6" borderId="14" xfId="2" applyFont="1" applyFill="1" applyBorder="1" applyAlignment="1">
      <alignment horizontal="center"/>
    </xf>
    <xf numFmtId="0" fontId="8" fillId="0" borderId="0" xfId="204" applyAlignment="1">
      <alignment horizontal="left"/>
    </xf>
    <xf numFmtId="0" fontId="11" fillId="0" borderId="0" xfId="139" applyNumberFormat="1" applyFont="1" applyFill="1"/>
    <xf numFmtId="0" fontId="1" fillId="0" borderId="0" xfId="204" applyFont="1" applyAlignment="1">
      <alignment horizontal="left" indent="1"/>
    </xf>
    <xf numFmtId="0" fontId="1" fillId="0" borderId="0" xfId="204" applyFont="1"/>
  </cellXfs>
  <cellStyles count="211">
    <cellStyle name="C00A" xfId="7"/>
    <cellStyle name="C00B" xfId="8"/>
    <cellStyle name="C00L" xfId="9"/>
    <cellStyle name="C01A" xfId="10"/>
    <cellStyle name="C01B" xfId="11"/>
    <cellStyle name="C01H" xfId="12"/>
    <cellStyle name="C01L" xfId="13"/>
    <cellStyle name="C02A" xfId="14"/>
    <cellStyle name="C02B" xfId="15"/>
    <cellStyle name="C02H" xfId="16"/>
    <cellStyle name="C02L" xfId="17"/>
    <cellStyle name="C03A" xfId="18"/>
    <cellStyle name="C03B" xfId="19"/>
    <cellStyle name="C03H" xfId="20"/>
    <cellStyle name="C03L" xfId="21"/>
    <cellStyle name="C04A" xfId="22"/>
    <cellStyle name="C04B" xfId="23"/>
    <cellStyle name="C04H" xfId="24"/>
    <cellStyle name="C04L" xfId="25"/>
    <cellStyle name="C05A" xfId="26"/>
    <cellStyle name="C05B" xfId="27"/>
    <cellStyle name="C05H" xfId="28"/>
    <cellStyle name="C05L" xfId="29"/>
    <cellStyle name="C06A" xfId="30"/>
    <cellStyle name="C06B" xfId="31"/>
    <cellStyle name="C06H" xfId="32"/>
    <cellStyle name="C06L" xfId="33"/>
    <cellStyle name="C07A" xfId="34"/>
    <cellStyle name="C07B" xfId="35"/>
    <cellStyle name="C07H" xfId="36"/>
    <cellStyle name="C07L" xfId="37"/>
    <cellStyle name="Comma" xfId="1" builtinId="3"/>
    <cellStyle name="Comma [2]" xfId="38"/>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9" xfId="123"/>
    <cellStyle name="Comma0" xfId="124"/>
    <cellStyle name="Currency" xfId="199" builtinId="4"/>
    <cellStyle name="Currency [2]" xfId="125"/>
    <cellStyle name="Currency 2" xfId="4"/>
    <cellStyle name="Currency 3" xfId="126"/>
    <cellStyle name="Currency 3 2" xfId="127"/>
    <cellStyle name="Currency 3 3" xfId="209"/>
    <cellStyle name="Currency 4" xfId="128"/>
    <cellStyle name="Currency 5" xfId="129"/>
    <cellStyle name="Currency 6" xfId="202"/>
    <cellStyle name="Currency 7" xfId="206"/>
    <cellStyle name="Currency0" xfId="130"/>
    <cellStyle name="Date" xfId="131"/>
    <cellStyle name="Fixed" xfId="132"/>
    <cellStyle name="Grey" xfId="133"/>
    <cellStyle name="Heading1" xfId="134"/>
    <cellStyle name="Heading2" xfId="135"/>
    <cellStyle name="Input [yellow]" xfId="136"/>
    <cellStyle name="Normal" xfId="0" builtinId="0"/>
    <cellStyle name="Normal - Style1" xfId="137"/>
    <cellStyle name="Normal 10" xfId="204"/>
    <cellStyle name="Normal 11" xfId="138"/>
    <cellStyle name="Normal 2" xfId="2"/>
    <cellStyle name="Normal 2 2" xfId="6"/>
    <cellStyle name="Normal 3" xfId="139"/>
    <cellStyle name="Normal 3 2" xfId="210"/>
    <cellStyle name="Normal 33" xfId="140"/>
    <cellStyle name="Normal 34" xfId="141"/>
    <cellStyle name="Normal 4" xfId="142"/>
    <cellStyle name="Normal 4 2" xfId="143"/>
    <cellStyle name="Normal 5" xfId="144"/>
    <cellStyle name="Normal 6" xfId="5"/>
    <cellStyle name="Normal 6 2" xfId="145"/>
    <cellStyle name="Normal 6 3" xfId="200"/>
    <cellStyle name="Normal 7" xfId="146"/>
    <cellStyle name="Normal 8" xfId="147"/>
    <cellStyle name="Normal 9" xfId="203"/>
    <cellStyle name="Normal_Debt Service" xfId="208"/>
    <cellStyle name="Percent" xfId="198" builtinId="5"/>
    <cellStyle name="Percent [2]" xfId="148"/>
    <cellStyle name="Percent 2" xfId="149"/>
    <cellStyle name="Percent 3" xfId="150"/>
    <cellStyle name="Percent 3 2" xfId="151"/>
    <cellStyle name="Percent 4" xfId="152"/>
    <cellStyle name="Percent 5" xfId="153"/>
    <cellStyle name="Percent 6" xfId="154"/>
    <cellStyle name="Percent 7" xfId="207"/>
    <cellStyle name="PSChar" xfId="155"/>
    <cellStyle name="PSDate" xfId="156"/>
    <cellStyle name="PSDec" xfId="157"/>
    <cellStyle name="PSdesc" xfId="158"/>
    <cellStyle name="PSHeading" xfId="159"/>
    <cellStyle name="PSInt" xfId="160"/>
    <cellStyle name="PSSpacer" xfId="161"/>
    <cellStyle name="PStest" xfId="162"/>
    <cellStyle name="R00A" xfId="163"/>
    <cellStyle name="R00B" xfId="164"/>
    <cellStyle name="R00L" xfId="165"/>
    <cellStyle name="R01A" xfId="166"/>
    <cellStyle name="R01B" xfId="167"/>
    <cellStyle name="R01H" xfId="168"/>
    <cellStyle name="R01L" xfId="169"/>
    <cellStyle name="R02A" xfId="170"/>
    <cellStyle name="R02B" xfId="171"/>
    <cellStyle name="R02H" xfId="172"/>
    <cellStyle name="R02L" xfId="173"/>
    <cellStyle name="R03A" xfId="174"/>
    <cellStyle name="R03B" xfId="175"/>
    <cellStyle name="R03H" xfId="176"/>
    <cellStyle name="R03L" xfId="177"/>
    <cellStyle name="R04A" xfId="178"/>
    <cellStyle name="R04B" xfId="179"/>
    <cellStyle name="R04H" xfId="180"/>
    <cellStyle name="R04L" xfId="181"/>
    <cellStyle name="R05A" xfId="182"/>
    <cellStyle name="R05B" xfId="183"/>
    <cellStyle name="R05H" xfId="184"/>
    <cellStyle name="R05L" xfId="185"/>
    <cellStyle name="R06A" xfId="186"/>
    <cellStyle name="R06B" xfId="187"/>
    <cellStyle name="R06H" xfId="188"/>
    <cellStyle name="R06L" xfId="189"/>
    <cellStyle name="R07A" xfId="190"/>
    <cellStyle name="R07B" xfId="191"/>
    <cellStyle name="R07H" xfId="192"/>
    <cellStyle name="R07L" xfId="193"/>
    <cellStyle name="STYLE1" xfId="194"/>
    <cellStyle name="STYLE2" xfId="195"/>
    <cellStyle name="STYLE3" xfId="196"/>
    <cellStyle name="STYLE4" xfId="19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showGridLines="0" tabSelected="1" workbookViewId="0">
      <selection activeCell="C28" sqref="C28"/>
    </sheetView>
  </sheetViews>
  <sheetFormatPr defaultRowHeight="15"/>
  <cols>
    <col min="1" max="3" width="8.88671875" style="401"/>
    <col min="4" max="4" width="40.77734375" style="401" customWidth="1"/>
    <col min="5" max="5" width="7.44140625" style="401" customWidth="1"/>
    <col min="6" max="16384" width="8.88671875" style="401"/>
  </cols>
  <sheetData>
    <row r="3" spans="4:5" ht="18.75">
      <c r="D3" s="399" t="s">
        <v>510</v>
      </c>
      <c r="E3" s="400"/>
    </row>
    <row r="4" spans="4:5" ht="18.75">
      <c r="D4" s="399" t="s">
        <v>545</v>
      </c>
      <c r="E4" s="400"/>
    </row>
    <row r="5" spans="4:5" ht="18.75">
      <c r="D5" s="399" t="s">
        <v>546</v>
      </c>
      <c r="E5" s="402">
        <v>2015</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O62"/>
  <sheetViews>
    <sheetView showGridLines="0" topLeftCell="A43" zoomScale="80" zoomScaleNormal="80" workbookViewId="0">
      <selection activeCell="G24" sqref="G24:J24"/>
    </sheetView>
  </sheetViews>
  <sheetFormatPr defaultRowHeight="15"/>
  <cols>
    <col min="1" max="1" width="8.88671875" style="403"/>
    <col min="2" max="3" width="1.109375" style="403" customWidth="1"/>
    <col min="4" max="4" width="8.88671875" style="403"/>
    <col min="5" max="5" width="21.6640625" style="403" customWidth="1"/>
    <col min="6" max="6" width="6.21875" style="403" customWidth="1"/>
    <col min="7" max="7" width="14.109375" style="403" customWidth="1"/>
    <col min="8" max="12" width="12.44140625" style="403" customWidth="1"/>
    <col min="13" max="13" width="14.5546875" style="403" customWidth="1"/>
    <col min="14" max="14" width="10.21875" style="403" bestFit="1" customWidth="1"/>
    <col min="15" max="16" width="1.44140625" style="403" customWidth="1"/>
    <col min="17" max="16384" width="8.88671875" style="403"/>
  </cols>
  <sheetData>
    <row r="3" spans="4:15" ht="6.75" customHeight="1"/>
    <row r="4" spans="4:15" ht="6.75" customHeight="1"/>
    <row r="5" spans="4:15" ht="15.75">
      <c r="D5" s="404" t="str">
        <f>Coversheet!D3</f>
        <v>Marshall (Minnesota) Municipal Utilities</v>
      </c>
      <c r="E5" s="404"/>
      <c r="F5" s="404"/>
      <c r="G5" s="404"/>
      <c r="H5" s="404"/>
      <c r="I5" s="404"/>
      <c r="J5" s="404"/>
      <c r="K5" s="404"/>
      <c r="L5" s="404"/>
      <c r="M5" s="404"/>
    </row>
    <row r="6" spans="4:15" ht="15.75">
      <c r="D6" s="405">
        <f>Coversheet!E5</f>
        <v>2015</v>
      </c>
      <c r="E6" s="404" t="s">
        <v>553</v>
      </c>
      <c r="F6" s="404"/>
      <c r="G6" s="404"/>
      <c r="H6" s="404"/>
      <c r="I6" s="404"/>
      <c r="J6" s="404"/>
      <c r="K6" s="404"/>
      <c r="L6" s="404"/>
      <c r="M6" s="404"/>
    </row>
    <row r="7" spans="4:15" ht="15.75">
      <c r="D7" s="404" t="s">
        <v>546</v>
      </c>
      <c r="E7" s="404"/>
      <c r="F7" s="404"/>
      <c r="G7" s="406">
        <f>Coversheet!E5</f>
        <v>2015</v>
      </c>
      <c r="M7" s="404"/>
    </row>
    <row r="8" spans="4:15" ht="17.25" customHeight="1">
      <c r="D8" s="404"/>
      <c r="E8" s="404"/>
      <c r="F8" s="404"/>
      <c r="G8" s="406"/>
      <c r="M8" s="404"/>
    </row>
    <row r="9" spans="4:15" s="408" customFormat="1" ht="30" customHeight="1">
      <c r="D9" s="407" t="s">
        <v>548</v>
      </c>
      <c r="E9" s="407" t="s">
        <v>554</v>
      </c>
      <c r="F9" s="407" t="s">
        <v>550</v>
      </c>
      <c r="G9" s="407" t="s">
        <v>555</v>
      </c>
      <c r="H9" s="407" t="s">
        <v>45</v>
      </c>
      <c r="I9" s="407" t="s">
        <v>506</v>
      </c>
      <c r="J9" s="407" t="s">
        <v>556</v>
      </c>
      <c r="K9" s="407" t="s">
        <v>557</v>
      </c>
      <c r="L9" s="407" t="s">
        <v>558</v>
      </c>
      <c r="M9" s="407" t="s">
        <v>559</v>
      </c>
    </row>
    <row r="10" spans="4:15" s="408" customFormat="1">
      <c r="D10" s="409">
        <v>1</v>
      </c>
      <c r="E10" s="418" t="s">
        <v>540</v>
      </c>
      <c r="F10" s="418">
        <f>$G$7-1</f>
        <v>2014</v>
      </c>
      <c r="G10" s="419">
        <v>2809519</v>
      </c>
      <c r="H10" s="419">
        <v>16250246</v>
      </c>
      <c r="I10" s="419">
        <v>52675047</v>
      </c>
      <c r="J10" s="419">
        <v>6987498</v>
      </c>
      <c r="K10" s="419">
        <v>0</v>
      </c>
      <c r="L10" s="419">
        <v>0</v>
      </c>
      <c r="M10" s="420">
        <f>SUM(G10:L10)</f>
        <v>78722310</v>
      </c>
      <c r="N10" s="421"/>
      <c r="O10" s="421"/>
    </row>
    <row r="11" spans="4:15">
      <c r="D11" s="409">
        <v>2</v>
      </c>
      <c r="E11" s="410" t="s">
        <v>529</v>
      </c>
      <c r="F11" s="409">
        <f>$G$7</f>
        <v>2015</v>
      </c>
      <c r="G11" s="419">
        <v>2809519</v>
      </c>
      <c r="H11" s="419">
        <v>16250246</v>
      </c>
      <c r="I11" s="419">
        <v>52675047</v>
      </c>
      <c r="J11" s="419">
        <v>6987498</v>
      </c>
      <c r="K11" s="419">
        <v>0</v>
      </c>
      <c r="L11" s="419">
        <v>0</v>
      </c>
      <c r="M11" s="420">
        <f t="shared" ref="M11:M22" si="0">SUM(G11:L11)</f>
        <v>78722310</v>
      </c>
      <c r="O11" s="421"/>
    </row>
    <row r="12" spans="4:15" ht="15.75">
      <c r="D12" s="409">
        <v>3</v>
      </c>
      <c r="E12" s="413" t="s">
        <v>530</v>
      </c>
      <c r="F12" s="409">
        <f t="shared" ref="F12:F22" si="1">$G$7</f>
        <v>2015</v>
      </c>
      <c r="G12" s="419">
        <v>2809519</v>
      </c>
      <c r="H12" s="419">
        <v>16250246</v>
      </c>
      <c r="I12" s="419">
        <v>52675047</v>
      </c>
      <c r="J12" s="419">
        <v>6987498</v>
      </c>
      <c r="K12" s="419">
        <v>0</v>
      </c>
      <c r="L12" s="419">
        <v>0</v>
      </c>
      <c r="M12" s="420">
        <f t="shared" si="0"/>
        <v>78722310</v>
      </c>
      <c r="O12" s="421"/>
    </row>
    <row r="13" spans="4:15" ht="15.75">
      <c r="D13" s="409">
        <v>4</v>
      </c>
      <c r="E13" s="413" t="s">
        <v>531</v>
      </c>
      <c r="F13" s="409">
        <f t="shared" si="1"/>
        <v>2015</v>
      </c>
      <c r="G13" s="419">
        <v>2809519</v>
      </c>
      <c r="H13" s="419">
        <v>16250246</v>
      </c>
      <c r="I13" s="419">
        <v>52675047</v>
      </c>
      <c r="J13" s="419">
        <v>6987498</v>
      </c>
      <c r="K13" s="419">
        <v>0</v>
      </c>
      <c r="L13" s="419">
        <v>0</v>
      </c>
      <c r="M13" s="420">
        <f t="shared" si="0"/>
        <v>78722310</v>
      </c>
      <c r="O13" s="421"/>
    </row>
    <row r="14" spans="4:15" ht="15.75">
      <c r="D14" s="409">
        <v>5</v>
      </c>
      <c r="E14" s="413" t="s">
        <v>532</v>
      </c>
      <c r="F14" s="409">
        <f t="shared" si="1"/>
        <v>2015</v>
      </c>
      <c r="G14" s="419">
        <v>2809519</v>
      </c>
      <c r="H14" s="419">
        <v>16250246</v>
      </c>
      <c r="I14" s="419">
        <v>52675047</v>
      </c>
      <c r="J14" s="419">
        <v>6987498</v>
      </c>
      <c r="K14" s="419">
        <v>0</v>
      </c>
      <c r="L14" s="419">
        <v>0</v>
      </c>
      <c r="M14" s="420">
        <f t="shared" si="0"/>
        <v>78722310</v>
      </c>
      <c r="O14" s="421"/>
    </row>
    <row r="15" spans="4:15" ht="15.75">
      <c r="D15" s="409">
        <v>6</v>
      </c>
      <c r="E15" s="413" t="s">
        <v>533</v>
      </c>
      <c r="F15" s="409">
        <f t="shared" si="1"/>
        <v>2015</v>
      </c>
      <c r="G15" s="419">
        <v>2809519</v>
      </c>
      <c r="H15" s="419">
        <v>16250246</v>
      </c>
      <c r="I15" s="419">
        <v>52675047</v>
      </c>
      <c r="J15" s="419">
        <v>6987498</v>
      </c>
      <c r="K15" s="419">
        <v>0</v>
      </c>
      <c r="L15" s="419">
        <v>0</v>
      </c>
      <c r="M15" s="420">
        <f t="shared" si="0"/>
        <v>78722310</v>
      </c>
      <c r="O15" s="421"/>
    </row>
    <row r="16" spans="4:15" ht="15.75">
      <c r="D16" s="409">
        <v>7</v>
      </c>
      <c r="E16" s="413" t="s">
        <v>534</v>
      </c>
      <c r="F16" s="409">
        <f t="shared" si="1"/>
        <v>2015</v>
      </c>
      <c r="G16" s="419">
        <v>2809519</v>
      </c>
      <c r="H16" s="419">
        <v>16250246</v>
      </c>
      <c r="I16" s="419">
        <v>52675047</v>
      </c>
      <c r="J16" s="419">
        <v>6987498</v>
      </c>
      <c r="K16" s="419">
        <v>0</v>
      </c>
      <c r="L16" s="419">
        <v>0</v>
      </c>
      <c r="M16" s="420">
        <f t="shared" si="0"/>
        <v>78722310</v>
      </c>
      <c r="O16" s="421"/>
    </row>
    <row r="17" spans="4:15" ht="15.75">
      <c r="D17" s="409">
        <v>8</v>
      </c>
      <c r="E17" s="413" t="s">
        <v>535</v>
      </c>
      <c r="F17" s="409">
        <f t="shared" si="1"/>
        <v>2015</v>
      </c>
      <c r="G17" s="419">
        <v>2809519</v>
      </c>
      <c r="H17" s="419">
        <v>16250246</v>
      </c>
      <c r="I17" s="419">
        <v>52675047</v>
      </c>
      <c r="J17" s="419">
        <v>6987498</v>
      </c>
      <c r="K17" s="419">
        <v>0</v>
      </c>
      <c r="L17" s="419">
        <v>0</v>
      </c>
      <c r="M17" s="420">
        <f t="shared" si="0"/>
        <v>78722310</v>
      </c>
      <c r="O17" s="421"/>
    </row>
    <row r="18" spans="4:15" ht="15.75">
      <c r="D18" s="409">
        <v>9</v>
      </c>
      <c r="E18" s="413" t="s">
        <v>536</v>
      </c>
      <c r="F18" s="409">
        <f t="shared" si="1"/>
        <v>2015</v>
      </c>
      <c r="G18" s="419">
        <v>2809519</v>
      </c>
      <c r="H18" s="419">
        <v>16250246</v>
      </c>
      <c r="I18" s="419">
        <v>52675047</v>
      </c>
      <c r="J18" s="419">
        <v>6987498</v>
      </c>
      <c r="K18" s="419">
        <v>0</v>
      </c>
      <c r="L18" s="419">
        <v>0</v>
      </c>
      <c r="M18" s="420">
        <f t="shared" si="0"/>
        <v>78722310</v>
      </c>
      <c r="O18" s="421"/>
    </row>
    <row r="19" spans="4:15" ht="15.75">
      <c r="D19" s="409">
        <v>10</v>
      </c>
      <c r="E19" s="413" t="s">
        <v>537</v>
      </c>
      <c r="F19" s="409">
        <f t="shared" si="1"/>
        <v>2015</v>
      </c>
      <c r="G19" s="419">
        <v>2809519</v>
      </c>
      <c r="H19" s="419">
        <v>16250246</v>
      </c>
      <c r="I19" s="419">
        <v>52675047</v>
      </c>
      <c r="J19" s="419">
        <v>6987498</v>
      </c>
      <c r="K19" s="419">
        <v>0</v>
      </c>
      <c r="L19" s="419">
        <v>0</v>
      </c>
      <c r="M19" s="420">
        <f t="shared" si="0"/>
        <v>78722310</v>
      </c>
      <c r="O19" s="421"/>
    </row>
    <row r="20" spans="4:15" ht="15.75">
      <c r="D20" s="409">
        <v>11</v>
      </c>
      <c r="E20" s="413" t="s">
        <v>538</v>
      </c>
      <c r="F20" s="409">
        <f t="shared" si="1"/>
        <v>2015</v>
      </c>
      <c r="G20" s="419">
        <v>2809519</v>
      </c>
      <c r="H20" s="419">
        <v>16250246</v>
      </c>
      <c r="I20" s="419">
        <v>52675047</v>
      </c>
      <c r="J20" s="419">
        <v>6987498</v>
      </c>
      <c r="K20" s="419">
        <v>0</v>
      </c>
      <c r="L20" s="419">
        <v>0</v>
      </c>
      <c r="M20" s="420">
        <f t="shared" si="0"/>
        <v>78722310</v>
      </c>
      <c r="O20" s="421"/>
    </row>
    <row r="21" spans="4:15" ht="15.75">
      <c r="D21" s="409">
        <v>12</v>
      </c>
      <c r="E21" s="413" t="s">
        <v>539</v>
      </c>
      <c r="F21" s="409">
        <f t="shared" si="1"/>
        <v>2015</v>
      </c>
      <c r="G21" s="419">
        <v>2809519</v>
      </c>
      <c r="H21" s="419">
        <v>16250246</v>
      </c>
      <c r="I21" s="419">
        <v>52675047</v>
      </c>
      <c r="J21" s="419">
        <v>6987498</v>
      </c>
      <c r="K21" s="419">
        <v>0</v>
      </c>
      <c r="L21" s="419">
        <v>0</v>
      </c>
      <c r="M21" s="420">
        <f t="shared" si="0"/>
        <v>78722310</v>
      </c>
      <c r="O21" s="421"/>
    </row>
    <row r="22" spans="4:15" ht="15.75">
      <c r="D22" s="409">
        <v>13</v>
      </c>
      <c r="E22" s="413" t="s">
        <v>540</v>
      </c>
      <c r="F22" s="409">
        <f t="shared" si="1"/>
        <v>2015</v>
      </c>
      <c r="G22" s="419">
        <v>2809519</v>
      </c>
      <c r="H22" s="419">
        <v>16250246</v>
      </c>
      <c r="I22" s="419">
        <v>53679747</v>
      </c>
      <c r="J22" s="419">
        <v>7404245</v>
      </c>
      <c r="K22" s="419">
        <v>0</v>
      </c>
      <c r="L22" s="419">
        <v>0</v>
      </c>
      <c r="M22" s="420">
        <f t="shared" si="0"/>
        <v>80143757</v>
      </c>
      <c r="O22" s="421"/>
    </row>
    <row r="23" spans="4:15">
      <c r="D23" s="409">
        <v>14</v>
      </c>
      <c r="O23" s="421"/>
    </row>
    <row r="24" spans="4:15" ht="17.25">
      <c r="D24" s="409">
        <v>15</v>
      </c>
      <c r="E24" s="405" t="s">
        <v>560</v>
      </c>
      <c r="F24" s="415"/>
      <c r="G24" s="520">
        <f>SUM(G10:G22)/13</f>
        <v>2809519</v>
      </c>
      <c r="H24" s="520">
        <f t="shared" ref="H24:M24" si="2">SUM(H10:H22)/13</f>
        <v>16250246</v>
      </c>
      <c r="I24" s="520">
        <f t="shared" si="2"/>
        <v>52752331.615384616</v>
      </c>
      <c r="J24" s="520">
        <f t="shared" si="2"/>
        <v>7019555.461538462</v>
      </c>
      <c r="K24" s="423">
        <f t="shared" ref="K24" si="3">SUM(K10:K22)/13</f>
        <v>0</v>
      </c>
      <c r="L24" s="423">
        <f t="shared" si="2"/>
        <v>0</v>
      </c>
      <c r="M24" s="423">
        <f t="shared" si="2"/>
        <v>78831652.076923072</v>
      </c>
      <c r="O24" s="421"/>
    </row>
    <row r="25" spans="4:15">
      <c r="E25" s="424" t="s">
        <v>561</v>
      </c>
      <c r="F25" s="424"/>
      <c r="G25" s="424" t="s">
        <v>562</v>
      </c>
      <c r="H25" s="424" t="s">
        <v>563</v>
      </c>
      <c r="I25" s="424" t="s">
        <v>564</v>
      </c>
      <c r="J25" s="424" t="s">
        <v>565</v>
      </c>
      <c r="K25" s="424" t="s">
        <v>565</v>
      </c>
      <c r="L25" s="424" t="s">
        <v>566</v>
      </c>
      <c r="M25" s="424"/>
    </row>
    <row r="27" spans="4:15" ht="30">
      <c r="D27" s="407" t="s">
        <v>548</v>
      </c>
      <c r="E27" s="407" t="s">
        <v>567</v>
      </c>
      <c r="F27" s="407" t="s">
        <v>550</v>
      </c>
      <c r="G27" s="407" t="s">
        <v>555</v>
      </c>
      <c r="H27" s="407" t="s">
        <v>45</v>
      </c>
      <c r="I27" s="407" t="s">
        <v>506</v>
      </c>
      <c r="J27" s="407" t="str">
        <f>J9</f>
        <v xml:space="preserve">General </v>
      </c>
      <c r="K27" s="407" t="str">
        <f>K9</f>
        <v>Intangible</v>
      </c>
      <c r="L27" s="407" t="s">
        <v>558</v>
      </c>
      <c r="M27" s="407" t="s">
        <v>568</v>
      </c>
    </row>
    <row r="28" spans="4:15">
      <c r="D28" s="409">
        <v>16</v>
      </c>
      <c r="E28" s="418" t="s">
        <v>540</v>
      </c>
      <c r="F28" s="418">
        <f>$G$7-1</f>
        <v>2014</v>
      </c>
      <c r="G28" s="419">
        <v>2421931</v>
      </c>
      <c r="H28" s="419">
        <v>7920669</v>
      </c>
      <c r="I28" s="419">
        <v>18619322</v>
      </c>
      <c r="J28" s="419">
        <v>4917232</v>
      </c>
      <c r="K28" s="419">
        <v>0</v>
      </c>
      <c r="L28" s="419">
        <v>0</v>
      </c>
      <c r="M28" s="420">
        <f>SUM(G28:L28)</f>
        <v>33879154</v>
      </c>
      <c r="N28" s="425"/>
    </row>
    <row r="29" spans="4:15">
      <c r="D29" s="409">
        <v>17</v>
      </c>
      <c r="E29" s="410" t="s">
        <v>529</v>
      </c>
      <c r="F29" s="409">
        <f>$G$7</f>
        <v>2015</v>
      </c>
      <c r="G29" s="419">
        <f>G28+(49417/12)</f>
        <v>2426049.0833333335</v>
      </c>
      <c r="H29" s="419">
        <f>H28+(516532/12)</f>
        <v>7963713.333333333</v>
      </c>
      <c r="I29" s="419">
        <f>I28+(2112291/12)</f>
        <v>18795346.25</v>
      </c>
      <c r="J29" s="419">
        <f>J28+(352067/12)</f>
        <v>4946570.916666667</v>
      </c>
      <c r="K29" s="419">
        <v>0</v>
      </c>
      <c r="L29" s="419">
        <v>0</v>
      </c>
      <c r="M29" s="420">
        <f t="shared" ref="M29:M40" si="4">SUM(G29:L29)</f>
        <v>34131679.583333328</v>
      </c>
    </row>
    <row r="30" spans="4:15" ht="15.75">
      <c r="D30" s="409">
        <v>18</v>
      </c>
      <c r="E30" s="413" t="s">
        <v>530</v>
      </c>
      <c r="F30" s="409">
        <f t="shared" ref="F30:F40" si="5">$G$7</f>
        <v>2015</v>
      </c>
      <c r="G30" s="419">
        <f>G29+(49417/12)</f>
        <v>2430167.166666667</v>
      </c>
      <c r="H30" s="419">
        <f t="shared" ref="H30:H40" si="6">H29+(516532/12)</f>
        <v>8006757.666666666</v>
      </c>
      <c r="I30" s="419">
        <f t="shared" ref="I30:I40" si="7">I29+(2112291/12)</f>
        <v>18971370.5</v>
      </c>
      <c r="J30" s="419">
        <f t="shared" ref="J30:J40" si="8">J29+(352067/12)</f>
        <v>4975909.833333334</v>
      </c>
      <c r="K30" s="419">
        <v>0</v>
      </c>
      <c r="L30" s="419">
        <v>0</v>
      </c>
      <c r="M30" s="420">
        <f t="shared" si="4"/>
        <v>34384205.166666664</v>
      </c>
    </row>
    <row r="31" spans="4:15" ht="15.75">
      <c r="D31" s="409">
        <v>19</v>
      </c>
      <c r="E31" s="413" t="s">
        <v>531</v>
      </c>
      <c r="F31" s="409">
        <f t="shared" si="5"/>
        <v>2015</v>
      </c>
      <c r="G31" s="419">
        <f t="shared" ref="G31:G40" si="9">G30+(49417/12)</f>
        <v>2434285.2500000005</v>
      </c>
      <c r="H31" s="419">
        <f t="shared" si="6"/>
        <v>8049801.9999999991</v>
      </c>
      <c r="I31" s="419">
        <f t="shared" si="7"/>
        <v>19147394.75</v>
      </c>
      <c r="J31" s="419">
        <f t="shared" si="8"/>
        <v>5005248.7500000009</v>
      </c>
      <c r="K31" s="419">
        <v>0</v>
      </c>
      <c r="L31" s="419">
        <v>0</v>
      </c>
      <c r="M31" s="420">
        <f t="shared" si="4"/>
        <v>34636730.75</v>
      </c>
    </row>
    <row r="32" spans="4:15" ht="15.75">
      <c r="D32" s="409">
        <v>20</v>
      </c>
      <c r="E32" s="413" t="s">
        <v>532</v>
      </c>
      <c r="F32" s="409">
        <f t="shared" si="5"/>
        <v>2015</v>
      </c>
      <c r="G32" s="419">
        <f t="shared" si="9"/>
        <v>2438403.333333334</v>
      </c>
      <c r="H32" s="419">
        <f t="shared" si="6"/>
        <v>8092846.3333333321</v>
      </c>
      <c r="I32" s="419">
        <f t="shared" si="7"/>
        <v>19323419</v>
      </c>
      <c r="J32" s="419">
        <f t="shared" si="8"/>
        <v>5034587.6666666679</v>
      </c>
      <c r="K32" s="419">
        <v>0</v>
      </c>
      <c r="L32" s="419">
        <v>0</v>
      </c>
      <c r="M32" s="420">
        <f t="shared" si="4"/>
        <v>34889256.333333328</v>
      </c>
    </row>
    <row r="33" spans="4:13" ht="15.75">
      <c r="D33" s="409">
        <v>21</v>
      </c>
      <c r="E33" s="413" t="s">
        <v>533</v>
      </c>
      <c r="F33" s="409">
        <f t="shared" si="5"/>
        <v>2015</v>
      </c>
      <c r="G33" s="419">
        <f t="shared" si="9"/>
        <v>2442521.4166666674</v>
      </c>
      <c r="H33" s="419">
        <f t="shared" si="6"/>
        <v>8135890.6666666651</v>
      </c>
      <c r="I33" s="419">
        <f t="shared" si="7"/>
        <v>19499443.25</v>
      </c>
      <c r="J33" s="419">
        <f t="shared" si="8"/>
        <v>5063926.5833333349</v>
      </c>
      <c r="K33" s="419">
        <v>0</v>
      </c>
      <c r="L33" s="419">
        <v>0</v>
      </c>
      <c r="M33" s="420">
        <f t="shared" si="4"/>
        <v>35141781.916666664</v>
      </c>
    </row>
    <row r="34" spans="4:13" ht="15.75">
      <c r="D34" s="409">
        <v>22</v>
      </c>
      <c r="E34" s="413" t="s">
        <v>534</v>
      </c>
      <c r="F34" s="409">
        <f t="shared" si="5"/>
        <v>2015</v>
      </c>
      <c r="G34" s="419">
        <f t="shared" si="9"/>
        <v>2446639.5000000009</v>
      </c>
      <c r="H34" s="419">
        <f t="shared" si="6"/>
        <v>8178934.9999999981</v>
      </c>
      <c r="I34" s="419">
        <f t="shared" si="7"/>
        <v>19675467.5</v>
      </c>
      <c r="J34" s="419">
        <f t="shared" si="8"/>
        <v>5093265.5000000019</v>
      </c>
      <c r="K34" s="419">
        <v>0</v>
      </c>
      <c r="L34" s="419">
        <v>0</v>
      </c>
      <c r="M34" s="420">
        <f t="shared" si="4"/>
        <v>35394307.5</v>
      </c>
    </row>
    <row r="35" spans="4:13" ht="15.75">
      <c r="D35" s="409">
        <v>23</v>
      </c>
      <c r="E35" s="413" t="s">
        <v>535</v>
      </c>
      <c r="F35" s="409">
        <f t="shared" si="5"/>
        <v>2015</v>
      </c>
      <c r="G35" s="419">
        <f t="shared" si="9"/>
        <v>2450757.5833333344</v>
      </c>
      <c r="H35" s="419">
        <f t="shared" si="6"/>
        <v>8221979.3333333312</v>
      </c>
      <c r="I35" s="419">
        <f t="shared" si="7"/>
        <v>19851491.75</v>
      </c>
      <c r="J35" s="419">
        <f t="shared" si="8"/>
        <v>5122604.4166666688</v>
      </c>
      <c r="K35" s="419">
        <v>0</v>
      </c>
      <c r="L35" s="419">
        <v>0</v>
      </c>
      <c r="M35" s="420">
        <f t="shared" si="4"/>
        <v>35646833.083333336</v>
      </c>
    </row>
    <row r="36" spans="4:13" ht="15.75">
      <c r="D36" s="409">
        <v>24</v>
      </c>
      <c r="E36" s="413" t="s">
        <v>536</v>
      </c>
      <c r="F36" s="409">
        <f t="shared" si="5"/>
        <v>2015</v>
      </c>
      <c r="G36" s="419">
        <f t="shared" si="9"/>
        <v>2454875.6666666679</v>
      </c>
      <c r="H36" s="419">
        <f t="shared" si="6"/>
        <v>8265023.6666666642</v>
      </c>
      <c r="I36" s="419">
        <f t="shared" si="7"/>
        <v>20027516</v>
      </c>
      <c r="J36" s="419">
        <f t="shared" si="8"/>
        <v>5151943.3333333358</v>
      </c>
      <c r="K36" s="419">
        <v>0</v>
      </c>
      <c r="L36" s="419">
        <v>0</v>
      </c>
      <c r="M36" s="420">
        <f t="shared" si="4"/>
        <v>35899358.666666672</v>
      </c>
    </row>
    <row r="37" spans="4:13" ht="15.75">
      <c r="D37" s="409">
        <v>25</v>
      </c>
      <c r="E37" s="413" t="s">
        <v>537</v>
      </c>
      <c r="F37" s="409">
        <f t="shared" si="5"/>
        <v>2015</v>
      </c>
      <c r="G37" s="419">
        <f t="shared" si="9"/>
        <v>2458993.7500000014</v>
      </c>
      <c r="H37" s="419">
        <f t="shared" si="6"/>
        <v>8308067.9999999972</v>
      </c>
      <c r="I37" s="419">
        <f t="shared" si="7"/>
        <v>20203540.25</v>
      </c>
      <c r="J37" s="419">
        <f t="shared" si="8"/>
        <v>5181282.2500000028</v>
      </c>
      <c r="K37" s="419">
        <v>0</v>
      </c>
      <c r="L37" s="419">
        <v>0</v>
      </c>
      <c r="M37" s="420">
        <f t="shared" si="4"/>
        <v>36151884.25</v>
      </c>
    </row>
    <row r="38" spans="4:13" ht="15.75">
      <c r="D38" s="409">
        <v>26</v>
      </c>
      <c r="E38" s="413" t="s">
        <v>538</v>
      </c>
      <c r="F38" s="409">
        <f t="shared" si="5"/>
        <v>2015</v>
      </c>
      <c r="G38" s="419">
        <f t="shared" si="9"/>
        <v>2463111.8333333349</v>
      </c>
      <c r="H38" s="419">
        <f t="shared" si="6"/>
        <v>8351112.3333333302</v>
      </c>
      <c r="I38" s="419">
        <f t="shared" si="7"/>
        <v>20379564.5</v>
      </c>
      <c r="J38" s="419">
        <f t="shared" si="8"/>
        <v>5210621.1666666698</v>
      </c>
      <c r="K38" s="419">
        <v>0</v>
      </c>
      <c r="L38" s="419">
        <v>0</v>
      </c>
      <c r="M38" s="420">
        <f t="shared" si="4"/>
        <v>36404409.833333336</v>
      </c>
    </row>
    <row r="39" spans="4:13" ht="15.75">
      <c r="D39" s="409">
        <v>27</v>
      </c>
      <c r="E39" s="413" t="s">
        <v>539</v>
      </c>
      <c r="F39" s="409">
        <f t="shared" si="5"/>
        <v>2015</v>
      </c>
      <c r="G39" s="419">
        <f t="shared" si="9"/>
        <v>2467229.9166666684</v>
      </c>
      <c r="H39" s="419">
        <f t="shared" si="6"/>
        <v>8394156.6666666642</v>
      </c>
      <c r="I39" s="419">
        <f t="shared" si="7"/>
        <v>20555588.75</v>
      </c>
      <c r="J39" s="419">
        <f t="shared" si="8"/>
        <v>5239960.0833333367</v>
      </c>
      <c r="K39" s="419">
        <v>0</v>
      </c>
      <c r="L39" s="419">
        <v>0</v>
      </c>
      <c r="M39" s="420">
        <f t="shared" si="4"/>
        <v>36656935.416666672</v>
      </c>
    </row>
    <row r="40" spans="4:13" ht="15.75">
      <c r="D40" s="409">
        <v>28</v>
      </c>
      <c r="E40" s="413" t="s">
        <v>540</v>
      </c>
      <c r="F40" s="409">
        <f t="shared" si="5"/>
        <v>2015</v>
      </c>
      <c r="G40" s="419">
        <f t="shared" si="9"/>
        <v>2471348.0000000019</v>
      </c>
      <c r="H40" s="419">
        <f t="shared" si="6"/>
        <v>8437200.9999999981</v>
      </c>
      <c r="I40" s="419">
        <f t="shared" si="7"/>
        <v>20731613</v>
      </c>
      <c r="J40" s="419">
        <f t="shared" si="8"/>
        <v>5269299.0000000037</v>
      </c>
      <c r="K40" s="419">
        <v>0</v>
      </c>
      <c r="L40" s="419">
        <v>0</v>
      </c>
      <c r="M40" s="420">
        <f t="shared" si="4"/>
        <v>36909461</v>
      </c>
    </row>
    <row r="41" spans="4:13">
      <c r="D41" s="409">
        <v>29</v>
      </c>
    </row>
    <row r="42" spans="4:13" ht="17.25">
      <c r="D42" s="409">
        <v>30</v>
      </c>
      <c r="E42" s="405" t="s">
        <v>560</v>
      </c>
      <c r="F42" s="415"/>
      <c r="G42" s="520">
        <f>SUM(G28:G40)/13</f>
        <v>2446639.5000000009</v>
      </c>
      <c r="H42" s="520">
        <f t="shared" ref="H42:M42" si="10">SUM(H28:H40)/13</f>
        <v>8178934.9999999981</v>
      </c>
      <c r="I42" s="520">
        <f t="shared" si="10"/>
        <v>19675467.5</v>
      </c>
      <c r="J42" s="520">
        <f t="shared" si="10"/>
        <v>5093265.5000000019</v>
      </c>
      <c r="K42" s="423">
        <f t="shared" ref="K42" si="11">SUM(K28:K40)/13</f>
        <v>0</v>
      </c>
      <c r="L42" s="423">
        <f t="shared" si="10"/>
        <v>0</v>
      </c>
      <c r="M42" s="423">
        <f t="shared" si="10"/>
        <v>35394307.5</v>
      </c>
    </row>
    <row r="43" spans="4:13">
      <c r="E43" s="424" t="s">
        <v>561</v>
      </c>
      <c r="F43" s="424"/>
      <c r="G43" s="424" t="s">
        <v>569</v>
      </c>
      <c r="H43" s="424" t="s">
        <v>570</v>
      </c>
      <c r="I43" s="424" t="s">
        <v>571</v>
      </c>
      <c r="J43" s="424" t="s">
        <v>572</v>
      </c>
      <c r="K43" s="424" t="s">
        <v>572</v>
      </c>
      <c r="L43" s="424" t="s">
        <v>573</v>
      </c>
    </row>
    <row r="44" spans="4:13" ht="30">
      <c r="D44" s="407" t="s">
        <v>548</v>
      </c>
      <c r="E44" s="407" t="s">
        <v>574</v>
      </c>
      <c r="F44" s="407" t="s">
        <v>550</v>
      </c>
      <c r="G44" s="407" t="s">
        <v>555</v>
      </c>
      <c r="H44" s="407" t="s">
        <v>45</v>
      </c>
      <c r="I44" s="407" t="s">
        <v>506</v>
      </c>
      <c r="J44" s="407" t="str">
        <f>J27</f>
        <v xml:space="preserve">General </v>
      </c>
      <c r="K44" s="407" t="str">
        <f>K27</f>
        <v>Intangible</v>
      </c>
      <c r="L44" s="407" t="s">
        <v>558</v>
      </c>
      <c r="M44" s="407" t="s">
        <v>575</v>
      </c>
    </row>
    <row r="45" spans="4:13">
      <c r="D45" s="409">
        <v>31</v>
      </c>
      <c r="E45" s="418" t="s">
        <v>540</v>
      </c>
      <c r="F45" s="418">
        <f>$G$7-1</f>
        <v>2014</v>
      </c>
      <c r="G45" s="419">
        <f>G10-G28</f>
        <v>387588</v>
      </c>
      <c r="H45" s="419">
        <f t="shared" ref="H45:M57" si="12">H10-H28</f>
        <v>8329577</v>
      </c>
      <c r="I45" s="419">
        <f t="shared" si="12"/>
        <v>34055725</v>
      </c>
      <c r="J45" s="419">
        <f t="shared" si="12"/>
        <v>2070266</v>
      </c>
      <c r="K45" s="419">
        <f t="shared" si="12"/>
        <v>0</v>
      </c>
      <c r="L45" s="419">
        <f t="shared" si="12"/>
        <v>0</v>
      </c>
      <c r="M45" s="419">
        <f t="shared" si="12"/>
        <v>44843156</v>
      </c>
    </row>
    <row r="46" spans="4:13">
      <c r="D46" s="409">
        <v>32</v>
      </c>
      <c r="E46" s="410" t="s">
        <v>529</v>
      </c>
      <c r="F46" s="409">
        <f>$G$7</f>
        <v>2015</v>
      </c>
      <c r="G46" s="419">
        <f t="shared" ref="G46:M57" si="13">G11-G29</f>
        <v>383469.91666666651</v>
      </c>
      <c r="H46" s="419">
        <f t="shared" si="13"/>
        <v>8286532.666666667</v>
      </c>
      <c r="I46" s="419">
        <f t="shared" si="13"/>
        <v>33879700.75</v>
      </c>
      <c r="J46" s="419">
        <f t="shared" si="13"/>
        <v>2040927.083333333</v>
      </c>
      <c r="K46" s="419">
        <f t="shared" si="12"/>
        <v>0</v>
      </c>
      <c r="L46" s="419">
        <f t="shared" si="13"/>
        <v>0</v>
      </c>
      <c r="M46" s="419">
        <f t="shared" si="13"/>
        <v>44590630.416666672</v>
      </c>
    </row>
    <row r="47" spans="4:13" ht="15.75">
      <c r="D47" s="409">
        <v>33</v>
      </c>
      <c r="E47" s="413" t="s">
        <v>530</v>
      </c>
      <c r="F47" s="409">
        <f t="shared" ref="F47:F57" si="14">$G$7</f>
        <v>2015</v>
      </c>
      <c r="G47" s="419">
        <f t="shared" si="13"/>
        <v>379351.83333333302</v>
      </c>
      <c r="H47" s="419">
        <f t="shared" si="13"/>
        <v>8243488.333333334</v>
      </c>
      <c r="I47" s="419">
        <f t="shared" si="13"/>
        <v>33703676.5</v>
      </c>
      <c r="J47" s="419">
        <f t="shared" si="13"/>
        <v>2011588.166666666</v>
      </c>
      <c r="K47" s="419">
        <f t="shared" si="12"/>
        <v>0</v>
      </c>
      <c r="L47" s="419">
        <f t="shared" si="13"/>
        <v>0</v>
      </c>
      <c r="M47" s="419">
        <f t="shared" si="13"/>
        <v>44338104.833333336</v>
      </c>
    </row>
    <row r="48" spans="4:13" ht="15.75">
      <c r="D48" s="409">
        <v>34</v>
      </c>
      <c r="E48" s="413" t="s">
        <v>531</v>
      </c>
      <c r="F48" s="409">
        <f t="shared" si="14"/>
        <v>2015</v>
      </c>
      <c r="G48" s="419">
        <f t="shared" si="13"/>
        <v>375233.74999999953</v>
      </c>
      <c r="H48" s="419">
        <f t="shared" si="13"/>
        <v>8200444.0000000009</v>
      </c>
      <c r="I48" s="419">
        <f t="shared" si="13"/>
        <v>33527652.25</v>
      </c>
      <c r="J48" s="419">
        <f t="shared" si="13"/>
        <v>1982249.2499999991</v>
      </c>
      <c r="K48" s="419">
        <f t="shared" si="12"/>
        <v>0</v>
      </c>
      <c r="L48" s="419">
        <f t="shared" si="13"/>
        <v>0</v>
      </c>
      <c r="M48" s="419">
        <f t="shared" si="13"/>
        <v>44085579.25</v>
      </c>
    </row>
    <row r="49" spans="4:13" ht="15.75">
      <c r="D49" s="409">
        <v>35</v>
      </c>
      <c r="E49" s="413" t="s">
        <v>532</v>
      </c>
      <c r="F49" s="409">
        <f t="shared" si="14"/>
        <v>2015</v>
      </c>
      <c r="G49" s="419">
        <f t="shared" si="13"/>
        <v>371115.66666666605</v>
      </c>
      <c r="H49" s="419">
        <f t="shared" si="13"/>
        <v>8157399.6666666679</v>
      </c>
      <c r="I49" s="419">
        <f t="shared" si="13"/>
        <v>33351628</v>
      </c>
      <c r="J49" s="419">
        <f t="shared" si="13"/>
        <v>1952910.3333333321</v>
      </c>
      <c r="K49" s="419">
        <f t="shared" si="12"/>
        <v>0</v>
      </c>
      <c r="L49" s="419">
        <f t="shared" si="13"/>
        <v>0</v>
      </c>
      <c r="M49" s="419">
        <f t="shared" si="13"/>
        <v>43833053.666666672</v>
      </c>
    </row>
    <row r="50" spans="4:13" ht="15.75">
      <c r="D50" s="409">
        <v>36</v>
      </c>
      <c r="E50" s="413" t="s">
        <v>533</v>
      </c>
      <c r="F50" s="409">
        <f t="shared" si="14"/>
        <v>2015</v>
      </c>
      <c r="G50" s="419">
        <f t="shared" si="13"/>
        <v>366997.58333333256</v>
      </c>
      <c r="H50" s="419">
        <f t="shared" si="13"/>
        <v>8114355.3333333349</v>
      </c>
      <c r="I50" s="419">
        <f t="shared" si="13"/>
        <v>33175603.75</v>
      </c>
      <c r="J50" s="419">
        <f t="shared" si="13"/>
        <v>1923571.4166666651</v>
      </c>
      <c r="K50" s="419">
        <f t="shared" si="12"/>
        <v>0</v>
      </c>
      <c r="L50" s="419">
        <f t="shared" si="13"/>
        <v>0</v>
      </c>
      <c r="M50" s="419">
        <f t="shared" si="13"/>
        <v>43580528.083333336</v>
      </c>
    </row>
    <row r="51" spans="4:13" ht="15.75">
      <c r="D51" s="409">
        <v>37</v>
      </c>
      <c r="E51" s="413" t="s">
        <v>534</v>
      </c>
      <c r="F51" s="409">
        <f t="shared" si="14"/>
        <v>2015</v>
      </c>
      <c r="G51" s="419">
        <f t="shared" si="13"/>
        <v>362879.49999999907</v>
      </c>
      <c r="H51" s="419">
        <f t="shared" si="13"/>
        <v>8071311.0000000019</v>
      </c>
      <c r="I51" s="419">
        <f t="shared" si="13"/>
        <v>32999579.5</v>
      </c>
      <c r="J51" s="419">
        <f t="shared" si="13"/>
        <v>1894232.4999999981</v>
      </c>
      <c r="K51" s="419">
        <f t="shared" si="12"/>
        <v>0</v>
      </c>
      <c r="L51" s="419">
        <f t="shared" si="13"/>
        <v>0</v>
      </c>
      <c r="M51" s="419">
        <f t="shared" si="13"/>
        <v>43328002.5</v>
      </c>
    </row>
    <row r="52" spans="4:13" ht="15.75">
      <c r="D52" s="409">
        <v>38</v>
      </c>
      <c r="E52" s="413" t="s">
        <v>535</v>
      </c>
      <c r="F52" s="409">
        <f t="shared" si="14"/>
        <v>2015</v>
      </c>
      <c r="G52" s="419">
        <f t="shared" si="13"/>
        <v>358761.41666666558</v>
      </c>
      <c r="H52" s="419">
        <f t="shared" si="13"/>
        <v>8028266.6666666688</v>
      </c>
      <c r="I52" s="419">
        <f t="shared" si="13"/>
        <v>32823555.25</v>
      </c>
      <c r="J52" s="419">
        <f t="shared" si="13"/>
        <v>1864893.5833333312</v>
      </c>
      <c r="K52" s="419">
        <f t="shared" si="12"/>
        <v>0</v>
      </c>
      <c r="L52" s="419">
        <f t="shared" si="13"/>
        <v>0</v>
      </c>
      <c r="M52" s="419">
        <f t="shared" si="13"/>
        <v>43075476.916666664</v>
      </c>
    </row>
    <row r="53" spans="4:13" ht="15.75">
      <c r="D53" s="409">
        <v>39</v>
      </c>
      <c r="E53" s="413" t="s">
        <v>536</v>
      </c>
      <c r="F53" s="409">
        <f t="shared" si="14"/>
        <v>2015</v>
      </c>
      <c r="G53" s="419">
        <f t="shared" si="13"/>
        <v>354643.33333333209</v>
      </c>
      <c r="H53" s="419">
        <f t="shared" si="13"/>
        <v>7985222.3333333358</v>
      </c>
      <c r="I53" s="419">
        <f t="shared" si="13"/>
        <v>32647531</v>
      </c>
      <c r="J53" s="419">
        <f t="shared" si="13"/>
        <v>1835554.6666666642</v>
      </c>
      <c r="K53" s="419">
        <f t="shared" si="12"/>
        <v>0</v>
      </c>
      <c r="L53" s="419">
        <f t="shared" si="13"/>
        <v>0</v>
      </c>
      <c r="M53" s="419">
        <f t="shared" si="13"/>
        <v>42822951.333333328</v>
      </c>
    </row>
    <row r="54" spans="4:13" ht="15.75">
      <c r="D54" s="409">
        <v>40</v>
      </c>
      <c r="E54" s="413" t="s">
        <v>537</v>
      </c>
      <c r="F54" s="409">
        <f t="shared" si="14"/>
        <v>2015</v>
      </c>
      <c r="G54" s="419">
        <f t="shared" si="13"/>
        <v>350525.2499999986</v>
      </c>
      <c r="H54" s="419">
        <f t="shared" si="13"/>
        <v>7942178.0000000028</v>
      </c>
      <c r="I54" s="419">
        <f t="shared" si="13"/>
        <v>32471506.75</v>
      </c>
      <c r="J54" s="419">
        <f t="shared" si="13"/>
        <v>1806215.7499999972</v>
      </c>
      <c r="K54" s="419">
        <f t="shared" si="12"/>
        <v>0</v>
      </c>
      <c r="L54" s="419">
        <f t="shared" si="13"/>
        <v>0</v>
      </c>
      <c r="M54" s="419">
        <f t="shared" si="13"/>
        <v>42570425.75</v>
      </c>
    </row>
    <row r="55" spans="4:13" ht="15.75">
      <c r="D55" s="409">
        <v>41</v>
      </c>
      <c r="E55" s="413" t="s">
        <v>538</v>
      </c>
      <c r="F55" s="409">
        <f t="shared" si="14"/>
        <v>2015</v>
      </c>
      <c r="G55" s="419">
        <f t="shared" si="13"/>
        <v>346407.16666666511</v>
      </c>
      <c r="H55" s="419">
        <f t="shared" si="13"/>
        <v>7899133.6666666698</v>
      </c>
      <c r="I55" s="419">
        <f t="shared" si="13"/>
        <v>32295482.5</v>
      </c>
      <c r="J55" s="419">
        <f t="shared" si="13"/>
        <v>1776876.8333333302</v>
      </c>
      <c r="K55" s="419">
        <f t="shared" si="12"/>
        <v>0</v>
      </c>
      <c r="L55" s="419">
        <f t="shared" si="13"/>
        <v>0</v>
      </c>
      <c r="M55" s="419">
        <f t="shared" si="13"/>
        <v>42317900.166666664</v>
      </c>
    </row>
    <row r="56" spans="4:13" ht="15.75">
      <c r="D56" s="409">
        <v>42</v>
      </c>
      <c r="E56" s="413" t="s">
        <v>539</v>
      </c>
      <c r="F56" s="409">
        <f t="shared" si="14"/>
        <v>2015</v>
      </c>
      <c r="G56" s="419">
        <f t="shared" si="13"/>
        <v>342289.08333333163</v>
      </c>
      <c r="H56" s="419">
        <f t="shared" si="13"/>
        <v>7856089.3333333358</v>
      </c>
      <c r="I56" s="419">
        <f t="shared" si="13"/>
        <v>32119458.25</v>
      </c>
      <c r="J56" s="419">
        <f t="shared" si="13"/>
        <v>1747537.9166666633</v>
      </c>
      <c r="K56" s="419">
        <f t="shared" si="12"/>
        <v>0</v>
      </c>
      <c r="L56" s="419">
        <f t="shared" si="13"/>
        <v>0</v>
      </c>
      <c r="M56" s="419">
        <f t="shared" si="13"/>
        <v>42065374.583333328</v>
      </c>
    </row>
    <row r="57" spans="4:13" ht="15.75">
      <c r="D57" s="409">
        <v>43</v>
      </c>
      <c r="E57" s="413" t="s">
        <v>540</v>
      </c>
      <c r="F57" s="409">
        <f t="shared" si="14"/>
        <v>2015</v>
      </c>
      <c r="G57" s="422">
        <f t="shared" si="13"/>
        <v>338170.99999999814</v>
      </c>
      <c r="H57" s="422">
        <f t="shared" si="13"/>
        <v>7813045.0000000019</v>
      </c>
      <c r="I57" s="422">
        <f t="shared" si="13"/>
        <v>32948134</v>
      </c>
      <c r="J57" s="422">
        <f t="shared" si="13"/>
        <v>2134945.9999999963</v>
      </c>
      <c r="K57" s="422">
        <f t="shared" si="12"/>
        <v>0</v>
      </c>
      <c r="L57" s="422">
        <f t="shared" si="13"/>
        <v>0</v>
      </c>
      <c r="M57" s="422">
        <f t="shared" si="13"/>
        <v>43234296</v>
      </c>
    </row>
    <row r="58" spans="4:13">
      <c r="D58" s="409">
        <v>44</v>
      </c>
    </row>
    <row r="59" spans="4:13" ht="17.25">
      <c r="D59" s="409">
        <v>45</v>
      </c>
      <c r="E59" s="405" t="s">
        <v>560</v>
      </c>
      <c r="F59" s="415"/>
      <c r="G59" s="520">
        <f>SUM(G45:G57)/13</f>
        <v>362879.49999999907</v>
      </c>
      <c r="H59" s="520">
        <f t="shared" ref="H59:M59" si="15">SUM(H45:H57)/13</f>
        <v>8071311.0000000019</v>
      </c>
      <c r="I59" s="520">
        <f t="shared" si="15"/>
        <v>33076864.115384616</v>
      </c>
      <c r="J59" s="520">
        <f t="shared" si="15"/>
        <v>1926289.9615384596</v>
      </c>
      <c r="K59" s="423">
        <f t="shared" si="15"/>
        <v>0</v>
      </c>
      <c r="L59" s="423">
        <f t="shared" si="15"/>
        <v>0</v>
      </c>
      <c r="M59" s="423">
        <f t="shared" si="15"/>
        <v>43437344.57692308</v>
      </c>
    </row>
    <row r="61" spans="4:13" ht="6.75" customHeight="1"/>
    <row r="62" spans="4:13" ht="6.75" customHeight="1"/>
  </sheetData>
  <printOptions horizontalCentered="1" verticalCentered="1"/>
  <pageMargins left="0.2" right="0.2" top="0.25" bottom="0.25" header="0.3" footer="0.3"/>
  <pageSetup scale="62" orientation="landscape" r:id="rId1"/>
  <headerFooter>
    <oddHeader>&amp;L&amp;"Arial MT,Bold"Marshall Municipal Utilities
2015 MMU Workpapers&amp;R&amp;"Arial MT,Bold"Exhibit MMU-4
Page 8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showGridLines="0" zoomScale="80" zoomScaleNormal="80" workbookViewId="0">
      <selection activeCell="F22" sqref="F22"/>
    </sheetView>
  </sheetViews>
  <sheetFormatPr defaultRowHeight="15"/>
  <cols>
    <col min="1" max="2" width="8.88671875" style="403"/>
    <col min="3" max="4" width="1.44140625" style="403" customWidth="1"/>
    <col min="5" max="5" width="8.88671875" style="403"/>
    <col min="6" max="6" width="26.88671875" style="403" customWidth="1"/>
    <col min="7" max="7" width="15.21875" style="403" customWidth="1"/>
    <col min="8" max="9" width="0.88671875" style="403" customWidth="1"/>
    <col min="10" max="16384" width="8.88671875" style="403"/>
  </cols>
  <sheetData>
    <row r="3" spans="5:8" ht="6" customHeight="1"/>
    <row r="4" spans="5:8" ht="6" customHeight="1"/>
    <row r="5" spans="5:8" ht="15.75">
      <c r="E5" s="404" t="str">
        <f>Plant!D5</f>
        <v>Marshall (Minnesota) Municipal Utilities</v>
      </c>
      <c r="F5" s="404"/>
      <c r="G5" s="404"/>
      <c r="H5" s="404"/>
    </row>
    <row r="6" spans="5:8" ht="15.75">
      <c r="E6" s="405">
        <f>Coversheet!E5</f>
        <v>2015</v>
      </c>
      <c r="F6" s="404" t="s">
        <v>576</v>
      </c>
      <c r="G6" s="404"/>
      <c r="H6" s="404"/>
    </row>
    <row r="7" spans="5:8" ht="15.75">
      <c r="E7" s="404" t="s">
        <v>546</v>
      </c>
      <c r="F7" s="404"/>
      <c r="G7" s="406">
        <f>Coversheet!E5</f>
        <v>2015</v>
      </c>
      <c r="H7" s="406"/>
    </row>
    <row r="10" spans="5:8" ht="18.75" customHeight="1">
      <c r="F10" s="428" t="s">
        <v>577</v>
      </c>
    </row>
    <row r="11" spans="5:8">
      <c r="F11" s="429" t="s">
        <v>578</v>
      </c>
      <c r="G11" s="419">
        <v>0</v>
      </c>
    </row>
    <row r="12" spans="5:8">
      <c r="F12" s="429" t="s">
        <v>579</v>
      </c>
      <c r="G12" s="419">
        <v>0</v>
      </c>
    </row>
    <row r="13" spans="5:8">
      <c r="F13" s="429" t="s">
        <v>580</v>
      </c>
      <c r="G13" s="419">
        <v>0</v>
      </c>
    </row>
    <row r="14" spans="5:8">
      <c r="F14" s="429" t="s">
        <v>581</v>
      </c>
      <c r="G14" s="419">
        <v>0</v>
      </c>
    </row>
    <row r="15" spans="5:8">
      <c r="F15" s="429" t="s">
        <v>582</v>
      </c>
      <c r="G15" s="422">
        <v>0</v>
      </c>
    </row>
    <row r="16" spans="5:8">
      <c r="G16" s="419"/>
    </row>
    <row r="17" spans="6:7">
      <c r="F17" s="429" t="s">
        <v>583</v>
      </c>
      <c r="G17" s="419">
        <f>SUM(G11:G15)</f>
        <v>0</v>
      </c>
    </row>
    <row r="18" spans="6:7" ht="5.25" customHeight="1"/>
    <row r="19" spans="6:7" ht="5.25" customHeight="1"/>
  </sheetData>
  <pageMargins left="0.7" right="0.7" top="0.75" bottom="0.75" header="0.3" footer="0.3"/>
  <pageSetup orientation="landscape" horizontalDpi="300" verticalDpi="300" r:id="rId1"/>
  <headerFooter>
    <oddHeader>&amp;L&amp;"Arial MT,Bold"Marshall Municipal Utilities
2015 MMU Workpapers&amp;R&amp;"Arial MT,Bold"Exhibit MMU-4
Page 9 of 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2"/>
  <sheetViews>
    <sheetView showGridLines="0" zoomScaleNormal="100" workbookViewId="0">
      <selection activeCell="E8" sqref="E8"/>
    </sheetView>
  </sheetViews>
  <sheetFormatPr defaultRowHeight="15"/>
  <cols>
    <col min="1" max="2" width="8.88671875" style="403"/>
    <col min="3" max="3" width="21.6640625" style="403" customWidth="1"/>
    <col min="4" max="4" width="6.21875" style="403" customWidth="1"/>
    <col min="5" max="5" width="19.33203125" style="403" customWidth="1"/>
    <col min="6" max="16384" width="8.88671875" style="403"/>
  </cols>
  <sheetData>
    <row r="3" spans="2:5" ht="15.75">
      <c r="B3" s="404" t="str">
        <f>'Adj to Rate Base'!E5</f>
        <v>Marshall (Minnesota) Municipal Utilities</v>
      </c>
      <c r="C3" s="404"/>
      <c r="D3" s="404"/>
      <c r="E3" s="404"/>
    </row>
    <row r="4" spans="2:5" ht="15.75">
      <c r="B4" s="405">
        <f>Coversheet!E5</f>
        <v>2015</v>
      </c>
      <c r="C4" s="404" t="s">
        <v>584</v>
      </c>
      <c r="D4" s="404"/>
      <c r="E4" s="404"/>
    </row>
    <row r="5" spans="2:5" ht="15.75">
      <c r="B5" s="404" t="s">
        <v>546</v>
      </c>
      <c r="C5" s="404"/>
      <c r="D5" s="404"/>
      <c r="E5" s="406">
        <f>Coversheet!E5</f>
        <v>2015</v>
      </c>
    </row>
    <row r="6" spans="2:5" ht="15.75">
      <c r="B6" s="404"/>
      <c r="C6" s="404"/>
      <c r="D6" s="404"/>
      <c r="E6" s="406"/>
    </row>
    <row r="7" spans="2:5" s="408" customFormat="1" ht="35.25" customHeight="1">
      <c r="B7" s="407" t="s">
        <v>548</v>
      </c>
      <c r="C7" s="407" t="s">
        <v>549</v>
      </c>
      <c r="D7" s="407" t="s">
        <v>550</v>
      </c>
      <c r="E7" s="407" t="s">
        <v>585</v>
      </c>
    </row>
    <row r="8" spans="2:5" s="408" customFormat="1">
      <c r="B8" s="418">
        <v>1</v>
      </c>
      <c r="C8" s="418" t="s">
        <v>540</v>
      </c>
      <c r="D8" s="418">
        <f>$E$5-1</f>
        <v>2014</v>
      </c>
      <c r="E8" s="426">
        <v>0</v>
      </c>
    </row>
    <row r="9" spans="2:5">
      <c r="B9" s="409">
        <v>2</v>
      </c>
      <c r="C9" s="410" t="s">
        <v>529</v>
      </c>
      <c r="D9" s="409">
        <f t="shared" ref="D9:D20" si="0">$E$5</f>
        <v>2015</v>
      </c>
      <c r="E9" s="426">
        <v>0</v>
      </c>
    </row>
    <row r="10" spans="2:5" ht="15.75">
      <c r="B10" s="409">
        <v>3</v>
      </c>
      <c r="C10" s="413" t="s">
        <v>530</v>
      </c>
      <c r="D10" s="409">
        <f t="shared" si="0"/>
        <v>2015</v>
      </c>
      <c r="E10" s="426">
        <v>0</v>
      </c>
    </row>
    <row r="11" spans="2:5" ht="15.75">
      <c r="B11" s="409">
        <v>4</v>
      </c>
      <c r="C11" s="413" t="s">
        <v>531</v>
      </c>
      <c r="D11" s="409">
        <f t="shared" si="0"/>
        <v>2015</v>
      </c>
      <c r="E11" s="426">
        <v>0</v>
      </c>
    </row>
    <row r="12" spans="2:5" ht="15.75">
      <c r="B12" s="409">
        <v>5</v>
      </c>
      <c r="C12" s="413" t="s">
        <v>532</v>
      </c>
      <c r="D12" s="409">
        <f t="shared" si="0"/>
        <v>2015</v>
      </c>
      <c r="E12" s="426">
        <v>0</v>
      </c>
    </row>
    <row r="13" spans="2:5" ht="15.75">
      <c r="B13" s="409">
        <v>6</v>
      </c>
      <c r="C13" s="413" t="s">
        <v>533</v>
      </c>
      <c r="D13" s="409">
        <f t="shared" si="0"/>
        <v>2015</v>
      </c>
      <c r="E13" s="426">
        <v>0</v>
      </c>
    </row>
    <row r="14" spans="2:5" ht="15.75">
      <c r="B14" s="409">
        <v>7</v>
      </c>
      <c r="C14" s="413" t="s">
        <v>534</v>
      </c>
      <c r="D14" s="409">
        <f t="shared" si="0"/>
        <v>2015</v>
      </c>
      <c r="E14" s="426">
        <v>0</v>
      </c>
    </row>
    <row r="15" spans="2:5" ht="15.75">
      <c r="B15" s="409">
        <v>8</v>
      </c>
      <c r="C15" s="413" t="s">
        <v>535</v>
      </c>
      <c r="D15" s="409">
        <f t="shared" si="0"/>
        <v>2015</v>
      </c>
      <c r="E15" s="426">
        <v>0</v>
      </c>
    </row>
    <row r="16" spans="2:5" ht="15.75">
      <c r="B16" s="409">
        <v>9</v>
      </c>
      <c r="C16" s="413" t="s">
        <v>536</v>
      </c>
      <c r="D16" s="409">
        <f t="shared" si="0"/>
        <v>2015</v>
      </c>
      <c r="E16" s="426">
        <v>0</v>
      </c>
    </row>
    <row r="17" spans="2:5" ht="15.75">
      <c r="B17" s="409">
        <v>10</v>
      </c>
      <c r="C17" s="413" t="s">
        <v>537</v>
      </c>
      <c r="D17" s="409">
        <f t="shared" si="0"/>
        <v>2015</v>
      </c>
      <c r="E17" s="426">
        <v>0</v>
      </c>
    </row>
    <row r="18" spans="2:5" ht="15.75">
      <c r="B18" s="409">
        <v>11</v>
      </c>
      <c r="C18" s="413" t="s">
        <v>538</v>
      </c>
      <c r="D18" s="409">
        <f t="shared" si="0"/>
        <v>2015</v>
      </c>
      <c r="E18" s="426">
        <v>0</v>
      </c>
    </row>
    <row r="19" spans="2:5" ht="15.75">
      <c r="B19" s="409">
        <v>12</v>
      </c>
      <c r="C19" s="413" t="s">
        <v>539</v>
      </c>
      <c r="D19" s="409">
        <f t="shared" si="0"/>
        <v>2015</v>
      </c>
      <c r="E19" s="426">
        <v>0</v>
      </c>
    </row>
    <row r="20" spans="2:5" ht="15.75">
      <c r="B20" s="409">
        <v>13</v>
      </c>
      <c r="C20" s="413" t="s">
        <v>540</v>
      </c>
      <c r="D20" s="409">
        <f t="shared" si="0"/>
        <v>2015</v>
      </c>
      <c r="E20" s="430">
        <v>0</v>
      </c>
    </row>
    <row r="21" spans="2:5">
      <c r="B21" s="409">
        <v>14</v>
      </c>
    </row>
    <row r="22" spans="2:5" ht="15.75">
      <c r="B22" s="409">
        <v>15</v>
      </c>
      <c r="C22" s="405" t="s">
        <v>560</v>
      </c>
      <c r="D22" s="415"/>
      <c r="E22" s="431">
        <f>SUM(E8:E20)/13</f>
        <v>0</v>
      </c>
    </row>
  </sheetData>
  <pageMargins left="0.7" right="0.7" top="0.75" bottom="0.75" header="0.3" footer="0.3"/>
  <pageSetup orientation="landscape" r:id="rId1"/>
  <headerFooter>
    <oddHeader>&amp;L&amp;"Arial MT,Bold"Marshall Municipal Utilities
2015 MMU Workpapers&amp;R&amp;"Arial MT,Bold"Exhibit MMU-4
Page 10 of 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24"/>
  <sheetViews>
    <sheetView showGridLines="0" zoomScaleNormal="100" workbookViewId="0">
      <selection activeCell="E23" sqref="E23"/>
    </sheetView>
  </sheetViews>
  <sheetFormatPr defaultRowHeight="15"/>
  <cols>
    <col min="1" max="2" width="8.88671875" style="403"/>
    <col min="3" max="3" width="21.6640625" style="403" customWidth="1"/>
    <col min="4" max="4" width="6.21875" style="403" customWidth="1"/>
    <col min="5" max="6" width="15.44140625" style="403" customWidth="1"/>
    <col min="7" max="16384" width="8.88671875" style="403"/>
  </cols>
  <sheetData>
    <row r="3" spans="2:6" ht="15.75">
      <c r="B3" s="404" t="str">
        <f>'Land Held for Future Use'!B3</f>
        <v>Marshall (Minnesota) Municipal Utilities</v>
      </c>
      <c r="C3" s="404"/>
      <c r="D3" s="404"/>
      <c r="E3" s="404"/>
      <c r="F3" s="404"/>
    </row>
    <row r="4" spans="2:6" ht="15.75">
      <c r="B4" s="405">
        <f>Coversheet!E5</f>
        <v>2015</v>
      </c>
      <c r="C4" s="404" t="s">
        <v>638</v>
      </c>
      <c r="D4" s="404"/>
      <c r="E4" s="404"/>
      <c r="F4" s="404"/>
    </row>
    <row r="5" spans="2:6" ht="15.75">
      <c r="B5" s="404" t="s">
        <v>546</v>
      </c>
      <c r="C5" s="404"/>
      <c r="D5" s="404"/>
      <c r="E5" s="406">
        <f>Coversheet!E5</f>
        <v>2015</v>
      </c>
    </row>
    <row r="6" spans="2:6" ht="15.75">
      <c r="B6" s="404"/>
      <c r="C6" s="404"/>
      <c r="D6" s="404"/>
      <c r="E6" s="406"/>
    </row>
    <row r="7" spans="2:6" s="408" customFormat="1" ht="46.5" customHeight="1">
      <c r="B7" s="407" t="s">
        <v>548</v>
      </c>
      <c r="C7" s="407" t="s">
        <v>549</v>
      </c>
      <c r="D7" s="407" t="s">
        <v>550</v>
      </c>
      <c r="E7" s="407" t="s">
        <v>639</v>
      </c>
      <c r="F7" s="407" t="s">
        <v>640</v>
      </c>
    </row>
    <row r="8" spans="2:6" s="408" customFormat="1">
      <c r="B8" s="418">
        <v>1</v>
      </c>
      <c r="C8" s="418" t="s">
        <v>540</v>
      </c>
      <c r="D8" s="418">
        <f>$E$5-1</f>
        <v>2014</v>
      </c>
      <c r="E8" s="426">
        <v>7805</v>
      </c>
      <c r="F8" s="426">
        <v>112618</v>
      </c>
    </row>
    <row r="9" spans="2:6">
      <c r="B9" s="409">
        <v>2</v>
      </c>
      <c r="C9" s="410" t="s">
        <v>529</v>
      </c>
      <c r="D9" s="409">
        <f>$E$5</f>
        <v>2015</v>
      </c>
      <c r="E9" s="426">
        <v>7805</v>
      </c>
      <c r="F9" s="426">
        <v>112618</v>
      </c>
    </row>
    <row r="10" spans="2:6" ht="15.75">
      <c r="B10" s="409">
        <v>3</v>
      </c>
      <c r="C10" s="413" t="s">
        <v>530</v>
      </c>
      <c r="D10" s="409">
        <f t="shared" ref="D10:D20" si="0">$E$5</f>
        <v>2015</v>
      </c>
      <c r="E10" s="426">
        <v>7805</v>
      </c>
      <c r="F10" s="426">
        <v>112618</v>
      </c>
    </row>
    <row r="11" spans="2:6" ht="15.75">
      <c r="B11" s="409">
        <v>4</v>
      </c>
      <c r="C11" s="413" t="s">
        <v>531</v>
      </c>
      <c r="D11" s="409">
        <f t="shared" si="0"/>
        <v>2015</v>
      </c>
      <c r="E11" s="426">
        <v>7805</v>
      </c>
      <c r="F11" s="426">
        <v>112618</v>
      </c>
    </row>
    <row r="12" spans="2:6" ht="15.75">
      <c r="B12" s="409">
        <v>5</v>
      </c>
      <c r="C12" s="413" t="s">
        <v>532</v>
      </c>
      <c r="D12" s="409">
        <f t="shared" si="0"/>
        <v>2015</v>
      </c>
      <c r="E12" s="426">
        <v>7805</v>
      </c>
      <c r="F12" s="426">
        <v>112618</v>
      </c>
    </row>
    <row r="13" spans="2:6" ht="15.75">
      <c r="B13" s="409">
        <v>6</v>
      </c>
      <c r="C13" s="413" t="s">
        <v>533</v>
      </c>
      <c r="D13" s="409">
        <f t="shared" si="0"/>
        <v>2015</v>
      </c>
      <c r="E13" s="426">
        <v>7805</v>
      </c>
      <c r="F13" s="426">
        <v>112618</v>
      </c>
    </row>
    <row r="14" spans="2:6" ht="15.75">
      <c r="B14" s="409">
        <v>7</v>
      </c>
      <c r="C14" s="413" t="s">
        <v>534</v>
      </c>
      <c r="D14" s="409">
        <f t="shared" si="0"/>
        <v>2015</v>
      </c>
      <c r="E14" s="426">
        <v>7805</v>
      </c>
      <c r="F14" s="426">
        <v>112618</v>
      </c>
    </row>
    <row r="15" spans="2:6" ht="15.75">
      <c r="B15" s="409">
        <v>8</v>
      </c>
      <c r="C15" s="413" t="s">
        <v>535</v>
      </c>
      <c r="D15" s="409">
        <f t="shared" si="0"/>
        <v>2015</v>
      </c>
      <c r="E15" s="426">
        <v>7805</v>
      </c>
      <c r="F15" s="426">
        <v>112618</v>
      </c>
    </row>
    <row r="16" spans="2:6" ht="15.75">
      <c r="B16" s="409">
        <v>9</v>
      </c>
      <c r="C16" s="413" t="s">
        <v>536</v>
      </c>
      <c r="D16" s="409">
        <f t="shared" si="0"/>
        <v>2015</v>
      </c>
      <c r="E16" s="426">
        <v>7805</v>
      </c>
      <c r="F16" s="426">
        <v>112618</v>
      </c>
    </row>
    <row r="17" spans="2:6" ht="15.75">
      <c r="B17" s="409">
        <v>10</v>
      </c>
      <c r="C17" s="413" t="s">
        <v>537</v>
      </c>
      <c r="D17" s="409">
        <f t="shared" si="0"/>
        <v>2015</v>
      </c>
      <c r="E17" s="426">
        <v>7805</v>
      </c>
      <c r="F17" s="426">
        <v>112618</v>
      </c>
    </row>
    <row r="18" spans="2:6" ht="15.75">
      <c r="B18" s="409">
        <v>11</v>
      </c>
      <c r="C18" s="413" t="s">
        <v>538</v>
      </c>
      <c r="D18" s="409">
        <f t="shared" si="0"/>
        <v>2015</v>
      </c>
      <c r="E18" s="426">
        <v>7805</v>
      </c>
      <c r="F18" s="426">
        <v>112618</v>
      </c>
    </row>
    <row r="19" spans="2:6" ht="15.75">
      <c r="B19" s="409">
        <v>12</v>
      </c>
      <c r="C19" s="413" t="s">
        <v>539</v>
      </c>
      <c r="D19" s="409">
        <f t="shared" si="0"/>
        <v>2015</v>
      </c>
      <c r="E19" s="426">
        <v>7805</v>
      </c>
      <c r="F19" s="426">
        <v>112618</v>
      </c>
    </row>
    <row r="20" spans="2:6" ht="17.25">
      <c r="B20" s="409">
        <v>13</v>
      </c>
      <c r="C20" s="413" t="s">
        <v>540</v>
      </c>
      <c r="D20" s="409">
        <f t="shared" si="0"/>
        <v>2015</v>
      </c>
      <c r="E20" s="427">
        <v>7805</v>
      </c>
      <c r="F20" s="427">
        <v>118249</v>
      </c>
    </row>
    <row r="21" spans="2:6">
      <c r="B21" s="409">
        <v>14</v>
      </c>
    </row>
    <row r="22" spans="2:6" ht="17.25">
      <c r="B22" s="409">
        <v>15</v>
      </c>
      <c r="C22" s="405" t="s">
        <v>560</v>
      </c>
      <c r="D22" s="415"/>
      <c r="E22" s="423">
        <f>SUM(E8:E20)/13</f>
        <v>7805</v>
      </c>
      <c r="F22" s="520">
        <f t="shared" ref="F22" si="1">SUM(F8:F20)/13</f>
        <v>113051.15384615384</v>
      </c>
    </row>
    <row r="24" spans="2:6">
      <c r="C24" s="424" t="s">
        <v>561</v>
      </c>
      <c r="D24" s="424"/>
      <c r="E24" s="424" t="s">
        <v>586</v>
      </c>
      <c r="F24" s="424" t="s">
        <v>587</v>
      </c>
    </row>
  </sheetData>
  <pageMargins left="0.7" right="0.7" top="0.75" bottom="0.75" header="0.3" footer="0.3"/>
  <pageSetup scale="88" orientation="portrait" r:id="rId1"/>
  <headerFooter>
    <oddHeader>&amp;L&amp;"Arial MT,Bold"Marshall Municipal Utilities
2015 MMU Workpapers&amp;R&amp;"Arial MT,Bold"Exhibit MMU-4
Page 11 of 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S28"/>
  <sheetViews>
    <sheetView showGridLines="0" zoomScaleNormal="100" workbookViewId="0">
      <selection activeCell="H24" sqref="H24:J24"/>
    </sheetView>
  </sheetViews>
  <sheetFormatPr defaultRowHeight="15"/>
  <cols>
    <col min="1" max="2" width="8.88671875" style="403"/>
    <col min="3" max="4" width="1.33203125" style="403" customWidth="1"/>
    <col min="5" max="5" width="8.88671875" style="403"/>
    <col min="6" max="6" width="21.6640625" style="403" customWidth="1"/>
    <col min="7" max="7" width="10.6640625" style="403" bestFit="1" customWidth="1"/>
    <col min="8" max="10" width="15.44140625" style="403" customWidth="1"/>
    <col min="11" max="12" width="1.21875" style="403" customWidth="1"/>
    <col min="13" max="14" width="11.109375" style="403" bestFit="1" customWidth="1"/>
    <col min="15" max="16" width="10.44140625" style="403" bestFit="1" customWidth="1"/>
    <col min="17" max="18" width="11.109375" style="403" bestFit="1" customWidth="1"/>
    <col min="19" max="19" width="11.88671875" style="403" bestFit="1" customWidth="1"/>
    <col min="20" max="16384" width="8.88671875" style="403"/>
  </cols>
  <sheetData>
    <row r="3" spans="5:10" ht="5.25" customHeight="1"/>
    <row r="4" spans="5:10" ht="5.25" customHeight="1"/>
    <row r="5" spans="5:10" ht="15.75">
      <c r="E5" s="404" t="str">
        <f>'Materials and Prepayments'!B3</f>
        <v>Marshall (Minnesota) Municipal Utilities</v>
      </c>
      <c r="F5" s="404"/>
      <c r="G5" s="404"/>
      <c r="H5" s="404"/>
      <c r="I5" s="404"/>
      <c r="J5" s="404"/>
    </row>
    <row r="6" spans="5:10" ht="15.75">
      <c r="E6" s="405">
        <f>Coversheet!E5</f>
        <v>2015</v>
      </c>
      <c r="F6" s="404" t="s">
        <v>588</v>
      </c>
      <c r="G6" s="404"/>
      <c r="H6" s="404"/>
      <c r="I6" s="404"/>
      <c r="J6" s="404"/>
    </row>
    <row r="7" spans="5:10" ht="15.75">
      <c r="E7" s="404" t="s">
        <v>546</v>
      </c>
      <c r="F7" s="404"/>
      <c r="G7" s="404"/>
      <c r="H7" s="406">
        <f>Coversheet!E5</f>
        <v>2015</v>
      </c>
      <c r="I7" s="406"/>
    </row>
    <row r="8" spans="5:10" ht="15.75">
      <c r="E8" s="404"/>
      <c r="F8" s="404"/>
      <c r="G8" s="404"/>
      <c r="H8" s="406"/>
      <c r="I8" s="406"/>
    </row>
    <row r="9" spans="5:10" s="408" customFormat="1" ht="46.5" customHeight="1">
      <c r="E9" s="407" t="s">
        <v>548</v>
      </c>
      <c r="F9" s="407" t="s">
        <v>549</v>
      </c>
      <c r="G9" s="407" t="s">
        <v>550</v>
      </c>
      <c r="H9" s="407" t="s">
        <v>589</v>
      </c>
      <c r="I9" s="407" t="s">
        <v>758</v>
      </c>
      <c r="J9" s="407" t="s">
        <v>754</v>
      </c>
    </row>
    <row r="10" spans="5:10" s="408" customFormat="1">
      <c r="E10" s="418">
        <v>1</v>
      </c>
      <c r="F10" s="418" t="s">
        <v>540</v>
      </c>
      <c r="G10" s="418">
        <f>$H$7-1</f>
        <v>2014</v>
      </c>
      <c r="H10" s="426">
        <f>23301900</f>
        <v>23301900</v>
      </c>
      <c r="I10" s="426">
        <v>508</v>
      </c>
      <c r="J10" s="426">
        <v>43410424</v>
      </c>
    </row>
    <row r="11" spans="5:10">
      <c r="E11" s="409">
        <v>2</v>
      </c>
      <c r="F11" s="410" t="s">
        <v>529</v>
      </c>
      <c r="G11" s="409">
        <f>$H$7</f>
        <v>2015</v>
      </c>
      <c r="H11" s="426">
        <f t="shared" ref="H11:H16" si="0">23301900</f>
        <v>23301900</v>
      </c>
      <c r="I11" s="426">
        <v>508</v>
      </c>
      <c r="J11" s="426">
        <v>43410424</v>
      </c>
    </row>
    <row r="12" spans="5:10" ht="15.75">
      <c r="E12" s="409">
        <v>3</v>
      </c>
      <c r="F12" s="413" t="s">
        <v>530</v>
      </c>
      <c r="G12" s="409">
        <f t="shared" ref="G12:G22" si="1">$H$7</f>
        <v>2015</v>
      </c>
      <c r="H12" s="426">
        <f t="shared" si="0"/>
        <v>23301900</v>
      </c>
      <c r="I12" s="426">
        <v>0</v>
      </c>
      <c r="J12" s="426">
        <v>43410424</v>
      </c>
    </row>
    <row r="13" spans="5:10" ht="15.75">
      <c r="E13" s="409">
        <v>4</v>
      </c>
      <c r="F13" s="413" t="s">
        <v>531</v>
      </c>
      <c r="G13" s="409">
        <f t="shared" si="1"/>
        <v>2015</v>
      </c>
      <c r="H13" s="426">
        <f t="shared" si="0"/>
        <v>23301900</v>
      </c>
      <c r="I13" s="426">
        <v>0</v>
      </c>
      <c r="J13" s="426">
        <v>43410424</v>
      </c>
    </row>
    <row r="14" spans="5:10" ht="15.75">
      <c r="E14" s="409">
        <v>5</v>
      </c>
      <c r="F14" s="413" t="s">
        <v>532</v>
      </c>
      <c r="G14" s="409">
        <f t="shared" si="1"/>
        <v>2015</v>
      </c>
      <c r="H14" s="426">
        <f t="shared" si="0"/>
        <v>23301900</v>
      </c>
      <c r="I14" s="426">
        <v>0</v>
      </c>
      <c r="J14" s="426">
        <v>43410424</v>
      </c>
    </row>
    <row r="15" spans="5:10" ht="15.75">
      <c r="E15" s="409">
        <v>6</v>
      </c>
      <c r="F15" s="413" t="s">
        <v>533</v>
      </c>
      <c r="G15" s="409">
        <f t="shared" si="1"/>
        <v>2015</v>
      </c>
      <c r="H15" s="426">
        <f t="shared" si="0"/>
        <v>23301900</v>
      </c>
      <c r="I15" s="426">
        <v>0</v>
      </c>
      <c r="J15" s="426">
        <v>43410424</v>
      </c>
    </row>
    <row r="16" spans="5:10" ht="15.75">
      <c r="E16" s="409">
        <v>7</v>
      </c>
      <c r="F16" s="413" t="s">
        <v>534</v>
      </c>
      <c r="G16" s="409">
        <f t="shared" si="1"/>
        <v>2015</v>
      </c>
      <c r="H16" s="426">
        <f t="shared" si="0"/>
        <v>23301900</v>
      </c>
      <c r="I16" s="426">
        <v>0</v>
      </c>
      <c r="J16" s="426">
        <v>43410424</v>
      </c>
    </row>
    <row r="17" spans="5:19" ht="15.75">
      <c r="E17" s="409">
        <v>8</v>
      </c>
      <c r="F17" s="413" t="s">
        <v>535</v>
      </c>
      <c r="G17" s="409">
        <f t="shared" si="1"/>
        <v>2015</v>
      </c>
      <c r="H17" s="426">
        <f>23301900-3026650</f>
        <v>20275250</v>
      </c>
      <c r="I17" s="426">
        <v>0</v>
      </c>
      <c r="J17" s="426">
        <v>43410424</v>
      </c>
    </row>
    <row r="18" spans="5:19" ht="15.75">
      <c r="E18" s="409">
        <v>9</v>
      </c>
      <c r="F18" s="413" t="s">
        <v>536</v>
      </c>
      <c r="G18" s="409">
        <f t="shared" si="1"/>
        <v>2015</v>
      </c>
      <c r="H18" s="426">
        <f t="shared" ref="H18:H22" si="2">23301900-3026650</f>
        <v>20275250</v>
      </c>
      <c r="I18" s="426">
        <v>0</v>
      </c>
      <c r="J18" s="426">
        <v>43410424</v>
      </c>
    </row>
    <row r="19" spans="5:19" ht="15.75">
      <c r="E19" s="409">
        <v>10</v>
      </c>
      <c r="F19" s="413" t="s">
        <v>537</v>
      </c>
      <c r="G19" s="409">
        <f t="shared" si="1"/>
        <v>2015</v>
      </c>
      <c r="H19" s="426">
        <f t="shared" si="2"/>
        <v>20275250</v>
      </c>
      <c r="I19" s="426">
        <v>0</v>
      </c>
      <c r="J19" s="426">
        <v>43410424</v>
      </c>
    </row>
    <row r="20" spans="5:19" ht="15.75">
      <c r="E20" s="409">
        <v>11</v>
      </c>
      <c r="F20" s="413" t="s">
        <v>538</v>
      </c>
      <c r="G20" s="409">
        <f t="shared" si="1"/>
        <v>2015</v>
      </c>
      <c r="H20" s="426">
        <f t="shared" si="2"/>
        <v>20275250</v>
      </c>
      <c r="I20" s="426">
        <v>0</v>
      </c>
      <c r="J20" s="426">
        <v>43410424</v>
      </c>
    </row>
    <row r="21" spans="5:19" ht="15.75">
      <c r="E21" s="409">
        <v>12</v>
      </c>
      <c r="F21" s="413" t="s">
        <v>539</v>
      </c>
      <c r="G21" s="409">
        <f t="shared" si="1"/>
        <v>2015</v>
      </c>
      <c r="H21" s="426">
        <f t="shared" si="2"/>
        <v>20275250</v>
      </c>
      <c r="I21" s="426">
        <v>0</v>
      </c>
      <c r="J21" s="426">
        <v>43410424</v>
      </c>
    </row>
    <row r="22" spans="5:19" ht="17.25">
      <c r="E22" s="409">
        <v>13</v>
      </c>
      <c r="F22" s="413" t="s">
        <v>540</v>
      </c>
      <c r="G22" s="409">
        <f t="shared" si="1"/>
        <v>2015</v>
      </c>
      <c r="H22" s="430">
        <f t="shared" si="2"/>
        <v>20275250</v>
      </c>
      <c r="I22" s="432">
        <v>0</v>
      </c>
      <c r="J22" s="430">
        <v>45191190</v>
      </c>
    </row>
    <row r="23" spans="5:19">
      <c r="E23" s="409">
        <v>14</v>
      </c>
    </row>
    <row r="24" spans="5:19" ht="17.25">
      <c r="E24" s="409">
        <v>15</v>
      </c>
      <c r="F24" s="405" t="s">
        <v>560</v>
      </c>
      <c r="G24" s="415"/>
      <c r="H24" s="520">
        <f>SUM(H10:H22)/13</f>
        <v>21904984.615384616</v>
      </c>
      <c r="I24" s="520">
        <f>SUM(I10:I22)/13</f>
        <v>78.15384615384616</v>
      </c>
      <c r="J24" s="520">
        <f t="shared" ref="J24" si="3">SUM(J10:J22)/13</f>
        <v>43547406</v>
      </c>
    </row>
    <row r="25" spans="5:19">
      <c r="J25" s="425"/>
    </row>
    <row r="26" spans="5:19">
      <c r="F26" s="424" t="s">
        <v>755</v>
      </c>
      <c r="G26" s="424"/>
      <c r="H26" s="424" t="s">
        <v>757</v>
      </c>
      <c r="I26" s="424" t="s">
        <v>759</v>
      </c>
      <c r="J26" s="424" t="s">
        <v>756</v>
      </c>
      <c r="K26" s="419"/>
      <c r="L26" s="419"/>
      <c r="M26" s="419"/>
      <c r="N26" s="419"/>
      <c r="O26" s="419"/>
      <c r="P26" s="419"/>
      <c r="Q26" s="419"/>
      <c r="R26" s="419"/>
      <c r="S26" s="419"/>
    </row>
    <row r="27" spans="5:19" ht="7.5" customHeight="1">
      <c r="F27" s="425"/>
      <c r="J27" s="425"/>
    </row>
    <row r="28" spans="5:19" ht="7.5" customHeight="1">
      <c r="F28" s="425"/>
      <c r="G28" s="425"/>
      <c r="H28" s="425"/>
      <c r="I28" s="425"/>
      <c r="J28" s="425"/>
      <c r="K28" s="425"/>
      <c r="L28" s="425"/>
      <c r="M28" s="425"/>
      <c r="N28" s="425"/>
      <c r="O28" s="425"/>
      <c r="P28" s="425"/>
      <c r="Q28" s="425"/>
      <c r="R28" s="425"/>
    </row>
  </sheetData>
  <pageMargins left="0.7" right="0.7" top="0.75" bottom="0.75" header="0.3" footer="0.3"/>
  <pageSetup orientation="landscape" r:id="rId1"/>
  <headerFooter>
    <oddHeader>&amp;L&amp;"Arial MT,Bold"Marshall Municipal Utilities
2015 MMU Workpapers&amp;R&amp;"Arial MT,Bold"Exhibit MMU-4
Page 12 of 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zoomScale="80" zoomScaleNormal="80" zoomScaleSheetLayoutView="100" workbookViewId="0">
      <selection activeCell="E34" sqref="E34"/>
    </sheetView>
  </sheetViews>
  <sheetFormatPr defaultRowHeight="15"/>
  <cols>
    <col min="1" max="1" width="61.77734375" style="401" customWidth="1"/>
    <col min="2" max="2" width="7.88671875" style="401" customWidth="1"/>
    <col min="3" max="3" width="13.5546875" style="401" customWidth="1"/>
    <col min="4" max="16384" width="8.88671875" style="401"/>
  </cols>
  <sheetData>
    <row r="1" spans="1:4" ht="23.25">
      <c r="A1" s="476" t="str">
        <f>'Capital Structure'!E5</f>
        <v>Marshall (Minnesota) Municipal Utilities</v>
      </c>
      <c r="B1" s="479"/>
      <c r="C1" s="469"/>
      <c r="D1" s="469"/>
    </row>
    <row r="2" spans="1:4" ht="23.25">
      <c r="A2" s="476" t="str">
        <f>'Capital Structure'!E7</f>
        <v>Forecasted 12 Months Ended December 31,</v>
      </c>
      <c r="B2" s="478">
        <f>'Capital Structure'!H7</f>
        <v>2015</v>
      </c>
      <c r="C2" s="469"/>
      <c r="D2" s="469"/>
    </row>
    <row r="4" spans="1:4" ht="15.75">
      <c r="A4" s="433" t="s">
        <v>590</v>
      </c>
      <c r="C4" s="434" t="s">
        <v>7</v>
      </c>
    </row>
    <row r="5" spans="1:4" ht="15.75">
      <c r="A5" s="435" t="s">
        <v>458</v>
      </c>
      <c r="B5" s="436"/>
    </row>
    <row r="6" spans="1:4" ht="15.75">
      <c r="A6" s="437" t="s">
        <v>591</v>
      </c>
      <c r="B6" s="436"/>
      <c r="C6" s="438">
        <f>10632+124105</f>
        <v>134737</v>
      </c>
    </row>
    <row r="7" spans="1:4" ht="15.75">
      <c r="A7" s="437" t="s">
        <v>592</v>
      </c>
      <c r="B7" s="436"/>
      <c r="C7" s="439"/>
    </row>
    <row r="8" spans="1:4" ht="15.75">
      <c r="A8" s="437" t="s">
        <v>593</v>
      </c>
      <c r="B8" s="436"/>
      <c r="C8" s="440">
        <v>0</v>
      </c>
      <c r="D8" s="401" t="s">
        <v>594</v>
      </c>
    </row>
    <row r="9" spans="1:4" ht="15.75">
      <c r="A9" s="437" t="s">
        <v>595</v>
      </c>
      <c r="B9" s="436"/>
      <c r="C9" s="440">
        <v>0</v>
      </c>
      <c r="D9" s="401" t="s">
        <v>594</v>
      </c>
    </row>
    <row r="10" spans="1:4" ht="15.75">
      <c r="A10" s="437" t="s">
        <v>596</v>
      </c>
      <c r="B10" s="436"/>
      <c r="C10" s="440">
        <v>0</v>
      </c>
      <c r="D10" s="401" t="s">
        <v>594</v>
      </c>
    </row>
    <row r="11" spans="1:4" ht="15.75">
      <c r="A11" s="437" t="s">
        <v>597</v>
      </c>
      <c r="B11" s="436"/>
      <c r="C11" s="440">
        <v>0</v>
      </c>
      <c r="D11" s="401" t="s">
        <v>598</v>
      </c>
    </row>
    <row r="12" spans="1:4" ht="15.75">
      <c r="A12" s="437" t="s">
        <v>599</v>
      </c>
      <c r="B12" s="436"/>
      <c r="C12" s="439">
        <v>0</v>
      </c>
    </row>
    <row r="13" spans="1:4" ht="15.75">
      <c r="A13" s="437" t="s">
        <v>600</v>
      </c>
      <c r="B13" s="436"/>
      <c r="C13" s="439">
        <v>0</v>
      </c>
    </row>
    <row r="14" spans="1:4" ht="15.75">
      <c r="A14" s="437" t="s">
        <v>601</v>
      </c>
      <c r="B14" s="436"/>
      <c r="C14" s="439">
        <v>0</v>
      </c>
    </row>
    <row r="15" spans="1:4" ht="15.75">
      <c r="A15" s="437" t="s">
        <v>602</v>
      </c>
      <c r="B15" s="436"/>
      <c r="C15" s="440">
        <v>0</v>
      </c>
      <c r="D15" s="401" t="s">
        <v>598</v>
      </c>
    </row>
    <row r="16" spans="1:4" ht="15.75">
      <c r="A16" s="437" t="s">
        <v>603</v>
      </c>
      <c r="B16" s="436"/>
      <c r="C16" s="439">
        <v>0</v>
      </c>
    </row>
    <row r="17" spans="1:4" ht="15.75">
      <c r="A17" s="437" t="s">
        <v>604</v>
      </c>
      <c r="B17" s="436"/>
      <c r="C17" s="439">
        <v>0</v>
      </c>
    </row>
    <row r="18" spans="1:4" ht="15.75">
      <c r="A18" s="437" t="s">
        <v>605</v>
      </c>
      <c r="B18" s="436"/>
      <c r="C18" s="439">
        <v>0</v>
      </c>
    </row>
    <row r="19" spans="1:4" ht="15.75">
      <c r="A19" s="437" t="s">
        <v>606</v>
      </c>
      <c r="B19" s="436"/>
      <c r="C19" s="441">
        <v>5040000</v>
      </c>
      <c r="D19" s="401" t="s">
        <v>607</v>
      </c>
    </row>
    <row r="20" spans="1:4" ht="15.75">
      <c r="A20" s="437" t="s">
        <v>608</v>
      </c>
      <c r="B20" s="436"/>
      <c r="C20" s="439">
        <v>0</v>
      </c>
    </row>
    <row r="21" spans="1:4" ht="15" customHeight="1" thickBot="1">
      <c r="A21" s="437" t="s">
        <v>609</v>
      </c>
      <c r="B21" s="436"/>
      <c r="C21" s="502">
        <v>0</v>
      </c>
    </row>
    <row r="22" spans="1:4" ht="15" customHeight="1">
      <c r="A22" s="503" t="s">
        <v>752</v>
      </c>
      <c r="B22" s="436"/>
      <c r="C22" s="439">
        <f>SUM(C6:C21)</f>
        <v>5174737</v>
      </c>
    </row>
    <row r="23" spans="1:4" ht="15.75">
      <c r="A23" s="435" t="s">
        <v>459</v>
      </c>
      <c r="B23" s="436"/>
      <c r="C23" s="439"/>
    </row>
    <row r="24" spans="1:4" ht="15.75">
      <c r="A24" s="437" t="s">
        <v>610</v>
      </c>
      <c r="B24" s="436"/>
      <c r="C24" s="439">
        <f>17864+21150</f>
        <v>39014</v>
      </c>
    </row>
    <row r="25" spans="1:4" ht="15.75">
      <c r="A25" s="437" t="s">
        <v>611</v>
      </c>
      <c r="B25" s="436"/>
      <c r="C25" s="439">
        <v>0</v>
      </c>
    </row>
    <row r="26" spans="1:4" ht="15.75">
      <c r="A26" s="437" t="s">
        <v>612</v>
      </c>
      <c r="B26" s="436"/>
      <c r="C26" s="439">
        <v>0</v>
      </c>
    </row>
    <row r="27" spans="1:4" ht="15.75">
      <c r="A27" s="437" t="s">
        <v>613</v>
      </c>
      <c r="B27" s="436"/>
      <c r="C27" s="439">
        <v>0</v>
      </c>
    </row>
    <row r="28" spans="1:4" ht="15.75">
      <c r="A28" s="437" t="s">
        <v>614</v>
      </c>
      <c r="B28" s="436"/>
      <c r="C28" s="439">
        <v>0</v>
      </c>
    </row>
    <row r="29" spans="1:4" ht="15.75">
      <c r="A29" s="437" t="s">
        <v>615</v>
      </c>
      <c r="B29" s="436"/>
      <c r="C29" s="439">
        <v>0</v>
      </c>
    </row>
    <row r="30" spans="1:4" ht="15.75">
      <c r="A30" s="437" t="s">
        <v>616</v>
      </c>
      <c r="B30" s="436"/>
      <c r="C30" s="439">
        <f>9361+5985+29213</f>
        <v>44559</v>
      </c>
    </row>
    <row r="31" spans="1:4" ht="15.75">
      <c r="A31" s="437" t="s">
        <v>617</v>
      </c>
      <c r="B31" s="436"/>
      <c r="C31" s="439">
        <f>58904+4200</f>
        <v>63104</v>
      </c>
    </row>
    <row r="32" spans="1:4" ht="15.75">
      <c r="A32" s="437" t="s">
        <v>618</v>
      </c>
      <c r="B32" s="436"/>
      <c r="C32" s="439">
        <v>0</v>
      </c>
    </row>
    <row r="33" spans="1:4" ht="18">
      <c r="A33" s="437" t="s">
        <v>619</v>
      </c>
      <c r="B33" s="436"/>
      <c r="C33" s="442">
        <f>5250+30000+50000+27720+52952+1470</f>
        <v>167392</v>
      </c>
    </row>
    <row r="34" spans="1:4" ht="18">
      <c r="A34" s="503" t="s">
        <v>753</v>
      </c>
      <c r="B34" s="436"/>
      <c r="C34" s="442">
        <f>SUM(C24:C33)</f>
        <v>314069</v>
      </c>
    </row>
    <row r="35" spans="1:4" ht="18">
      <c r="A35" s="437"/>
      <c r="B35" s="436"/>
      <c r="C35" s="442"/>
    </row>
    <row r="37" spans="1:4" ht="15.75">
      <c r="A37" s="437" t="s">
        <v>641</v>
      </c>
      <c r="C37" s="443">
        <f>C22+C34</f>
        <v>5488806</v>
      </c>
      <c r="D37" s="401" t="s">
        <v>620</v>
      </c>
    </row>
    <row r="39" spans="1:4">
      <c r="B39" s="517"/>
      <c r="C39" s="518"/>
      <c r="D39" s="517"/>
    </row>
    <row r="40" spans="1:4">
      <c r="A40" s="444" t="s">
        <v>642</v>
      </c>
    </row>
    <row r="41" spans="1:4">
      <c r="A41" s="522" t="s">
        <v>763</v>
      </c>
    </row>
    <row r="42" spans="1:4">
      <c r="A42" s="522" t="s">
        <v>764</v>
      </c>
    </row>
    <row r="43" spans="1:4">
      <c r="A43" s="445" t="s">
        <v>643</v>
      </c>
    </row>
    <row r="44" spans="1:4">
      <c r="A44" s="523" t="s">
        <v>765</v>
      </c>
    </row>
    <row r="45" spans="1:4">
      <c r="A45" s="445" t="s">
        <v>644</v>
      </c>
    </row>
    <row r="46" spans="1:4">
      <c r="A46" s="523" t="s">
        <v>766</v>
      </c>
    </row>
    <row r="47" spans="1:4">
      <c r="A47" s="522" t="s">
        <v>767</v>
      </c>
    </row>
    <row r="48" spans="1:4" ht="15.75">
      <c r="A48" s="437"/>
    </row>
    <row r="49" spans="1:1" ht="15.75">
      <c r="A49" s="437"/>
    </row>
    <row r="50" spans="1:1" ht="15.75">
      <c r="A50" s="446"/>
    </row>
    <row r="51" spans="1:1" ht="15.75">
      <c r="A51" s="437"/>
    </row>
    <row r="52" spans="1:1" ht="15.75">
      <c r="A52" s="437"/>
    </row>
    <row r="53" spans="1:1" ht="15.75">
      <c r="A53" s="437"/>
    </row>
    <row r="54" spans="1:1" ht="15.75">
      <c r="A54" s="437"/>
    </row>
    <row r="55" spans="1:1" ht="15.75">
      <c r="A55" s="446"/>
    </row>
    <row r="56" spans="1:1" ht="15.75">
      <c r="A56" s="437"/>
    </row>
    <row r="57" spans="1:1" ht="15.75">
      <c r="A57" s="437"/>
    </row>
    <row r="58" spans="1:1" ht="15.75">
      <c r="A58" s="437"/>
    </row>
    <row r="59" spans="1:1" ht="15.75">
      <c r="A59" s="437"/>
    </row>
    <row r="60" spans="1:1" ht="15.75">
      <c r="A60" s="446"/>
    </row>
    <row r="61" spans="1:1" ht="15.75">
      <c r="A61" s="437"/>
    </row>
    <row r="62" spans="1:1" ht="15.75">
      <c r="A62" s="437"/>
    </row>
    <row r="63" spans="1:1" ht="15.75">
      <c r="A63" s="437"/>
    </row>
    <row r="64" spans="1:1" ht="15.75">
      <c r="A64" s="437"/>
    </row>
    <row r="65" spans="1:1" ht="15.75">
      <c r="A65" s="437"/>
    </row>
    <row r="66" spans="1:1" ht="15.75">
      <c r="A66" s="437"/>
    </row>
    <row r="67" spans="1:1" ht="15.75">
      <c r="A67" s="437"/>
    </row>
    <row r="68" spans="1:1" ht="15.75">
      <c r="A68" s="437"/>
    </row>
    <row r="69" spans="1:1" ht="15.75">
      <c r="A69" s="437"/>
    </row>
    <row r="70" spans="1:1" ht="15.75">
      <c r="A70" s="437"/>
    </row>
    <row r="71" spans="1:1" ht="15.75">
      <c r="A71" s="437"/>
    </row>
    <row r="72" spans="1:1" ht="15.75">
      <c r="A72" s="437"/>
    </row>
    <row r="73" spans="1:1" ht="15.75">
      <c r="A73" s="437"/>
    </row>
    <row r="74" spans="1:1" ht="15.75">
      <c r="A74" s="437"/>
    </row>
  </sheetData>
  <pageMargins left="0.45" right="0.2" top="0.75" bottom="0.5" header="0.3" footer="0.3"/>
  <pageSetup scale="56" orientation="landscape" r:id="rId1"/>
  <headerFooter>
    <oddHeader>&amp;L&amp;"Arial MT,Bold"Marshall Municipal Utilities
2015 MMU Workpapers&amp;R&amp;"Arial MT,Bold"Exhibit MMU-4
Page 13 of 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26" zoomScale="90" zoomScaleNormal="90" zoomScaleSheetLayoutView="100" workbookViewId="0">
      <selection activeCell="A56" sqref="A56"/>
    </sheetView>
  </sheetViews>
  <sheetFormatPr defaultRowHeight="15"/>
  <cols>
    <col min="1" max="1" width="54.88671875" style="401" customWidth="1"/>
    <col min="2" max="2" width="10.33203125" style="401" customWidth="1"/>
    <col min="3" max="3" width="13.21875" style="401" customWidth="1"/>
    <col min="4" max="16384" width="8.88671875" style="401"/>
  </cols>
  <sheetData>
    <row r="1" spans="1:4" ht="23.25">
      <c r="A1" s="476" t="str">
        <f>'Transmission O&amp;M'!A1</f>
        <v>Marshall (Minnesota) Municipal Utilities</v>
      </c>
      <c r="B1" s="479"/>
      <c r="C1" s="469"/>
      <c r="D1" s="469"/>
    </row>
    <row r="2" spans="1:4" ht="23.25">
      <c r="A2" s="476" t="str">
        <f>'Transmission O&amp;M'!A2</f>
        <v>Forecasted 12 Months Ended December 31,</v>
      </c>
      <c r="B2" s="478">
        <f>'Transmission O&amp;M'!B2</f>
        <v>2015</v>
      </c>
      <c r="C2" s="469"/>
      <c r="D2" s="469"/>
    </row>
    <row r="3" spans="1:4" ht="18.75">
      <c r="A3" s="399"/>
    </row>
    <row r="4" spans="1:4" ht="18.75">
      <c r="A4" s="399"/>
    </row>
    <row r="5" spans="1:4" ht="15.75">
      <c r="A5" s="433" t="s">
        <v>645</v>
      </c>
      <c r="C5" s="434" t="s">
        <v>7</v>
      </c>
    </row>
    <row r="6" spans="1:4" ht="15.75">
      <c r="A6" s="433"/>
      <c r="D6" s="434"/>
    </row>
    <row r="7" spans="1:4" ht="15.75">
      <c r="A7" s="446" t="s">
        <v>646</v>
      </c>
      <c r="B7" s="436"/>
      <c r="C7" s="438"/>
    </row>
    <row r="8" spans="1:4" ht="15.75">
      <c r="A8" s="437" t="s">
        <v>647</v>
      </c>
      <c r="B8" s="436"/>
      <c r="C8" s="513">
        <v>0</v>
      </c>
    </row>
    <row r="9" spans="1:4" ht="15.75">
      <c r="A9" s="437" t="s">
        <v>648</v>
      </c>
      <c r="B9" s="436"/>
      <c r="C9" s="439">
        <v>29522</v>
      </c>
    </row>
    <row r="10" spans="1:4" ht="15.75">
      <c r="A10" s="437" t="s">
        <v>649</v>
      </c>
      <c r="B10" s="436"/>
      <c r="C10" s="439">
        <v>229791</v>
      </c>
    </row>
    <row r="11" spans="1:4" ht="15.75">
      <c r="A11" s="437" t="s">
        <v>650</v>
      </c>
      <c r="B11" s="436"/>
      <c r="C11" s="439">
        <v>46200</v>
      </c>
    </row>
    <row r="12" spans="1:4" ht="18">
      <c r="A12" s="437" t="s">
        <v>651</v>
      </c>
      <c r="B12" s="436"/>
      <c r="C12" s="442">
        <v>0</v>
      </c>
    </row>
    <row r="13" spans="1:4" ht="15.75">
      <c r="A13" s="447" t="s">
        <v>652</v>
      </c>
      <c r="B13" s="436"/>
      <c r="C13" s="439">
        <f>SUM(C7:C12)</f>
        <v>305513</v>
      </c>
      <c r="D13" s="401" t="s">
        <v>653</v>
      </c>
    </row>
    <row r="14" spans="1:4" ht="15.75">
      <c r="A14" s="437"/>
      <c r="B14" s="436"/>
      <c r="C14" s="439"/>
    </row>
    <row r="15" spans="1:4" ht="15.75">
      <c r="A15" s="446" t="s">
        <v>654</v>
      </c>
      <c r="B15" s="436"/>
      <c r="C15" s="439"/>
    </row>
    <row r="16" spans="1:4" ht="15.75">
      <c r="A16" s="437" t="s">
        <v>655</v>
      </c>
      <c r="B16" s="436"/>
      <c r="C16" s="438">
        <v>0</v>
      </c>
    </row>
    <row r="17" spans="1:4" ht="15.75">
      <c r="A17" s="437" t="s">
        <v>656</v>
      </c>
      <c r="B17" s="436"/>
      <c r="C17" s="439">
        <f>78829+487187-26250</f>
        <v>539766</v>
      </c>
    </row>
    <row r="18" spans="1:4" ht="15.75">
      <c r="A18" s="437" t="s">
        <v>657</v>
      </c>
      <c r="B18" s="436"/>
      <c r="C18" s="439">
        <v>0</v>
      </c>
    </row>
    <row r="19" spans="1:4" ht="18">
      <c r="A19" s="437" t="s">
        <v>658</v>
      </c>
      <c r="B19" s="436"/>
      <c r="C19" s="442">
        <f>52500+31500+79800+25200+139180</f>
        <v>328180</v>
      </c>
    </row>
    <row r="20" spans="1:4" ht="15.75">
      <c r="A20" s="447" t="s">
        <v>659</v>
      </c>
      <c r="B20" s="436"/>
      <c r="C20" s="439">
        <f>SUM(C16:C19)</f>
        <v>867946</v>
      </c>
    </row>
    <row r="21" spans="1:4" ht="18" customHeight="1">
      <c r="A21" s="437"/>
      <c r="B21" s="436"/>
      <c r="C21" s="439"/>
    </row>
    <row r="22" spans="1:4" ht="15.75">
      <c r="A22" s="446" t="s">
        <v>660</v>
      </c>
      <c r="B22" s="436"/>
      <c r="C22" s="439"/>
    </row>
    <row r="23" spans="1:4" ht="15.75">
      <c r="A23" s="437" t="s">
        <v>661</v>
      </c>
      <c r="B23" s="436"/>
      <c r="C23" s="438">
        <v>0</v>
      </c>
    </row>
    <row r="24" spans="1:4" ht="15.75">
      <c r="A24" s="437" t="s">
        <v>662</v>
      </c>
      <c r="B24" s="436"/>
      <c r="C24" s="439">
        <v>0</v>
      </c>
    </row>
    <row r="25" spans="1:4" ht="15.75">
      <c r="A25" s="437" t="s">
        <v>663</v>
      </c>
      <c r="B25" s="436"/>
      <c r="C25" s="439">
        <v>26250</v>
      </c>
    </row>
    <row r="26" spans="1:4" ht="18">
      <c r="A26" s="437" t="s">
        <v>664</v>
      </c>
      <c r="B26" s="436"/>
      <c r="C26" s="442">
        <v>0</v>
      </c>
    </row>
    <row r="27" spans="1:4" ht="15.75">
      <c r="A27" s="446" t="s">
        <v>660</v>
      </c>
      <c r="B27" s="436"/>
      <c r="C27" s="448">
        <f>SUM(C23:C26)</f>
        <v>26250</v>
      </c>
      <c r="D27" s="519" t="s">
        <v>761</v>
      </c>
    </row>
    <row r="28" spans="1:4" ht="15.75">
      <c r="A28" s="437"/>
      <c r="B28" s="436"/>
      <c r="C28" s="439"/>
    </row>
    <row r="29" spans="1:4" ht="15.75">
      <c r="A29" s="446" t="s">
        <v>635</v>
      </c>
      <c r="B29" s="436"/>
      <c r="C29" s="439"/>
    </row>
    <row r="30" spans="1:4" ht="15.75">
      <c r="A30" s="437" t="s">
        <v>621</v>
      </c>
      <c r="B30" s="436"/>
      <c r="C30" s="438">
        <f>263345+133766</f>
        <v>397111</v>
      </c>
    </row>
    <row r="31" spans="1:4" ht="15.75">
      <c r="A31" s="437" t="s">
        <v>622</v>
      </c>
      <c r="B31" s="436"/>
      <c r="C31" s="439">
        <f>21000</f>
        <v>21000</v>
      </c>
    </row>
    <row r="32" spans="1:4" ht="15.75">
      <c r="A32" s="437" t="s">
        <v>623</v>
      </c>
      <c r="B32" s="436"/>
      <c r="C32" s="439">
        <v>0</v>
      </c>
    </row>
    <row r="33" spans="1:4" ht="15.75">
      <c r="A33" s="437" t="s">
        <v>624</v>
      </c>
      <c r="B33" s="436"/>
      <c r="C33" s="439">
        <v>65000</v>
      </c>
    </row>
    <row r="34" spans="1:4" ht="15.75">
      <c r="A34" s="437" t="s">
        <v>625</v>
      </c>
      <c r="B34" s="436"/>
      <c r="C34" s="439">
        <f>18900</f>
        <v>18900</v>
      </c>
    </row>
    <row r="35" spans="1:4" ht="15.75">
      <c r="A35" s="437" t="s">
        <v>626</v>
      </c>
      <c r="B35" s="436"/>
      <c r="C35" s="439">
        <v>0</v>
      </c>
    </row>
    <row r="36" spans="1:4" ht="15.75">
      <c r="A36" s="437" t="s">
        <v>627</v>
      </c>
      <c r="B36" s="436"/>
      <c r="C36" s="439">
        <f>155333</f>
        <v>155333</v>
      </c>
    </row>
    <row r="37" spans="1:4" ht="15.75">
      <c r="A37" s="437" t="s">
        <v>628</v>
      </c>
      <c r="B37" s="436"/>
      <c r="C37" s="439">
        <v>0</v>
      </c>
    </row>
    <row r="38" spans="1:4" ht="15.75">
      <c r="A38" s="437" t="s">
        <v>629</v>
      </c>
      <c r="B38" s="436"/>
      <c r="C38" s="439">
        <v>1400</v>
      </c>
    </row>
    <row r="39" spans="1:4" ht="15.75">
      <c r="A39" s="437" t="s">
        <v>630</v>
      </c>
      <c r="B39" s="436"/>
      <c r="C39" s="439">
        <v>0</v>
      </c>
    </row>
    <row r="40" spans="1:4" ht="15.75">
      <c r="A40" s="437" t="s">
        <v>631</v>
      </c>
      <c r="B40" s="436"/>
      <c r="C40" s="448">
        <v>17745</v>
      </c>
    </row>
    <row r="41" spans="1:4" ht="15.75">
      <c r="A41" s="437" t="s">
        <v>632</v>
      </c>
      <c r="C41" s="514">
        <f>13650+157500+9870+200</f>
        <v>181220</v>
      </c>
    </row>
    <row r="42" spans="1:4" ht="15.75">
      <c r="A42" s="437" t="s">
        <v>633</v>
      </c>
      <c r="C42" s="449">
        <v>0</v>
      </c>
    </row>
    <row r="43" spans="1:4" ht="15.75">
      <c r="A43" s="437" t="s">
        <v>634</v>
      </c>
      <c r="C43" s="450">
        <f>55366+46725</f>
        <v>102091</v>
      </c>
    </row>
    <row r="44" spans="1:4" ht="15.75">
      <c r="A44" s="446" t="s">
        <v>635</v>
      </c>
      <c r="C44" s="451">
        <f>SUM(C30:C43)</f>
        <v>959800</v>
      </c>
      <c r="D44" s="401" t="s">
        <v>665</v>
      </c>
    </row>
    <row r="47" spans="1:4">
      <c r="A47" s="444" t="s">
        <v>642</v>
      </c>
    </row>
    <row r="48" spans="1:4">
      <c r="A48" s="558" t="s">
        <v>781</v>
      </c>
    </row>
    <row r="49" spans="1:5">
      <c r="A49" s="525" t="s">
        <v>782</v>
      </c>
    </row>
    <row r="50" spans="1:5">
      <c r="A50" s="558" t="s">
        <v>783</v>
      </c>
    </row>
    <row r="51" spans="1:5">
      <c r="A51" s="525" t="s">
        <v>784</v>
      </c>
    </row>
    <row r="52" spans="1:5">
      <c r="A52" s="558" t="s">
        <v>785</v>
      </c>
      <c r="B52" s="452"/>
      <c r="C52" s="452"/>
      <c r="D52" s="452"/>
      <c r="E52" s="452"/>
    </row>
    <row r="53" spans="1:5">
      <c r="A53" s="525" t="s">
        <v>786</v>
      </c>
      <c r="B53" s="452"/>
      <c r="C53" s="452"/>
      <c r="D53" s="452"/>
      <c r="E53" s="452"/>
    </row>
    <row r="54" spans="1:5">
      <c r="A54" s="558" t="s">
        <v>787</v>
      </c>
    </row>
    <row r="55" spans="1:5">
      <c r="A55" s="525" t="s">
        <v>788</v>
      </c>
    </row>
    <row r="56" spans="1:5" ht="15.75">
      <c r="A56" s="437"/>
    </row>
    <row r="57" spans="1:5" ht="15.75">
      <c r="A57" s="446"/>
    </row>
    <row r="58" spans="1:5" ht="15.75">
      <c r="A58" s="437"/>
    </row>
    <row r="59" spans="1:5" ht="15.75">
      <c r="A59" s="437"/>
    </row>
    <row r="60" spans="1:5" ht="15.75">
      <c r="A60" s="437"/>
    </row>
    <row r="61" spans="1:5" ht="15.75">
      <c r="A61" s="437"/>
    </row>
    <row r="62" spans="1:5" ht="15.75">
      <c r="A62" s="446"/>
    </row>
    <row r="63" spans="1:5" ht="15.75">
      <c r="A63" s="437"/>
    </row>
    <row r="64" spans="1:5" ht="15.75">
      <c r="A64" s="437"/>
    </row>
    <row r="65" spans="1:1" ht="15.75">
      <c r="A65" s="437"/>
    </row>
    <row r="66" spans="1:1" ht="15.75">
      <c r="A66" s="437"/>
    </row>
    <row r="67" spans="1:1" ht="15.75">
      <c r="A67" s="446"/>
    </row>
    <row r="68" spans="1:1" ht="15.75">
      <c r="A68" s="437"/>
    </row>
    <row r="69" spans="1:1" ht="15.75">
      <c r="A69" s="437"/>
    </row>
    <row r="70" spans="1:1" ht="15.75">
      <c r="A70" s="437"/>
    </row>
    <row r="71" spans="1:1" ht="15.75">
      <c r="A71" s="437"/>
    </row>
    <row r="72" spans="1:1" ht="15.75">
      <c r="A72" s="437"/>
    </row>
    <row r="73" spans="1:1" ht="15.75">
      <c r="A73" s="437"/>
    </row>
    <row r="74" spans="1:1" ht="15.75">
      <c r="A74" s="437"/>
    </row>
    <row r="75" spans="1:1" ht="15.75">
      <c r="A75" s="437"/>
    </row>
    <row r="76" spans="1:1" ht="15.75">
      <c r="A76" s="437"/>
    </row>
    <row r="77" spans="1:1" ht="15.75">
      <c r="A77" s="437"/>
    </row>
    <row r="78" spans="1:1" ht="15.75">
      <c r="A78" s="437"/>
    </row>
    <row r="79" spans="1:1" ht="15.75">
      <c r="A79" s="437"/>
    </row>
    <row r="80" spans="1:1" ht="15.75">
      <c r="A80" s="437"/>
    </row>
    <row r="81" spans="1:1" ht="15.75">
      <c r="A81" s="437"/>
    </row>
  </sheetData>
  <pageMargins left="0.45" right="0.2" top="0.5" bottom="0.5" header="0.05" footer="0.05"/>
  <pageSetup scale="54" orientation="portrait" r:id="rId1"/>
  <headerFooter>
    <oddHeader>&amp;L&amp;"Arial MT,Bold"Marshall Municipal Utilities
2015 MMU Workpapers&amp;R&amp;"Arial MT,Bold"Exhibit MMU-4
Page 14 of 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zoomScaleSheetLayoutView="100" workbookViewId="0">
      <selection activeCell="A15" sqref="A15"/>
    </sheetView>
  </sheetViews>
  <sheetFormatPr defaultRowHeight="15"/>
  <cols>
    <col min="1" max="1" width="56.109375" style="401" bestFit="1" customWidth="1"/>
    <col min="2" max="2" width="8.109375" style="401" customWidth="1"/>
    <col min="3" max="3" width="8.44140625" style="401" customWidth="1"/>
    <col min="4" max="16384" width="8.88671875" style="401"/>
  </cols>
  <sheetData>
    <row r="1" spans="1:7" ht="18.75">
      <c r="A1" s="471" t="str">
        <f>'Admin &amp; General'!A1</f>
        <v>Marshall (Minnesota) Municipal Utilities</v>
      </c>
      <c r="B1" s="475"/>
      <c r="C1" s="436"/>
      <c r="D1" s="436"/>
      <c r="E1" s="436"/>
      <c r="F1" s="436"/>
      <c r="G1" s="436"/>
    </row>
    <row r="2" spans="1:7" ht="18.75">
      <c r="A2" s="471" t="str">
        <f>'Admin &amp; General'!A2</f>
        <v>Forecasted 12 Months Ended December 31,</v>
      </c>
      <c r="B2" s="470">
        <f>'Admin &amp; General'!B2</f>
        <v>2015</v>
      </c>
      <c r="C2" s="436"/>
      <c r="D2" s="436"/>
      <c r="E2" s="436"/>
      <c r="F2" s="436"/>
      <c r="G2" s="436"/>
    </row>
    <row r="4" spans="1:7" ht="20.25">
      <c r="A4" s="453" t="s">
        <v>666</v>
      </c>
      <c r="B4" s="444"/>
      <c r="C4" s="444"/>
      <c r="D4" s="444"/>
    </row>
    <row r="6" spans="1:7">
      <c r="A6" s="454"/>
      <c r="B6" s="454" t="s">
        <v>667</v>
      </c>
      <c r="D6" s="454"/>
    </row>
    <row r="7" spans="1:7">
      <c r="A7" s="434" t="s">
        <v>668</v>
      </c>
      <c r="B7" s="434" t="s">
        <v>669</v>
      </c>
      <c r="C7" s="434" t="s">
        <v>7</v>
      </c>
    </row>
    <row r="9" spans="1:7" ht="15.75">
      <c r="A9" s="445" t="s">
        <v>670</v>
      </c>
      <c r="B9" s="505">
        <v>0</v>
      </c>
      <c r="C9" s="455">
        <v>0</v>
      </c>
    </row>
    <row r="10" spans="1:7" ht="15.75">
      <c r="A10" s="445" t="s">
        <v>671</v>
      </c>
      <c r="B10" s="505">
        <v>0</v>
      </c>
      <c r="C10" s="507">
        <v>0</v>
      </c>
    </row>
    <row r="11" spans="1:7" ht="17.25">
      <c r="A11" s="445" t="s">
        <v>672</v>
      </c>
      <c r="B11" s="506">
        <v>0</v>
      </c>
      <c r="C11" s="508">
        <v>0</v>
      </c>
    </row>
    <row r="13" spans="1:7">
      <c r="A13" s="445" t="s">
        <v>9</v>
      </c>
      <c r="B13" s="504">
        <f>SUM(B9:B12)</f>
        <v>0</v>
      </c>
      <c r="C13" s="457">
        <f>SUM(C9:C12)</f>
        <v>0</v>
      </c>
    </row>
    <row r="15" spans="1:7">
      <c r="A15" s="521" t="s">
        <v>768</v>
      </c>
    </row>
    <row r="16" spans="1:7">
      <c r="A16" s="445" t="s">
        <v>673</v>
      </c>
    </row>
    <row r="17" spans="1:1">
      <c r="A17" s="445" t="s">
        <v>674</v>
      </c>
    </row>
    <row r="21" spans="1:1" ht="256.5" customHeight="1"/>
  </sheetData>
  <pageMargins left="0.7" right="0.7" top="0.75" bottom="0.75" header="0.3" footer="0.3"/>
  <pageSetup scale="64" orientation="landscape" r:id="rId1"/>
  <headerFooter>
    <oddHeader>&amp;L&amp;"Arial MT,Bold"Marshall Municipal Utilities
2015 MMU Workpapers&amp;R&amp;"Arial MT,Bold"Exhibit MMU-4
Page 15 of 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80" zoomScaleNormal="80" zoomScaleSheetLayoutView="100" workbookViewId="0">
      <selection activeCell="H20" sqref="H20"/>
    </sheetView>
  </sheetViews>
  <sheetFormatPr defaultRowHeight="15"/>
  <cols>
    <col min="1" max="1" width="94.109375" style="401" bestFit="1" customWidth="1"/>
    <col min="2" max="2" width="9.77734375" style="401" bestFit="1" customWidth="1"/>
    <col min="3" max="3" width="9" style="401" bestFit="1" customWidth="1"/>
    <col min="4" max="4" width="2.21875" style="401" customWidth="1"/>
    <col min="5" max="5" width="8.21875" style="401" bestFit="1" customWidth="1"/>
    <col min="6" max="16384" width="8.88671875" style="401"/>
  </cols>
  <sheetData>
    <row r="1" spans="1:9" ht="23.25">
      <c r="A1" s="476" t="str">
        <f>'FERC Fees'!A1</f>
        <v>Marshall (Minnesota) Municipal Utilities</v>
      </c>
      <c r="B1" s="477"/>
      <c r="C1" s="436"/>
      <c r="D1" s="436"/>
      <c r="E1" s="436"/>
      <c r="F1" s="436"/>
      <c r="G1" s="436"/>
      <c r="H1" s="436"/>
    </row>
    <row r="2" spans="1:9" ht="23.25">
      <c r="A2" s="476" t="str">
        <f>'FERC Fees'!A2</f>
        <v>Forecasted 12 Months Ended December 31,</v>
      </c>
      <c r="B2" s="478">
        <f>'FERC Fees'!B2</f>
        <v>2015</v>
      </c>
      <c r="C2" s="436"/>
      <c r="D2" s="436"/>
      <c r="E2" s="436"/>
      <c r="F2" s="436"/>
      <c r="G2" s="436"/>
      <c r="H2" s="436"/>
      <c r="I2" s="436"/>
    </row>
    <row r="4" spans="1:9" ht="20.25">
      <c r="A4" s="453" t="s">
        <v>675</v>
      </c>
      <c r="B4" s="444"/>
      <c r="C4" s="444"/>
      <c r="D4" s="444"/>
      <c r="E4" s="444"/>
    </row>
    <row r="7" spans="1:9" ht="15.75">
      <c r="A7" s="401" t="s">
        <v>676</v>
      </c>
      <c r="B7" s="455">
        <v>0</v>
      </c>
      <c r="C7" s="401" t="s">
        <v>677</v>
      </c>
    </row>
    <row r="12" spans="1:9">
      <c r="A12" s="401" t="s">
        <v>678</v>
      </c>
    </row>
    <row r="13" spans="1:9" ht="15.75">
      <c r="A13" s="527" t="s">
        <v>771</v>
      </c>
      <c r="B13" s="455">
        <v>1400</v>
      </c>
      <c r="C13" s="526" t="s">
        <v>770</v>
      </c>
    </row>
    <row r="14" spans="1:9" ht="15.75">
      <c r="A14" s="445" t="s">
        <v>679</v>
      </c>
      <c r="B14" s="510">
        <v>0</v>
      </c>
      <c r="C14" s="401" t="s">
        <v>680</v>
      </c>
    </row>
    <row r="15" spans="1:9">
      <c r="B15" s="509">
        <f>SUM(B13:B14)</f>
        <v>1400</v>
      </c>
    </row>
    <row r="18" spans="1:8">
      <c r="A18" s="401" t="s">
        <v>681</v>
      </c>
    </row>
    <row r="19" spans="1:8" ht="15.75">
      <c r="A19" s="557" t="s">
        <v>778</v>
      </c>
      <c r="B19" s="455">
        <f>'Admin &amp; General'!C40</f>
        <v>17745</v>
      </c>
      <c r="C19" s="529" t="s">
        <v>779</v>
      </c>
      <c r="H19" s="558" t="s">
        <v>780</v>
      </c>
    </row>
    <row r="20" spans="1:8" ht="15.75">
      <c r="A20" s="445" t="s">
        <v>682</v>
      </c>
      <c r="B20" s="510">
        <v>0</v>
      </c>
      <c r="C20" s="401" t="s">
        <v>683</v>
      </c>
    </row>
    <row r="21" spans="1:8" ht="18" customHeight="1">
      <c r="B21" s="507">
        <f>SUM(B19:B20)</f>
        <v>17745</v>
      </c>
    </row>
    <row r="24" spans="1:8">
      <c r="A24" s="444" t="s">
        <v>769</v>
      </c>
      <c r="B24" s="444"/>
      <c r="C24" s="444"/>
      <c r="D24" s="444"/>
      <c r="E24" s="444"/>
      <c r="F24" s="444"/>
    </row>
    <row r="26" spans="1:8">
      <c r="A26" s="525"/>
    </row>
    <row r="27" spans="1:8">
      <c r="A27" s="524"/>
    </row>
  </sheetData>
  <pageMargins left="0.7" right="0.7" top="0.75" bottom="0.75" header="0.3" footer="0.3"/>
  <pageSetup scale="59" orientation="landscape" r:id="rId1"/>
  <headerFooter>
    <oddHeader>&amp;L&amp;"Arial MT,Bold"Marshall Municipal Utilities
2015 MMU Workpapers&amp;R&amp;"Arial MT,Bold"Exhibit MMU-4
Page 16 of 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zoomScaleSheetLayoutView="100" workbookViewId="0">
      <selection activeCell="B10" sqref="B10"/>
    </sheetView>
  </sheetViews>
  <sheetFormatPr defaultRowHeight="15"/>
  <cols>
    <col min="1" max="1" width="32.33203125" style="401" bestFit="1" customWidth="1"/>
    <col min="2" max="4" width="8.88671875" style="401"/>
    <col min="5" max="5" width="11.21875" style="401" customWidth="1"/>
    <col min="6" max="6" width="2.109375" style="401" customWidth="1"/>
    <col min="7" max="16384" width="8.88671875" style="401"/>
  </cols>
  <sheetData>
    <row r="1" spans="1:8" ht="23.25">
      <c r="A1" s="470" t="str">
        <f>'EPRI Reg Comm Non Safety'!A1</f>
        <v>Marshall (Minnesota) Municipal Utilities</v>
      </c>
      <c r="B1" s="469"/>
      <c r="C1" s="469"/>
      <c r="D1" s="469"/>
      <c r="E1" s="479"/>
      <c r="F1" s="479"/>
      <c r="G1" s="479"/>
      <c r="H1" s="479"/>
    </row>
    <row r="2" spans="1:8" ht="23.25">
      <c r="A2" s="470" t="str">
        <f>'EPRI Reg Comm Non Safety'!A2</f>
        <v>Forecasted 12 Months Ended December 31,</v>
      </c>
      <c r="B2" s="469"/>
      <c r="C2" s="469"/>
      <c r="D2" s="470">
        <f>'EPRI Reg Comm Non Safety'!B2</f>
        <v>2015</v>
      </c>
      <c r="E2" s="479"/>
      <c r="F2" s="479"/>
      <c r="G2" s="479"/>
      <c r="H2" s="479"/>
    </row>
    <row r="4" spans="1:8" ht="21">
      <c r="A4" s="459" t="s">
        <v>684</v>
      </c>
      <c r="B4" s="459"/>
      <c r="C4" s="459"/>
      <c r="D4" s="459"/>
    </row>
    <row r="6" spans="1:8" ht="15.75">
      <c r="A6" s="401" t="s">
        <v>685</v>
      </c>
      <c r="E6" s="460">
        <v>0</v>
      </c>
      <c r="G6" s="401" t="s">
        <v>686</v>
      </c>
    </row>
    <row r="7" spans="1:8" ht="15.75">
      <c r="A7" s="401" t="s">
        <v>687</v>
      </c>
      <c r="E7" s="461">
        <v>0</v>
      </c>
      <c r="G7" s="401" t="s">
        <v>688</v>
      </c>
    </row>
    <row r="8" spans="1:8" ht="15.75">
      <c r="A8" s="401" t="s">
        <v>689</v>
      </c>
      <c r="E8" s="461">
        <v>0</v>
      </c>
      <c r="G8" s="401" t="s">
        <v>690</v>
      </c>
    </row>
    <row r="9" spans="1:8" ht="15.75">
      <c r="A9" s="401" t="s">
        <v>691</v>
      </c>
      <c r="E9" s="461">
        <v>0</v>
      </c>
      <c r="G9" s="401" t="s">
        <v>692</v>
      </c>
    </row>
    <row r="10" spans="1:8" ht="15.75">
      <c r="A10" s="156" t="s">
        <v>505</v>
      </c>
      <c r="E10" s="528">
        <v>1346433</v>
      </c>
      <c r="G10" s="401" t="s">
        <v>693</v>
      </c>
    </row>
    <row r="11" spans="1:8" ht="15.75">
      <c r="A11" s="401" t="s">
        <v>694</v>
      </c>
      <c r="E11" s="458">
        <v>0</v>
      </c>
      <c r="G11" s="401" t="s">
        <v>695</v>
      </c>
    </row>
    <row r="12" spans="1:8" ht="15.75">
      <c r="A12" s="401" t="s">
        <v>9</v>
      </c>
      <c r="E12" s="455">
        <f>SUM(E6:E11)</f>
        <v>1346433</v>
      </c>
      <c r="G12" s="401" t="s">
        <v>696</v>
      </c>
    </row>
    <row r="13" spans="1:8">
      <c r="G13" s="401" t="s">
        <v>697</v>
      </c>
    </row>
    <row r="14" spans="1:8">
      <c r="G14" s="401" t="s">
        <v>698</v>
      </c>
    </row>
    <row r="15" spans="1:8">
      <c r="G15" s="401" t="s">
        <v>699</v>
      </c>
    </row>
    <row r="21" ht="256.5" customHeight="1"/>
  </sheetData>
  <pageMargins left="0.45" right="0.2" top="0.75" bottom="0.75" header="0.3" footer="0.3"/>
  <pageSetup scale="63" orientation="landscape" r:id="rId1"/>
  <headerFooter>
    <oddHeader>&amp;L&amp;"Arial MT,Bold"Marshall Municipal Utilities
2015 MMU Workpapers&amp;R&amp;"Arial MT,Bold"Exhibit MMU-4
Page 17 of 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8"/>
  <sheetViews>
    <sheetView topLeftCell="A144" zoomScale="70" zoomScaleNormal="70" zoomScaleSheetLayoutView="75" workbookViewId="0">
      <selection activeCell="D161" sqref="D161"/>
    </sheetView>
  </sheetViews>
  <sheetFormatPr defaultRowHeight="15.75"/>
  <cols>
    <col min="1" max="1" width="6" style="3" customWidth="1"/>
    <col min="2" max="2" width="28.44140625" style="3" customWidth="1"/>
    <col min="3" max="3" width="36.21875" style="3" customWidth="1"/>
    <col min="4" max="4" width="11.88671875" style="3" customWidth="1"/>
    <col min="5" max="5" width="5.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2" width="8.88671875" style="3"/>
    <col min="13" max="13" width="12" style="3" bestFit="1" customWidth="1"/>
    <col min="14" max="14" width="16.77734375" style="3" customWidth="1"/>
    <col min="15" max="16384" width="8.88671875" style="3"/>
  </cols>
  <sheetData>
    <row r="1" spans="1:16">
      <c r="B1" s="2"/>
      <c r="C1" s="2"/>
      <c r="D1" s="10"/>
      <c r="E1" s="2"/>
      <c r="F1" s="2"/>
      <c r="G1" s="2"/>
      <c r="H1" s="11"/>
      <c r="I1" s="12"/>
      <c r="K1" s="13" t="s">
        <v>183</v>
      </c>
      <c r="L1" s="12"/>
      <c r="N1" s="12"/>
      <c r="O1" s="12"/>
      <c r="P1" s="12"/>
    </row>
    <row r="2" spans="1:16">
      <c r="B2" s="2"/>
      <c r="C2" s="2"/>
      <c r="D2" s="10"/>
      <c r="E2" s="2"/>
      <c r="F2" s="2"/>
      <c r="G2" s="2"/>
      <c r="H2" s="11"/>
      <c r="I2" s="11"/>
      <c r="J2" s="12"/>
      <c r="K2" s="14"/>
      <c r="L2" s="12"/>
      <c r="N2" s="12"/>
      <c r="O2" s="12"/>
      <c r="P2" s="12"/>
    </row>
    <row r="3" spans="1:16">
      <c r="B3" s="2" t="s">
        <v>0</v>
      </c>
      <c r="C3" s="2"/>
      <c r="D3" s="10" t="s">
        <v>1</v>
      </c>
      <c r="E3" s="2"/>
      <c r="F3" s="2"/>
      <c r="G3" s="2"/>
      <c r="H3" s="118"/>
      <c r="I3" s="117"/>
      <c r="J3" s="15"/>
      <c r="K3" s="16" t="s">
        <v>762</v>
      </c>
      <c r="L3" s="12"/>
      <c r="N3" s="12"/>
      <c r="O3" s="12"/>
      <c r="P3" s="12"/>
    </row>
    <row r="4" spans="1:16">
      <c r="B4" s="2"/>
      <c r="C4" s="5" t="s">
        <v>2</v>
      </c>
      <c r="D4" s="5" t="s">
        <v>3</v>
      </c>
      <c r="E4" s="5"/>
      <c r="F4" s="5"/>
      <c r="G4" s="5"/>
      <c r="H4" s="11"/>
      <c r="I4" s="11"/>
      <c r="J4" s="12"/>
      <c r="K4" s="12"/>
      <c r="L4" s="12"/>
      <c r="N4" s="12"/>
      <c r="O4" s="12"/>
      <c r="P4" s="12"/>
    </row>
    <row r="5" spans="1:16">
      <c r="B5" s="12"/>
      <c r="C5" s="12"/>
      <c r="D5" s="12"/>
      <c r="E5" s="12"/>
      <c r="F5" s="12"/>
      <c r="G5" s="12"/>
      <c r="H5" s="12"/>
      <c r="I5" s="12"/>
      <c r="J5" s="12"/>
      <c r="K5" s="12"/>
      <c r="L5" s="12"/>
      <c r="N5" s="12"/>
      <c r="O5" s="12"/>
      <c r="P5" s="12"/>
    </row>
    <row r="6" spans="1:16">
      <c r="A6" s="1"/>
      <c r="B6" s="12"/>
      <c r="C6" s="12"/>
      <c r="D6" s="323" t="s">
        <v>509</v>
      </c>
      <c r="E6" s="322"/>
      <c r="F6" s="322"/>
      <c r="G6" s="322"/>
      <c r="H6" s="322"/>
      <c r="I6" s="12"/>
      <c r="J6" s="12"/>
      <c r="K6" s="12"/>
      <c r="L6" s="12"/>
      <c r="N6" s="12"/>
      <c r="O6" s="12"/>
      <c r="P6" s="12"/>
    </row>
    <row r="7" spans="1:16">
      <c r="A7" s="1"/>
      <c r="B7" s="12"/>
      <c r="C7" s="12"/>
      <c r="D7" s="17"/>
      <c r="E7" s="12"/>
      <c r="F7" s="12"/>
      <c r="G7" s="12"/>
      <c r="H7" s="12"/>
      <c r="I7" s="12"/>
      <c r="J7" s="12"/>
      <c r="K7" s="12"/>
      <c r="L7" s="12"/>
      <c r="N7" s="12"/>
      <c r="O7" s="12"/>
      <c r="P7" s="12"/>
    </row>
    <row r="8" spans="1:16">
      <c r="A8" s="1" t="s">
        <v>4</v>
      </c>
      <c r="B8" s="12"/>
      <c r="C8" s="12"/>
      <c r="D8" s="17"/>
      <c r="E8" s="12"/>
      <c r="F8" s="12"/>
      <c r="G8" s="12"/>
      <c r="H8" s="12"/>
      <c r="I8" s="1" t="s">
        <v>5</v>
      </c>
      <c r="J8" s="12"/>
      <c r="K8" s="12"/>
      <c r="L8" s="12"/>
      <c r="N8" s="12"/>
      <c r="O8" s="12"/>
      <c r="P8" s="12"/>
    </row>
    <row r="9" spans="1:16" ht="16.5" thickBot="1">
      <c r="A9" s="18" t="s">
        <v>6</v>
      </c>
      <c r="B9" s="12"/>
      <c r="C9" s="12"/>
      <c r="D9" s="12"/>
      <c r="E9" s="12"/>
      <c r="F9" s="12"/>
      <c r="G9" s="12"/>
      <c r="H9" s="12"/>
      <c r="I9" s="18" t="s">
        <v>7</v>
      </c>
      <c r="J9" s="12"/>
      <c r="K9" s="12"/>
      <c r="L9" s="12"/>
      <c r="N9" s="12"/>
      <c r="O9" s="12"/>
      <c r="P9" s="12"/>
    </row>
    <row r="10" spans="1:16">
      <c r="A10" s="1">
        <v>1</v>
      </c>
      <c r="B10" s="12" t="s">
        <v>265</v>
      </c>
      <c r="C10" s="12"/>
      <c r="D10" s="19"/>
      <c r="E10" s="12"/>
      <c r="F10" s="12"/>
      <c r="G10" s="12"/>
      <c r="H10" s="12"/>
      <c r="I10" s="20">
        <f>+I208</f>
        <v>2214779.6844695304</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174</v>
      </c>
      <c r="D12" s="18" t="s">
        <v>9</v>
      </c>
      <c r="E12" s="5"/>
      <c r="F12" s="21" t="s">
        <v>10</v>
      </c>
      <c r="G12" s="21"/>
      <c r="H12" s="12"/>
      <c r="I12" s="19"/>
      <c r="J12" s="12"/>
      <c r="K12" s="12"/>
      <c r="L12" s="12"/>
      <c r="N12" s="12"/>
      <c r="O12" s="12"/>
      <c r="P12" s="12"/>
    </row>
    <row r="13" spans="1:16">
      <c r="A13" s="1">
        <v>2</v>
      </c>
      <c r="B13" s="4" t="s">
        <v>11</v>
      </c>
      <c r="C13" s="5" t="s">
        <v>167</v>
      </c>
      <c r="D13" s="5">
        <f>I268</f>
        <v>0</v>
      </c>
      <c r="E13" s="5"/>
      <c r="F13" s="5" t="s">
        <v>12</v>
      </c>
      <c r="G13" s="22">
        <f>I227</f>
        <v>1</v>
      </c>
      <c r="H13" s="5"/>
      <c r="I13" s="5">
        <f>+G13*D13</f>
        <v>0</v>
      </c>
      <c r="J13" s="12"/>
      <c r="K13" s="12"/>
      <c r="L13" s="12"/>
      <c r="N13" s="12"/>
      <c r="O13" s="12"/>
      <c r="P13" s="12"/>
    </row>
    <row r="14" spans="1:16">
      <c r="A14" s="1">
        <v>3</v>
      </c>
      <c r="B14" s="4" t="s">
        <v>206</v>
      </c>
      <c r="C14" s="5" t="s">
        <v>168</v>
      </c>
      <c r="D14" s="5">
        <f>I275</f>
        <v>0</v>
      </c>
      <c r="E14" s="5"/>
      <c r="F14" s="5" t="str">
        <f>+F13</f>
        <v>TP</v>
      </c>
      <c r="G14" s="22">
        <f>+G13</f>
        <v>1</v>
      </c>
      <c r="H14" s="5"/>
      <c r="I14" s="5">
        <f>+G14*D14</f>
        <v>0</v>
      </c>
      <c r="J14" s="12"/>
      <c r="K14" s="12"/>
      <c r="N14" s="12"/>
      <c r="O14" s="12"/>
      <c r="P14" s="12"/>
    </row>
    <row r="15" spans="1:16">
      <c r="A15" s="1">
        <v>4</v>
      </c>
      <c r="B15" s="4" t="s">
        <v>13</v>
      </c>
      <c r="C15" s="5"/>
      <c r="D15" s="23">
        <v>0</v>
      </c>
      <c r="E15" s="5"/>
      <c r="F15" s="5" t="s">
        <v>12</v>
      </c>
      <c r="G15" s="22">
        <f>+G13</f>
        <v>1</v>
      </c>
      <c r="H15" s="5"/>
      <c r="I15" s="5">
        <f>+G15*D15</f>
        <v>0</v>
      </c>
      <c r="J15" s="12"/>
      <c r="K15" s="12"/>
      <c r="L15" s="24" t="s">
        <v>188</v>
      </c>
      <c r="N15" s="12"/>
      <c r="O15" s="12"/>
      <c r="P15" s="12"/>
    </row>
    <row r="16" spans="1:16" ht="16.5" thickBot="1">
      <c r="A16" s="1">
        <v>5</v>
      </c>
      <c r="B16" s="4" t="s">
        <v>14</v>
      </c>
      <c r="C16" s="5"/>
      <c r="D16" s="23">
        <v>0</v>
      </c>
      <c r="E16" s="5"/>
      <c r="F16" s="5" t="s">
        <v>12</v>
      </c>
      <c r="G16" s="22">
        <f>+G13</f>
        <v>1</v>
      </c>
      <c r="H16" s="5"/>
      <c r="I16" s="25">
        <f>+G16*D16</f>
        <v>0</v>
      </c>
      <c r="J16" s="12"/>
      <c r="K16" s="12"/>
      <c r="L16" s="24" t="s">
        <v>189</v>
      </c>
      <c r="N16" s="12"/>
      <c r="O16" s="12"/>
      <c r="P16" s="12"/>
    </row>
    <row r="17" spans="1:16">
      <c r="A17" s="1">
        <v>6</v>
      </c>
      <c r="B17" s="4" t="s">
        <v>15</v>
      </c>
      <c r="C17" s="12"/>
      <c r="D17" s="26" t="s">
        <v>2</v>
      </c>
      <c r="E17" s="5"/>
      <c r="F17" s="5"/>
      <c r="G17" s="22"/>
      <c r="H17" s="5"/>
      <c r="I17" s="5">
        <f>SUM(I13:I16)</f>
        <v>0</v>
      </c>
      <c r="J17" s="12"/>
      <c r="K17" s="12"/>
      <c r="L17" s="12"/>
      <c r="N17" s="12"/>
      <c r="O17" s="12"/>
      <c r="P17" s="12"/>
    </row>
    <row r="18" spans="1:16">
      <c r="A18" s="1"/>
      <c r="B18" s="4"/>
      <c r="C18" s="12"/>
      <c r="D18" s="26"/>
      <c r="E18" s="5"/>
      <c r="F18" s="5"/>
      <c r="G18" s="22"/>
      <c r="H18" s="5"/>
      <c r="I18" s="5"/>
      <c r="J18" s="12"/>
      <c r="K18" s="12"/>
      <c r="L18" s="12"/>
      <c r="N18" s="12"/>
      <c r="O18" s="12"/>
      <c r="P18" s="12"/>
    </row>
    <row r="19" spans="1:16">
      <c r="A19" s="516" t="s">
        <v>731</v>
      </c>
      <c r="B19" s="495" t="s">
        <v>732</v>
      </c>
      <c r="C19" s="496"/>
      <c r="D19" s="497"/>
      <c r="E19" s="497"/>
      <c r="F19" s="497"/>
      <c r="G19" s="497"/>
      <c r="H19" s="497"/>
      <c r="I19" s="498">
        <v>0</v>
      </c>
      <c r="J19" s="12"/>
      <c r="K19" s="12"/>
      <c r="L19" s="12"/>
      <c r="N19" s="12"/>
      <c r="O19" s="12"/>
      <c r="P19" s="12"/>
    </row>
    <row r="20" spans="1:16" ht="16.5" thickBot="1">
      <c r="A20" s="516" t="s">
        <v>733</v>
      </c>
      <c r="B20" s="495" t="s">
        <v>734</v>
      </c>
      <c r="C20" s="496"/>
      <c r="D20" s="497"/>
      <c r="E20" s="497"/>
      <c r="F20" s="497"/>
      <c r="G20" s="497"/>
      <c r="H20" s="497"/>
      <c r="I20" s="499">
        <v>0</v>
      </c>
      <c r="J20" s="12"/>
      <c r="K20" s="12"/>
      <c r="L20" s="12"/>
      <c r="N20" s="12"/>
      <c r="O20" s="12"/>
      <c r="P20" s="12"/>
    </row>
    <row r="21" spans="1:16">
      <c r="A21" s="516" t="s">
        <v>735</v>
      </c>
      <c r="B21" s="495" t="s">
        <v>736</v>
      </c>
      <c r="C21" s="496"/>
      <c r="D21" s="497" t="s">
        <v>737</v>
      </c>
      <c r="E21" s="497"/>
      <c r="F21" s="497"/>
      <c r="G21" s="497"/>
      <c r="H21" s="497"/>
      <c r="I21" s="500">
        <f>I19-I20</f>
        <v>0</v>
      </c>
      <c r="J21" s="12"/>
      <c r="K21" s="12"/>
      <c r="L21" s="12"/>
      <c r="N21" s="12"/>
      <c r="O21" s="12"/>
      <c r="P21" s="12"/>
    </row>
    <row r="22" spans="1:16">
      <c r="A22" s="516"/>
      <c r="B22" s="495"/>
      <c r="C22" s="496"/>
      <c r="D22" s="497"/>
      <c r="E22" s="497"/>
      <c r="F22" s="497"/>
      <c r="G22" s="497"/>
      <c r="H22" s="497"/>
      <c r="I22" s="500"/>
      <c r="J22" s="12"/>
      <c r="K22" s="12"/>
      <c r="L22" s="12"/>
      <c r="N22" s="12"/>
      <c r="O22" s="12"/>
      <c r="P22" s="12"/>
    </row>
    <row r="23" spans="1:16">
      <c r="A23" s="516" t="s">
        <v>738</v>
      </c>
      <c r="B23" s="495" t="s">
        <v>739</v>
      </c>
      <c r="C23" s="496"/>
      <c r="D23" s="497"/>
      <c r="E23" s="497"/>
      <c r="F23" s="497"/>
      <c r="G23" s="497"/>
      <c r="H23" s="497"/>
      <c r="I23" s="498">
        <v>0</v>
      </c>
      <c r="J23" s="12"/>
      <c r="K23" s="12"/>
      <c r="L23" s="12"/>
      <c r="N23" s="12"/>
      <c r="O23" s="12"/>
      <c r="P23" s="12"/>
    </row>
    <row r="24" spans="1:16" ht="16.5" thickBot="1">
      <c r="A24" s="516" t="s">
        <v>740</v>
      </c>
      <c r="B24" s="495" t="s">
        <v>741</v>
      </c>
      <c r="C24" s="496"/>
      <c r="D24" s="497"/>
      <c r="E24" s="497"/>
      <c r="F24" s="497"/>
      <c r="G24" s="497"/>
      <c r="H24" s="497"/>
      <c r="I24" s="499">
        <v>0</v>
      </c>
      <c r="J24" s="12"/>
      <c r="K24" s="12"/>
      <c r="L24" s="12"/>
      <c r="N24" s="12"/>
      <c r="O24" s="12"/>
      <c r="P24" s="12"/>
    </row>
    <row r="25" spans="1:16">
      <c r="A25" s="516" t="s">
        <v>742</v>
      </c>
      <c r="B25" s="495" t="s">
        <v>743</v>
      </c>
      <c r="C25" s="496"/>
      <c r="D25" s="497" t="s">
        <v>744</v>
      </c>
      <c r="E25" s="497"/>
      <c r="F25" s="497"/>
      <c r="G25" s="497"/>
      <c r="H25" s="497"/>
      <c r="I25" s="500">
        <f>I24-I23</f>
        <v>0</v>
      </c>
      <c r="J25" s="12"/>
      <c r="K25" s="12"/>
      <c r="L25" s="12"/>
      <c r="N25" s="12"/>
      <c r="O25" s="12"/>
      <c r="P25" s="12"/>
    </row>
    <row r="26" spans="1:16" ht="16.5" thickBot="1">
      <c r="A26" s="516" t="s">
        <v>745</v>
      </c>
      <c r="B26" s="495" t="s">
        <v>746</v>
      </c>
      <c r="C26" s="496"/>
      <c r="D26" s="497"/>
      <c r="E26" s="497"/>
      <c r="F26" s="497"/>
      <c r="G26" s="497"/>
      <c r="H26" s="497"/>
      <c r="I26" s="499">
        <v>0</v>
      </c>
      <c r="J26" s="12"/>
      <c r="K26" s="12"/>
      <c r="L26" s="12"/>
      <c r="N26" s="12"/>
      <c r="O26" s="12"/>
      <c r="P26" s="12"/>
    </row>
    <row r="27" spans="1:16">
      <c r="A27" s="516" t="s">
        <v>747</v>
      </c>
      <c r="B27" s="495" t="s">
        <v>748</v>
      </c>
      <c r="C27" s="496"/>
      <c r="D27" s="497" t="s">
        <v>749</v>
      </c>
      <c r="E27" s="497"/>
      <c r="F27" s="497"/>
      <c r="G27" s="497"/>
      <c r="H27" s="497"/>
      <c r="I27" s="500">
        <f>I25*I26</f>
        <v>0</v>
      </c>
      <c r="J27" s="12"/>
      <c r="K27" s="12"/>
      <c r="L27" s="12"/>
      <c r="N27" s="12"/>
      <c r="O27" s="12"/>
      <c r="P27" s="12"/>
    </row>
    <row r="28" spans="1:16">
      <c r="A28" s="516"/>
      <c r="B28" s="495"/>
      <c r="C28" s="496"/>
      <c r="D28" s="497"/>
      <c r="E28" s="497"/>
      <c r="F28" s="497"/>
      <c r="G28" s="497"/>
      <c r="H28" s="497"/>
      <c r="I28" s="500"/>
      <c r="J28" s="12"/>
      <c r="K28" s="12"/>
      <c r="L28" s="12"/>
      <c r="N28" s="12"/>
      <c r="O28" s="12"/>
      <c r="P28" s="12"/>
    </row>
    <row r="29" spans="1:16">
      <c r="A29" s="516" t="s">
        <v>750</v>
      </c>
      <c r="B29" s="495" t="s">
        <v>751</v>
      </c>
      <c r="C29" s="496"/>
      <c r="D29" s="497"/>
      <c r="E29" s="497"/>
      <c r="F29" s="497"/>
      <c r="G29" s="497"/>
      <c r="H29" s="497"/>
      <c r="I29" s="498">
        <v>0</v>
      </c>
      <c r="J29" s="12"/>
      <c r="K29" s="12"/>
      <c r="L29" s="12"/>
      <c r="N29" s="12"/>
      <c r="O29" s="12"/>
      <c r="P29" s="12"/>
    </row>
    <row r="30" spans="1:16">
      <c r="A30" s="1"/>
      <c r="B30" s="4"/>
      <c r="C30" s="12"/>
      <c r="I30" s="5"/>
      <c r="J30" s="12"/>
      <c r="K30" s="12"/>
      <c r="L30" s="12"/>
      <c r="N30" s="12"/>
      <c r="O30" s="12"/>
      <c r="P30" s="12"/>
    </row>
    <row r="31" spans="1:16" ht="16.5" thickBot="1">
      <c r="A31" s="1">
        <v>7</v>
      </c>
      <c r="B31" s="4" t="s">
        <v>16</v>
      </c>
      <c r="C31" s="556" t="s">
        <v>772</v>
      </c>
      <c r="D31" s="26" t="s">
        <v>2</v>
      </c>
      <c r="E31" s="5"/>
      <c r="F31" s="5"/>
      <c r="G31" s="5"/>
      <c r="H31" s="5"/>
      <c r="I31" s="501">
        <f>+I10-I17+I21+I27+I29</f>
        <v>2214779.6844695304</v>
      </c>
      <c r="J31" s="12"/>
      <c r="K31" s="12"/>
      <c r="L31" s="12"/>
      <c r="M31" s="281"/>
      <c r="N31" s="12"/>
      <c r="O31" s="12"/>
      <c r="P31" s="12"/>
    </row>
    <row r="32" spans="1:16" ht="16.5"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18</v>
      </c>
      <c r="D34" s="19"/>
      <c r="E34" s="12"/>
      <c r="F34" s="12"/>
      <c r="G34" s="11" t="s">
        <v>19</v>
      </c>
      <c r="H34" s="12"/>
      <c r="I34" s="23">
        <f>Divisor!H23</f>
        <v>79348</v>
      </c>
      <c r="J34" s="12"/>
      <c r="K34" s="12"/>
      <c r="M34" s="282"/>
      <c r="O34" s="12"/>
      <c r="P34" s="12"/>
    </row>
    <row r="35" spans="1:16">
      <c r="A35" s="1">
        <v>9</v>
      </c>
      <c r="B35" s="4" t="s">
        <v>20</v>
      </c>
      <c r="C35" s="5"/>
      <c r="D35" s="5"/>
      <c r="E35" s="5"/>
      <c r="F35" s="5"/>
      <c r="G35" s="5" t="s">
        <v>21</v>
      </c>
      <c r="H35" s="5"/>
      <c r="I35" s="23">
        <v>0</v>
      </c>
      <c r="J35" s="12"/>
      <c r="K35" s="12"/>
      <c r="L35" s="12"/>
      <c r="O35" s="12"/>
      <c r="P35" s="12"/>
    </row>
    <row r="36" spans="1:16">
      <c r="A36" s="1">
        <v>10</v>
      </c>
      <c r="B36" s="4" t="s">
        <v>22</v>
      </c>
      <c r="C36" s="12"/>
      <c r="D36" s="12"/>
      <c r="E36" s="12"/>
      <c r="F36" s="12"/>
      <c r="G36" s="11" t="s">
        <v>23</v>
      </c>
      <c r="H36" s="12"/>
      <c r="I36" s="23">
        <v>0</v>
      </c>
      <c r="J36" s="12"/>
      <c r="K36" s="12"/>
      <c r="L36" s="12"/>
      <c r="O36" s="12"/>
      <c r="P36" s="12"/>
    </row>
    <row r="37" spans="1:16">
      <c r="A37" s="1">
        <v>11</v>
      </c>
      <c r="B37" s="27" t="s">
        <v>24</v>
      </c>
      <c r="C37" s="12"/>
      <c r="D37" s="12"/>
      <c r="E37" s="12"/>
      <c r="F37" s="12"/>
      <c r="G37" s="11" t="s">
        <v>25</v>
      </c>
      <c r="H37" s="12"/>
      <c r="I37" s="23">
        <v>0</v>
      </c>
      <c r="J37" s="12"/>
      <c r="K37" s="12"/>
      <c r="L37" s="12"/>
      <c r="O37" s="12"/>
      <c r="P37" s="12"/>
    </row>
    <row r="38" spans="1:16">
      <c r="A38" s="1">
        <v>12</v>
      </c>
      <c r="B38" s="27" t="s">
        <v>26</v>
      </c>
      <c r="C38" s="12"/>
      <c r="D38" s="12"/>
      <c r="E38" s="12"/>
      <c r="F38" s="12"/>
      <c r="G38" s="11"/>
      <c r="H38" s="12"/>
      <c r="I38" s="23">
        <v>0</v>
      </c>
      <c r="J38" s="12"/>
      <c r="K38" s="12"/>
      <c r="L38" s="12"/>
      <c r="O38" s="12"/>
      <c r="P38" s="12"/>
    </row>
    <row r="39" spans="1:16">
      <c r="A39" s="1">
        <v>13</v>
      </c>
      <c r="B39" s="27" t="s">
        <v>175</v>
      </c>
      <c r="C39" s="12"/>
      <c r="D39" s="12"/>
      <c r="E39" s="12"/>
      <c r="F39" s="12"/>
      <c r="G39" s="11"/>
      <c r="H39" s="12"/>
      <c r="I39" s="28">
        <v>0</v>
      </c>
      <c r="J39" s="12"/>
      <c r="K39" s="12"/>
      <c r="L39" s="12"/>
      <c r="O39" s="12"/>
      <c r="P39" s="12"/>
    </row>
    <row r="40" spans="1:16" ht="16.5" thickBot="1">
      <c r="A40" s="1">
        <v>14</v>
      </c>
      <c r="B40" s="2" t="s">
        <v>169</v>
      </c>
      <c r="C40" s="12"/>
      <c r="D40" s="12"/>
      <c r="E40" s="12"/>
      <c r="F40" s="12"/>
      <c r="G40" s="12"/>
      <c r="H40" s="12"/>
      <c r="I40" s="29">
        <v>0</v>
      </c>
      <c r="J40" s="12"/>
      <c r="K40" s="12"/>
      <c r="L40" s="12"/>
      <c r="O40" s="12"/>
      <c r="P40" s="12"/>
    </row>
    <row r="41" spans="1:16">
      <c r="A41" s="1">
        <v>15</v>
      </c>
      <c r="B41" s="4" t="s">
        <v>223</v>
      </c>
      <c r="C41" s="12"/>
      <c r="D41" s="12"/>
      <c r="E41" s="12"/>
      <c r="F41" s="12"/>
      <c r="G41" s="12"/>
      <c r="H41" s="12"/>
      <c r="I41" s="19">
        <f>SUM(I34:I40)</f>
        <v>79348</v>
      </c>
      <c r="J41" s="12"/>
      <c r="K41" s="12"/>
      <c r="L41" s="12"/>
      <c r="O41" s="12"/>
      <c r="P41" s="12"/>
    </row>
    <row r="42" spans="1:16">
      <c r="A42" s="1"/>
      <c r="B42" s="4"/>
      <c r="C42" s="12"/>
      <c r="D42" s="12"/>
      <c r="E42" s="12"/>
      <c r="F42" s="12"/>
      <c r="G42" s="12"/>
      <c r="H42" s="12"/>
      <c r="I42" s="19"/>
      <c r="J42" s="12"/>
      <c r="K42" s="12"/>
      <c r="L42" s="12"/>
      <c r="N42" s="12"/>
      <c r="O42" s="12"/>
      <c r="P42" s="12"/>
    </row>
    <row r="43" spans="1:16">
      <c r="A43" s="1">
        <v>16</v>
      </c>
      <c r="B43" s="4" t="s">
        <v>27</v>
      </c>
      <c r="C43" s="12" t="s">
        <v>222</v>
      </c>
      <c r="D43" s="30">
        <f>IF(I41&gt;0,I31/I41,0)</f>
        <v>27.91223073637055</v>
      </c>
      <c r="E43" s="12"/>
      <c r="F43" s="12"/>
      <c r="G43" s="12"/>
      <c r="H43" s="12"/>
      <c r="J43" s="12"/>
      <c r="K43" s="12"/>
      <c r="L43" s="12"/>
      <c r="M43" s="283"/>
      <c r="N43" s="12"/>
      <c r="O43" s="12"/>
      <c r="P43" s="12"/>
    </row>
    <row r="44" spans="1:16">
      <c r="A44" s="1">
        <v>17</v>
      </c>
      <c r="B44" s="4" t="s">
        <v>224</v>
      </c>
      <c r="C44" s="12"/>
      <c r="D44" s="30">
        <f>+D43/12</f>
        <v>2.3260192280308791</v>
      </c>
      <c r="E44" s="12"/>
      <c r="F44" s="12"/>
      <c r="G44" s="12"/>
      <c r="H44" s="12"/>
      <c r="J44" s="12"/>
      <c r="K44" s="12"/>
      <c r="L44" s="12"/>
      <c r="N44" s="12"/>
      <c r="O44" s="12"/>
      <c r="P44" s="12"/>
    </row>
    <row r="45" spans="1:16">
      <c r="A45" s="1"/>
      <c r="B45" s="4"/>
      <c r="C45" s="12"/>
      <c r="D45" s="30"/>
      <c r="E45" s="12"/>
      <c r="F45" s="12"/>
      <c r="G45" s="12"/>
      <c r="H45" s="12"/>
      <c r="J45" s="12"/>
      <c r="K45" s="12"/>
      <c r="L45" s="12"/>
      <c r="N45" s="12"/>
      <c r="O45" s="12"/>
      <c r="P45" s="12"/>
    </row>
    <row r="46" spans="1:16">
      <c r="A46" s="1"/>
      <c r="B46" s="4"/>
      <c r="C46" s="12"/>
      <c r="D46" s="31" t="s">
        <v>28</v>
      </c>
      <c r="E46" s="12"/>
      <c r="F46" s="12"/>
      <c r="G46" s="12"/>
      <c r="H46" s="12"/>
      <c r="I46" s="32" t="s">
        <v>29</v>
      </c>
      <c r="J46" s="12"/>
      <c r="K46" s="12"/>
      <c r="L46" s="12"/>
      <c r="N46" s="12"/>
      <c r="O46" s="12"/>
      <c r="P46" s="12"/>
    </row>
    <row r="47" spans="1:16">
      <c r="A47" s="1">
        <v>18</v>
      </c>
      <c r="B47" s="4" t="s">
        <v>30</v>
      </c>
      <c r="C47" s="12" t="s">
        <v>225</v>
      </c>
      <c r="D47" s="30">
        <f>+D43/52</f>
        <v>0.536773668007126</v>
      </c>
      <c r="E47" s="12"/>
      <c r="F47" s="12"/>
      <c r="G47" s="12"/>
      <c r="H47" s="12"/>
      <c r="I47" s="33">
        <f>+D43/52</f>
        <v>0.536773668007126</v>
      </c>
      <c r="J47" s="12"/>
      <c r="K47" s="12"/>
      <c r="L47" s="12"/>
      <c r="N47" s="12"/>
      <c r="O47" s="12"/>
      <c r="P47" s="12"/>
    </row>
    <row r="48" spans="1:16">
      <c r="A48" s="1">
        <v>19</v>
      </c>
      <c r="B48" s="4" t="s">
        <v>31</v>
      </c>
      <c r="C48" s="12" t="s">
        <v>266</v>
      </c>
      <c r="D48" s="30">
        <f>+D43/260</f>
        <v>0.1073547336014252</v>
      </c>
      <c r="E48" s="12" t="s">
        <v>32</v>
      </c>
      <c r="G48" s="12"/>
      <c r="H48" s="12"/>
      <c r="I48" s="33">
        <f>+D43/365</f>
        <v>7.6471865031152192E-2</v>
      </c>
      <c r="J48" s="12"/>
      <c r="K48" s="12"/>
      <c r="L48" s="12"/>
      <c r="N48" s="12"/>
      <c r="O48" s="12"/>
      <c r="P48" s="12"/>
    </row>
    <row r="49" spans="1:16">
      <c r="A49" s="1">
        <v>20</v>
      </c>
      <c r="B49" s="4" t="s">
        <v>33</v>
      </c>
      <c r="C49" s="12" t="s">
        <v>267</v>
      </c>
      <c r="D49" s="30">
        <f>+D43/4160*1000</f>
        <v>6.7096708500890747</v>
      </c>
      <c r="E49" s="12" t="s">
        <v>34</v>
      </c>
      <c r="G49" s="12"/>
      <c r="H49" s="12"/>
      <c r="I49" s="33">
        <f>+D43/8760*1000</f>
        <v>3.1863277096313412</v>
      </c>
      <c r="J49" s="12"/>
      <c r="K49" s="12" t="s">
        <v>2</v>
      </c>
      <c r="L49" s="12"/>
      <c r="N49" s="12"/>
      <c r="O49" s="12"/>
      <c r="P49" s="12"/>
    </row>
    <row r="50" spans="1:16">
      <c r="A50" s="1"/>
      <c r="B50" s="4"/>
      <c r="C50" s="12" t="s">
        <v>35</v>
      </c>
      <c r="D50" s="12"/>
      <c r="E50" s="12" t="s">
        <v>36</v>
      </c>
      <c r="G50" s="12"/>
      <c r="H50" s="12"/>
      <c r="J50" s="12"/>
      <c r="K50" s="12" t="s">
        <v>2</v>
      </c>
      <c r="L50" s="12"/>
      <c r="N50" s="12"/>
      <c r="O50" s="12"/>
      <c r="P50" s="12"/>
    </row>
    <row r="51" spans="1:16">
      <c r="A51" s="1"/>
      <c r="B51" s="4"/>
      <c r="C51" s="12"/>
      <c r="D51" s="12"/>
      <c r="E51" s="12"/>
      <c r="G51" s="12"/>
      <c r="H51" s="12"/>
      <c r="J51" s="12"/>
      <c r="K51" s="12" t="s">
        <v>2</v>
      </c>
      <c r="L51" s="12"/>
      <c r="N51" s="12"/>
      <c r="O51" s="12"/>
      <c r="P51" s="12"/>
    </row>
    <row r="52" spans="1:16">
      <c r="A52" s="1">
        <v>21</v>
      </c>
      <c r="B52" s="4" t="s">
        <v>226</v>
      </c>
      <c r="C52" s="12" t="s">
        <v>217</v>
      </c>
      <c r="D52" s="34">
        <v>0</v>
      </c>
      <c r="E52" s="35" t="s">
        <v>37</v>
      </c>
      <c r="F52" s="35"/>
      <c r="G52" s="35"/>
      <c r="H52" s="35"/>
      <c r="I52" s="35">
        <f>D52</f>
        <v>0</v>
      </c>
      <c r="J52" s="35" t="s">
        <v>37</v>
      </c>
      <c r="K52" s="12"/>
      <c r="L52" s="12"/>
      <c r="N52" s="12"/>
      <c r="O52" s="12"/>
      <c r="P52" s="12"/>
    </row>
    <row r="53" spans="1:16">
      <c r="A53" s="1">
        <v>22</v>
      </c>
      <c r="B53" s="4"/>
      <c r="C53" s="12"/>
      <c r="D53" s="34">
        <v>0</v>
      </c>
      <c r="E53" s="35" t="s">
        <v>38</v>
      </c>
      <c r="F53" s="35"/>
      <c r="G53" s="35"/>
      <c r="H53" s="35"/>
      <c r="I53" s="35">
        <f>D53</f>
        <v>0</v>
      </c>
      <c r="J53" s="35" t="s">
        <v>38</v>
      </c>
      <c r="K53" s="12"/>
      <c r="L53" s="12"/>
      <c r="N53" s="12"/>
      <c r="O53" s="12"/>
      <c r="P53" s="12"/>
    </row>
    <row r="54" spans="1:16">
      <c r="J54" s="11"/>
      <c r="K54" s="12"/>
      <c r="L54" s="12"/>
      <c r="N54" s="12"/>
      <c r="O54" s="12"/>
      <c r="P54" s="12"/>
    </row>
    <row r="55" spans="1:16">
      <c r="J55" s="11"/>
      <c r="K55" s="12"/>
      <c r="L55" s="12"/>
      <c r="N55" s="12"/>
      <c r="O55" s="12"/>
      <c r="P55" s="12"/>
    </row>
    <row r="56" spans="1:16">
      <c r="J56" s="11"/>
      <c r="K56" s="12"/>
      <c r="L56" s="12"/>
      <c r="N56" s="12"/>
      <c r="O56" s="12"/>
      <c r="P56" s="12"/>
    </row>
    <row r="57" spans="1:16">
      <c r="J57" s="11"/>
      <c r="K57" s="12"/>
      <c r="L57" s="12"/>
      <c r="N57" s="12"/>
      <c r="O57" s="12"/>
      <c r="P57" s="12"/>
    </row>
    <row r="58" spans="1:16">
      <c r="J58" s="11"/>
      <c r="K58" s="12"/>
      <c r="L58" s="12"/>
      <c r="N58" s="12"/>
      <c r="O58" s="12"/>
      <c r="P58" s="12"/>
    </row>
    <row r="59" spans="1:16">
      <c r="J59" s="11"/>
      <c r="K59" s="12"/>
      <c r="L59" s="12"/>
      <c r="N59" s="12"/>
      <c r="O59" s="12"/>
      <c r="P59" s="12"/>
    </row>
    <row r="60" spans="1:16">
      <c r="J60" s="11"/>
      <c r="K60" s="12"/>
      <c r="L60" s="12"/>
      <c r="N60" s="12"/>
      <c r="O60" s="12"/>
      <c r="P60" s="12"/>
    </row>
    <row r="61" spans="1:16">
      <c r="J61" s="11"/>
      <c r="K61" s="12"/>
      <c r="L61" s="12"/>
      <c r="N61" s="12"/>
      <c r="O61" s="12"/>
      <c r="P61" s="12"/>
    </row>
    <row r="62" spans="1:16">
      <c r="J62" s="11"/>
      <c r="K62" s="12"/>
      <c r="L62" s="12"/>
      <c r="N62" s="12"/>
      <c r="O62" s="12"/>
      <c r="P62" s="12"/>
    </row>
    <row r="63" spans="1:16">
      <c r="J63" s="11"/>
      <c r="K63" s="12"/>
      <c r="L63" s="12"/>
      <c r="N63" s="12"/>
      <c r="O63" s="12"/>
      <c r="P63" s="12"/>
    </row>
    <row r="64" spans="1:16">
      <c r="J64" s="11"/>
      <c r="K64" s="12"/>
      <c r="L64" s="12"/>
      <c r="N64" s="12"/>
      <c r="O64" s="12"/>
      <c r="P64" s="12"/>
    </row>
    <row r="65" spans="2:16">
      <c r="J65" s="11"/>
      <c r="K65" s="12"/>
      <c r="L65" s="12"/>
      <c r="N65" s="12"/>
      <c r="O65" s="12"/>
      <c r="P65" s="12"/>
    </row>
    <row r="66" spans="2:16">
      <c r="J66" s="11"/>
      <c r="K66" s="12"/>
      <c r="L66" s="12"/>
      <c r="N66" s="12"/>
      <c r="O66" s="12"/>
      <c r="P66" s="12"/>
    </row>
    <row r="67" spans="2:16">
      <c r="J67" s="11"/>
      <c r="K67" s="12"/>
      <c r="L67" s="12"/>
      <c r="N67" s="12"/>
      <c r="O67" s="12"/>
      <c r="P67" s="12"/>
    </row>
    <row r="68" spans="2:16">
      <c r="J68" s="11"/>
      <c r="K68" s="12"/>
      <c r="L68" s="12"/>
      <c r="N68" s="12"/>
      <c r="O68" s="12"/>
      <c r="P68" s="12"/>
    </row>
    <row r="69" spans="2:16">
      <c r="J69" s="11"/>
      <c r="K69" s="12"/>
      <c r="L69" s="12"/>
      <c r="N69" s="12"/>
      <c r="O69" s="12"/>
      <c r="P69" s="12"/>
    </row>
    <row r="70" spans="2:16" hidden="1">
      <c r="J70" s="11"/>
      <c r="K70" s="12"/>
      <c r="L70" s="12"/>
      <c r="N70" s="12"/>
      <c r="O70" s="12"/>
      <c r="P70" s="12"/>
    </row>
    <row r="71" spans="2:16" hidden="1">
      <c r="J71" s="11"/>
      <c r="K71" s="12"/>
      <c r="L71" s="12"/>
      <c r="N71" s="12"/>
      <c r="O71" s="12"/>
      <c r="P71" s="12"/>
    </row>
    <row r="72" spans="2:16" hidden="1">
      <c r="J72" s="11"/>
      <c r="K72" s="12"/>
      <c r="L72" s="12"/>
      <c r="N72" s="12"/>
      <c r="O72" s="12"/>
      <c r="P72" s="12"/>
    </row>
    <row r="73" spans="2:16" hidden="1">
      <c r="J73" s="11"/>
      <c r="K73" s="12"/>
      <c r="L73" s="12"/>
      <c r="N73" s="12"/>
      <c r="O73" s="12"/>
      <c r="P73" s="12"/>
    </row>
    <row r="74" spans="2:16" hidden="1">
      <c r="J74" s="11"/>
      <c r="K74" s="12"/>
      <c r="L74" s="12"/>
      <c r="N74" s="12"/>
      <c r="O74" s="12"/>
      <c r="P74" s="12"/>
    </row>
    <row r="75" spans="2:16" hidden="1">
      <c r="J75" s="11"/>
      <c r="K75" s="12"/>
      <c r="L75" s="12"/>
      <c r="N75" s="12"/>
      <c r="O75" s="12"/>
      <c r="P75" s="12"/>
    </row>
    <row r="76" spans="2:16" hidden="1">
      <c r="J76" s="11"/>
      <c r="K76" s="12"/>
      <c r="L76" s="12"/>
      <c r="N76" s="12"/>
      <c r="O76" s="12"/>
      <c r="P76" s="12"/>
    </row>
    <row r="77" spans="2:16" hidden="1">
      <c r="J77" s="11"/>
      <c r="K77" s="12"/>
      <c r="L77" s="12"/>
      <c r="N77" s="12"/>
      <c r="O77" s="12"/>
      <c r="P77" s="12"/>
    </row>
    <row r="78" spans="2:16" hidden="1">
      <c r="J78" s="11"/>
      <c r="K78" s="12"/>
      <c r="L78" s="12"/>
      <c r="N78" s="12"/>
      <c r="O78" s="12"/>
      <c r="P78" s="12"/>
    </row>
    <row r="79" spans="2:16" hidden="1">
      <c r="J79" s="11"/>
      <c r="K79" s="12"/>
      <c r="L79" s="12"/>
      <c r="N79" s="12"/>
      <c r="O79" s="12"/>
      <c r="P79" s="12"/>
    </row>
    <row r="80" spans="2:16">
      <c r="B80" s="2"/>
      <c r="C80" s="2"/>
      <c r="D80" s="10"/>
      <c r="E80" s="2"/>
      <c r="F80" s="2"/>
      <c r="G80" s="2"/>
      <c r="H80" s="11"/>
      <c r="I80" s="11"/>
      <c r="K80" s="13" t="s">
        <v>184</v>
      </c>
      <c r="L80" s="13"/>
      <c r="N80" s="12"/>
      <c r="O80" s="12"/>
      <c r="P80" s="12"/>
    </row>
    <row r="81" spans="1:16">
      <c r="B81" s="12"/>
      <c r="C81" s="12"/>
      <c r="D81" s="12"/>
      <c r="E81" s="12"/>
      <c r="F81" s="12"/>
      <c r="G81" s="12"/>
      <c r="H81" s="12"/>
      <c r="I81" s="12"/>
      <c r="J81" s="12"/>
      <c r="K81" s="12"/>
      <c r="L81" s="12"/>
      <c r="N81" s="12"/>
      <c r="O81" s="12"/>
      <c r="P81" s="12"/>
    </row>
    <row r="82" spans="1:16">
      <c r="B82" s="4" t="str">
        <f>B3</f>
        <v xml:space="preserve">Formula Rate - Non-Levelized </v>
      </c>
      <c r="C82" s="4"/>
      <c r="D82" s="36" t="str">
        <f>D3</f>
        <v xml:space="preserve">   Rate Formula Template</v>
      </c>
      <c r="E82" s="4"/>
      <c r="F82" s="4"/>
      <c r="G82" s="4"/>
      <c r="H82" s="4"/>
      <c r="J82" s="4"/>
      <c r="K82" s="13" t="str">
        <f>K3</f>
        <v>For the 12 months ended 12/31/15</v>
      </c>
      <c r="L82" s="12"/>
      <c r="N82" s="4"/>
      <c r="O82" s="4"/>
      <c r="P82" s="4"/>
    </row>
    <row r="83" spans="1:16">
      <c r="B83" s="4"/>
      <c r="C83" s="5" t="s">
        <v>2</v>
      </c>
      <c r="D83" s="5" t="str">
        <f>D4</f>
        <v>Utilizing EIA Form 412 Data</v>
      </c>
      <c r="E83" s="5"/>
      <c r="F83" s="5"/>
      <c r="G83" s="5"/>
      <c r="H83" s="5"/>
      <c r="I83" s="5"/>
      <c r="J83" s="5"/>
      <c r="K83" s="5"/>
      <c r="L83" s="12"/>
      <c r="N83" s="12"/>
      <c r="O83" s="5"/>
      <c r="P83" s="4"/>
    </row>
    <row r="84" spans="1:16">
      <c r="B84" s="4"/>
      <c r="C84" s="5" t="s">
        <v>2</v>
      </c>
      <c r="D84" s="5" t="s">
        <v>2</v>
      </c>
      <c r="E84" s="5"/>
      <c r="F84" s="5"/>
      <c r="G84" s="5" t="s">
        <v>2</v>
      </c>
      <c r="H84" s="5"/>
      <c r="I84" s="5"/>
      <c r="J84" s="5"/>
      <c r="K84" s="5"/>
      <c r="L84" s="4"/>
      <c r="N84" s="5"/>
      <c r="O84" s="5"/>
      <c r="P84" s="4"/>
    </row>
    <row r="85" spans="1:16">
      <c r="B85" s="4"/>
      <c r="C85" s="12"/>
      <c r="D85" s="5" t="str">
        <f>D6</f>
        <v xml:space="preserve">Marshall (Minnesota) Municipal Utilities </v>
      </c>
      <c r="E85" s="5"/>
      <c r="F85" s="5"/>
      <c r="G85" s="5"/>
      <c r="H85" s="5"/>
      <c r="I85" s="5"/>
      <c r="J85" s="5"/>
      <c r="K85" s="5"/>
      <c r="L85" s="4"/>
      <c r="N85" s="5"/>
      <c r="O85" s="5"/>
      <c r="P85" s="4"/>
    </row>
    <row r="86" spans="1:16">
      <c r="B86" s="14" t="s">
        <v>39</v>
      </c>
      <c r="C86" s="14" t="s">
        <v>40</v>
      </c>
      <c r="D86" s="14" t="s">
        <v>41</v>
      </c>
      <c r="E86" s="5" t="s">
        <v>2</v>
      </c>
      <c r="F86" s="5"/>
      <c r="G86" s="37" t="s">
        <v>42</v>
      </c>
      <c r="H86" s="5"/>
      <c r="I86" s="38" t="s">
        <v>43</v>
      </c>
      <c r="J86" s="5"/>
      <c r="K86" s="14"/>
      <c r="L86" s="4"/>
      <c r="N86" s="14"/>
      <c r="O86" s="5"/>
      <c r="P86" s="4"/>
    </row>
    <row r="87" spans="1:16">
      <c r="A87" s="1" t="s">
        <v>4</v>
      </c>
      <c r="B87" s="4"/>
      <c r="C87" s="39" t="s">
        <v>44</v>
      </c>
      <c r="D87" s="5"/>
      <c r="E87" s="5"/>
      <c r="F87" s="5"/>
      <c r="G87" s="1"/>
      <c r="H87" s="5"/>
      <c r="I87" s="40" t="s">
        <v>45</v>
      </c>
      <c r="J87" s="5"/>
      <c r="K87" s="14"/>
      <c r="L87" s="4"/>
      <c r="N87" s="14"/>
      <c r="O87" s="14"/>
      <c r="P87" s="4"/>
    </row>
    <row r="88" spans="1:16" ht="16.5" thickBot="1">
      <c r="A88" s="18" t="s">
        <v>6</v>
      </c>
      <c r="B88" s="43" t="s">
        <v>773</v>
      </c>
      <c r="C88" s="41" t="s">
        <v>46</v>
      </c>
      <c r="D88" s="40" t="s">
        <v>47</v>
      </c>
      <c r="E88" s="42"/>
      <c r="F88" s="40" t="s">
        <v>48</v>
      </c>
      <c r="H88" s="42"/>
      <c r="I88" s="1" t="s">
        <v>49</v>
      </c>
      <c r="J88" s="5"/>
      <c r="K88" s="14"/>
      <c r="L88" s="4"/>
      <c r="N88" s="14"/>
      <c r="O88" s="14"/>
      <c r="P88" s="4"/>
    </row>
    <row r="89" spans="1:16">
      <c r="A89" s="1"/>
      <c r="B89" s="4" t="s">
        <v>298</v>
      </c>
      <c r="C89" s="5"/>
      <c r="D89" s="5"/>
      <c r="E89" s="5"/>
      <c r="F89" s="5"/>
      <c r="G89" s="5"/>
      <c r="H89" s="5"/>
      <c r="I89" s="5"/>
      <c r="J89" s="5"/>
      <c r="K89" s="5"/>
      <c r="L89" s="55"/>
      <c r="N89" s="5"/>
      <c r="O89" s="5"/>
      <c r="P89" s="4"/>
    </row>
    <row r="90" spans="1:16">
      <c r="A90" s="1">
        <v>1</v>
      </c>
      <c r="B90" s="4" t="s">
        <v>50</v>
      </c>
      <c r="C90" s="5" t="s">
        <v>268</v>
      </c>
      <c r="D90" s="44">
        <f>Plant!G24</f>
        <v>2809519</v>
      </c>
      <c r="E90" s="5"/>
      <c r="F90" s="5" t="s">
        <v>51</v>
      </c>
      <c r="G90" s="45" t="s">
        <v>2</v>
      </c>
      <c r="H90" s="5"/>
      <c r="I90" s="5" t="s">
        <v>2</v>
      </c>
      <c r="J90" s="5"/>
      <c r="K90" s="5"/>
      <c r="L90" s="55"/>
      <c r="O90" s="5"/>
      <c r="P90" s="4"/>
    </row>
    <row r="91" spans="1:16">
      <c r="A91" s="1">
        <v>2</v>
      </c>
      <c r="B91" s="4" t="s">
        <v>52</v>
      </c>
      <c r="C91" s="5" t="s">
        <v>269</v>
      </c>
      <c r="D91" s="44">
        <f>Plant!H24</f>
        <v>16250246</v>
      </c>
      <c r="E91" s="5"/>
      <c r="F91" s="5" t="s">
        <v>12</v>
      </c>
      <c r="G91" s="45">
        <f>I227</f>
        <v>1</v>
      </c>
      <c r="H91" s="5"/>
      <c r="I91" s="5">
        <f>+G91*D91</f>
        <v>16250246</v>
      </c>
      <c r="J91" s="5"/>
      <c r="K91" s="5"/>
      <c r="L91" s="55"/>
      <c r="O91" s="5"/>
      <c r="P91" s="4"/>
    </row>
    <row r="92" spans="1:16">
      <c r="A92" s="1">
        <v>3</v>
      </c>
      <c r="B92" s="4" t="s">
        <v>53</v>
      </c>
      <c r="C92" s="5" t="s">
        <v>270</v>
      </c>
      <c r="D92" s="44">
        <f>Plant!I24</f>
        <v>52752331.615384616</v>
      </c>
      <c r="E92" s="5"/>
      <c r="F92" s="5" t="s">
        <v>51</v>
      </c>
      <c r="G92" s="45" t="s">
        <v>2</v>
      </c>
      <c r="H92" s="5"/>
      <c r="I92" s="5" t="s">
        <v>2</v>
      </c>
      <c r="J92" s="5"/>
      <c r="K92" s="5"/>
      <c r="L92" s="55"/>
      <c r="O92" s="5"/>
      <c r="P92" s="4"/>
    </row>
    <row r="93" spans="1:16">
      <c r="A93" s="1">
        <v>4</v>
      </c>
      <c r="B93" s="4" t="s">
        <v>54</v>
      </c>
      <c r="C93" s="5" t="s">
        <v>299</v>
      </c>
      <c r="D93" s="44">
        <f>Plant!J24</f>
        <v>7019555.461538462</v>
      </c>
      <c r="E93" s="5"/>
      <c r="F93" s="5" t="s">
        <v>55</v>
      </c>
      <c r="G93" s="45">
        <f>I243</f>
        <v>0.11698360103631487</v>
      </c>
      <c r="H93" s="5"/>
      <c r="I93" s="5">
        <f>+G93*D93</f>
        <v>821172.87556490058</v>
      </c>
      <c r="J93" s="5"/>
      <c r="K93" s="5"/>
      <c r="L93" s="55"/>
      <c r="O93" s="14"/>
      <c r="P93" s="4"/>
    </row>
    <row r="94" spans="1:16" ht="16.5" thickBot="1">
      <c r="A94" s="1">
        <v>5</v>
      </c>
      <c r="B94" s="4" t="s">
        <v>56</v>
      </c>
      <c r="C94" s="5"/>
      <c r="D94" s="46">
        <v>0</v>
      </c>
      <c r="E94" s="5"/>
      <c r="F94" s="5" t="s">
        <v>57</v>
      </c>
      <c r="G94" s="45">
        <f>K247</f>
        <v>0.11698360103631487</v>
      </c>
      <c r="H94" s="5"/>
      <c r="I94" s="25">
        <f>+G94*D94</f>
        <v>0</v>
      </c>
      <c r="J94" s="5"/>
      <c r="K94" s="5"/>
      <c r="L94" s="55"/>
      <c r="O94" s="14"/>
      <c r="P94" s="4"/>
    </row>
    <row r="95" spans="1:16">
      <c r="A95" s="1">
        <v>6</v>
      </c>
      <c r="B95" s="2" t="s">
        <v>227</v>
      </c>
      <c r="C95" s="5"/>
      <c r="D95" s="5">
        <f>SUM(D90:D94)</f>
        <v>78831652.076923072</v>
      </c>
      <c r="E95" s="5"/>
      <c r="F95" s="5" t="s">
        <v>58</v>
      </c>
      <c r="G95" s="7">
        <f>IF(I95&gt;0,I95/D95,0)</f>
        <v>0.21655538639361246</v>
      </c>
      <c r="H95" s="5"/>
      <c r="I95" s="5">
        <f>SUM(I90:I94)</f>
        <v>17071418.875564899</v>
      </c>
      <c r="J95" s="5"/>
      <c r="K95" s="7"/>
      <c r="L95" s="55"/>
      <c r="N95" s="5"/>
      <c r="O95" s="5"/>
      <c r="P95" s="4"/>
    </row>
    <row r="96" spans="1:16">
      <c r="B96" s="4"/>
      <c r="C96" s="5"/>
      <c r="D96" s="5"/>
      <c r="E96" s="5"/>
      <c r="F96" s="5"/>
      <c r="G96" s="7"/>
      <c r="H96" s="5"/>
      <c r="I96" s="5"/>
      <c r="J96" s="5"/>
      <c r="K96" s="7"/>
      <c r="L96" s="55"/>
      <c r="N96" s="5"/>
      <c r="O96" s="5"/>
      <c r="P96" s="4"/>
    </row>
    <row r="97" spans="1:16">
      <c r="B97" s="4" t="s">
        <v>300</v>
      </c>
      <c r="C97" s="5"/>
      <c r="D97" s="5"/>
      <c r="E97" s="5"/>
      <c r="F97" s="5"/>
      <c r="G97" s="5"/>
      <c r="H97" s="5"/>
      <c r="I97" s="5"/>
      <c r="J97" s="5"/>
      <c r="K97" s="5"/>
      <c r="L97" s="55"/>
      <c r="N97" s="5"/>
      <c r="O97" s="5"/>
      <c r="P97" s="4"/>
    </row>
    <row r="98" spans="1:16">
      <c r="A98" s="1">
        <v>7</v>
      </c>
      <c r="B98" s="4" t="str">
        <f>+B90</f>
        <v xml:space="preserve">  Production</v>
      </c>
      <c r="D98" s="47">
        <f>Plant!G42</f>
        <v>2446639.5000000009</v>
      </c>
      <c r="E98" s="5"/>
      <c r="F98" s="5" t="str">
        <f t="shared" ref="F98:G102" si="0">+F90</f>
        <v>NA</v>
      </c>
      <c r="G98" s="45" t="str">
        <f t="shared" si="0"/>
        <v xml:space="preserve"> </v>
      </c>
      <c r="H98" s="5"/>
      <c r="I98" s="5" t="s">
        <v>2</v>
      </c>
      <c r="J98" s="5"/>
      <c r="K98" s="5"/>
      <c r="L98" s="55"/>
      <c r="N98" s="5"/>
      <c r="O98" s="5"/>
      <c r="P98" s="4"/>
    </row>
    <row r="99" spans="1:16">
      <c r="A99" s="1">
        <v>8</v>
      </c>
      <c r="B99" s="4" t="str">
        <f>+B91</f>
        <v xml:space="preserve">  Transmission</v>
      </c>
      <c r="D99" s="47">
        <f>Plant!H42</f>
        <v>8178934.9999999981</v>
      </c>
      <c r="E99" s="5"/>
      <c r="F99" s="5" t="str">
        <f t="shared" si="0"/>
        <v>TP</v>
      </c>
      <c r="G99" s="45">
        <f t="shared" si="0"/>
        <v>1</v>
      </c>
      <c r="H99" s="5"/>
      <c r="I99" s="5">
        <f>+G99*D99</f>
        <v>8178934.9999999981</v>
      </c>
      <c r="J99" s="5"/>
      <c r="K99" s="5"/>
      <c r="L99" s="55"/>
      <c r="N99" s="5"/>
      <c r="O99" s="5"/>
      <c r="P99" s="4"/>
    </row>
    <row r="100" spans="1:16">
      <c r="A100" s="1">
        <v>9</v>
      </c>
      <c r="B100" s="4" t="str">
        <f>+B92</f>
        <v xml:space="preserve">  Distribution</v>
      </c>
      <c r="D100" s="47">
        <f>Plant!I42</f>
        <v>19675467.5</v>
      </c>
      <c r="E100" s="5"/>
      <c r="F100" s="5" t="str">
        <f t="shared" si="0"/>
        <v>NA</v>
      </c>
      <c r="G100" s="45" t="str">
        <f t="shared" si="0"/>
        <v xml:space="preserve"> </v>
      </c>
      <c r="H100" s="5"/>
      <c r="I100" s="5" t="s">
        <v>2</v>
      </c>
      <c r="J100" s="5"/>
      <c r="K100" s="5"/>
      <c r="L100" s="55"/>
      <c r="N100" s="5"/>
      <c r="O100" s="5"/>
      <c r="P100" s="4"/>
    </row>
    <row r="101" spans="1:16">
      <c r="A101" s="1">
        <v>10</v>
      </c>
      <c r="B101" s="4" t="str">
        <f>+B93</f>
        <v xml:space="preserve">  General &amp; Intangible</v>
      </c>
      <c r="D101" s="47">
        <f>Plant!J42</f>
        <v>5093265.5000000019</v>
      </c>
      <c r="E101" s="5"/>
      <c r="F101" s="5" t="str">
        <f t="shared" si="0"/>
        <v>W/S</v>
      </c>
      <c r="G101" s="45">
        <f t="shared" si="0"/>
        <v>0.11698360103631487</v>
      </c>
      <c r="H101" s="5"/>
      <c r="I101" s="5">
        <f>+G101*D101</f>
        <v>595828.53922402696</v>
      </c>
      <c r="J101" s="5"/>
      <c r="K101" s="5"/>
      <c r="L101" s="55"/>
      <c r="N101" s="5"/>
      <c r="O101" s="14"/>
      <c r="P101" s="4"/>
    </row>
    <row r="102" spans="1:16" ht="16.5" thickBot="1">
      <c r="A102" s="1">
        <v>11</v>
      </c>
      <c r="B102" s="4" t="str">
        <f>+B94</f>
        <v xml:space="preserve">  Common</v>
      </c>
      <c r="C102" s="5"/>
      <c r="D102" s="46">
        <v>0</v>
      </c>
      <c r="E102" s="5"/>
      <c r="F102" s="5" t="str">
        <f t="shared" si="0"/>
        <v>CE</v>
      </c>
      <c r="G102" s="45">
        <f t="shared" si="0"/>
        <v>0.11698360103631487</v>
      </c>
      <c r="H102" s="5"/>
      <c r="I102" s="25">
        <f>+G102*D102</f>
        <v>0</v>
      </c>
      <c r="J102" s="5"/>
      <c r="K102" s="5"/>
      <c r="L102" s="55"/>
      <c r="N102" s="5"/>
      <c r="O102" s="14"/>
      <c r="P102" s="4"/>
    </row>
    <row r="103" spans="1:16">
      <c r="A103" s="1">
        <v>12</v>
      </c>
      <c r="B103" s="4" t="s">
        <v>228</v>
      </c>
      <c r="C103" s="5"/>
      <c r="D103" s="5">
        <f>SUM(D98:D102)</f>
        <v>35394307.5</v>
      </c>
      <c r="E103" s="5"/>
      <c r="F103" s="5"/>
      <c r="G103" s="5"/>
      <c r="H103" s="5"/>
      <c r="I103" s="5">
        <f>SUM(I98:I102)</f>
        <v>8774763.5392240249</v>
      </c>
      <c r="J103" s="5"/>
      <c r="K103" s="5"/>
      <c r="L103" s="55"/>
      <c r="N103" s="48"/>
      <c r="O103" s="5"/>
      <c r="P103" s="4"/>
    </row>
    <row r="104" spans="1:16">
      <c r="A104" s="1"/>
      <c r="C104" s="5" t="s">
        <v>2</v>
      </c>
      <c r="E104" s="5"/>
      <c r="F104" s="5"/>
      <c r="G104" s="7"/>
      <c r="H104" s="5"/>
      <c r="J104" s="5"/>
      <c r="K104" s="7"/>
      <c r="L104" s="55"/>
      <c r="N104" s="5"/>
      <c r="O104" s="5"/>
      <c r="P104" s="4"/>
    </row>
    <row r="105" spans="1:16">
      <c r="A105" s="1"/>
      <c r="B105" s="4" t="s">
        <v>59</v>
      </c>
      <c r="C105" s="5"/>
      <c r="D105" s="5"/>
      <c r="E105" s="5"/>
      <c r="F105" s="5"/>
      <c r="G105" s="5"/>
      <c r="H105" s="5"/>
      <c r="I105" s="5"/>
      <c r="J105" s="5"/>
      <c r="K105" s="5"/>
      <c r="L105" s="55"/>
      <c r="N105" s="5"/>
      <c r="O105" s="5"/>
      <c r="P105" s="4"/>
    </row>
    <row r="106" spans="1:16">
      <c r="A106" s="1">
        <v>13</v>
      </c>
      <c r="B106" s="4" t="str">
        <f>+B98</f>
        <v xml:space="preserve">  Production</v>
      </c>
      <c r="C106" s="5" t="s">
        <v>229</v>
      </c>
      <c r="D106" s="5">
        <f>D90-D98</f>
        <v>362879.49999999907</v>
      </c>
      <c r="E106" s="5"/>
      <c r="F106" s="5"/>
      <c r="G106" s="7"/>
      <c r="H106" s="5"/>
      <c r="I106" s="5" t="s">
        <v>2</v>
      </c>
      <c r="J106" s="5"/>
      <c r="K106" s="7"/>
      <c r="L106" s="55"/>
      <c r="N106" s="5"/>
      <c r="O106" s="5"/>
      <c r="P106" s="4"/>
    </row>
    <row r="107" spans="1:16">
      <c r="A107" s="1">
        <v>14</v>
      </c>
      <c r="B107" s="4" t="str">
        <f>+B99</f>
        <v xml:space="preserve">  Transmission</v>
      </c>
      <c r="C107" s="5" t="s">
        <v>230</v>
      </c>
      <c r="D107" s="5">
        <f>D91-D99</f>
        <v>8071311.0000000019</v>
      </c>
      <c r="E107" s="5"/>
      <c r="F107" s="5"/>
      <c r="G107" s="45"/>
      <c r="H107" s="5"/>
      <c r="I107" s="5">
        <f>I91-I99</f>
        <v>8071311.0000000019</v>
      </c>
      <c r="J107" s="5"/>
      <c r="K107" s="7"/>
      <c r="L107" s="55"/>
      <c r="N107" s="5"/>
      <c r="O107" s="5"/>
      <c r="P107" s="4"/>
    </row>
    <row r="108" spans="1:16">
      <c r="A108" s="1">
        <v>15</v>
      </c>
      <c r="B108" s="4" t="str">
        <f>+B100</f>
        <v xml:space="preserve">  Distribution</v>
      </c>
      <c r="C108" s="5" t="s">
        <v>231</v>
      </c>
      <c r="D108" s="5">
        <f>D92-D100</f>
        <v>33076864.115384616</v>
      </c>
      <c r="E108" s="5"/>
      <c r="F108" s="5"/>
      <c r="G108" s="7"/>
      <c r="H108" s="5"/>
      <c r="I108" s="5" t="s">
        <v>2</v>
      </c>
      <c r="J108" s="5"/>
      <c r="K108" s="7"/>
      <c r="L108" s="55"/>
      <c r="N108" s="5"/>
      <c r="O108" s="5"/>
      <c r="P108" s="4"/>
    </row>
    <row r="109" spans="1:16">
      <c r="A109" s="1">
        <v>16</v>
      </c>
      <c r="B109" s="4" t="str">
        <f>+B101</f>
        <v xml:space="preserve">  General &amp; Intangible</v>
      </c>
      <c r="C109" s="5" t="s">
        <v>232</v>
      </c>
      <c r="D109" s="5">
        <f>D93-D101</f>
        <v>1926289.9615384601</v>
      </c>
      <c r="E109" s="5"/>
      <c r="F109" s="5"/>
      <c r="G109" s="7"/>
      <c r="H109" s="5"/>
      <c r="I109" s="5">
        <f>I93-I101</f>
        <v>225344.33634087362</v>
      </c>
      <c r="J109" s="5"/>
      <c r="K109" s="7"/>
      <c r="L109" s="55"/>
      <c r="N109" s="5"/>
      <c r="O109" s="14"/>
      <c r="P109" s="4"/>
    </row>
    <row r="110" spans="1:16" ht="16.5" thickBot="1">
      <c r="A110" s="1">
        <v>17</v>
      </c>
      <c r="B110" s="4" t="str">
        <f>+B102</f>
        <v xml:space="preserve">  Common</v>
      </c>
      <c r="C110" s="5" t="s">
        <v>233</v>
      </c>
      <c r="D110" s="25">
        <f>D94-D102</f>
        <v>0</v>
      </c>
      <c r="E110" s="5"/>
      <c r="F110" s="5"/>
      <c r="G110" s="7"/>
      <c r="H110" s="5"/>
      <c r="I110" s="25">
        <f>I94-I102</f>
        <v>0</v>
      </c>
      <c r="J110" s="5"/>
      <c r="K110" s="7"/>
      <c r="L110" s="55"/>
      <c r="N110" s="5"/>
      <c r="O110" s="14"/>
      <c r="P110" s="4"/>
    </row>
    <row r="111" spans="1:16">
      <c r="A111" s="1">
        <v>18</v>
      </c>
      <c r="B111" s="4" t="s">
        <v>234</v>
      </c>
      <c r="C111" s="5"/>
      <c r="D111" s="5">
        <f>SUM(D106:D110)</f>
        <v>43437344.576923072</v>
      </c>
      <c r="E111" s="5"/>
      <c r="F111" s="5" t="s">
        <v>60</v>
      </c>
      <c r="G111" s="7">
        <f>IF(I111&gt;0,I111/D111,0)</f>
        <v>0.19100282066387256</v>
      </c>
      <c r="H111" s="5"/>
      <c r="I111" s="5">
        <f>SUM(I106:I110)</f>
        <v>8296655.3363408754</v>
      </c>
      <c r="J111" s="5"/>
      <c r="K111" s="5"/>
      <c r="L111" s="55"/>
      <c r="N111" s="26"/>
      <c r="O111" s="5"/>
      <c r="P111" s="4"/>
    </row>
    <row r="112" spans="1:16">
      <c r="A112" s="1"/>
      <c r="C112" s="5"/>
      <c r="E112" s="5"/>
      <c r="H112" s="5"/>
      <c r="J112" s="5"/>
      <c r="K112" s="7"/>
      <c r="L112" s="55"/>
      <c r="N112" s="5"/>
      <c r="O112" s="5"/>
      <c r="P112" s="4"/>
    </row>
    <row r="113" spans="1:16">
      <c r="A113" s="1"/>
      <c r="B113" s="2" t="s">
        <v>235</v>
      </c>
      <c r="C113" s="5"/>
      <c r="D113" s="5"/>
      <c r="E113" s="5"/>
      <c r="F113" s="5"/>
      <c r="G113" s="5"/>
      <c r="H113" s="5"/>
      <c r="I113" s="5"/>
      <c r="J113" s="5"/>
      <c r="K113" s="5"/>
      <c r="L113" s="55"/>
      <c r="N113" s="5" t="s">
        <v>2</v>
      </c>
      <c r="O113" s="5"/>
      <c r="P113" s="4"/>
    </row>
    <row r="114" spans="1:16">
      <c r="A114" s="1">
        <v>19</v>
      </c>
      <c r="B114" s="4" t="s">
        <v>61</v>
      </c>
      <c r="C114" s="5"/>
      <c r="D114" s="47">
        <f>'Adj to Rate Base'!G11</f>
        <v>0</v>
      </c>
      <c r="E114" s="5"/>
      <c r="F114" s="5"/>
      <c r="G114" s="49" t="s">
        <v>176</v>
      </c>
      <c r="H114" s="5"/>
      <c r="I114" s="5">
        <v>0</v>
      </c>
      <c r="J114" s="5"/>
      <c r="K114" s="7"/>
      <c r="L114" s="55"/>
      <c r="N114" s="7"/>
      <c r="O114" s="14"/>
      <c r="P114" s="4"/>
    </row>
    <row r="115" spans="1:16">
      <c r="A115" s="1">
        <v>20</v>
      </c>
      <c r="B115" s="4" t="s">
        <v>63</v>
      </c>
      <c r="C115" s="5"/>
      <c r="D115" s="47">
        <f>'Adj to Rate Base'!G12</f>
        <v>0</v>
      </c>
      <c r="E115" s="5"/>
      <c r="F115" s="5" t="s">
        <v>62</v>
      </c>
      <c r="G115" s="45">
        <f>+G111</f>
        <v>0.19100282066387256</v>
      </c>
      <c r="H115" s="5"/>
      <c r="I115" s="5">
        <f>D115*G115</f>
        <v>0</v>
      </c>
      <c r="J115" s="5"/>
      <c r="K115" s="7"/>
      <c r="L115" s="55"/>
      <c r="N115" s="7"/>
      <c r="O115" s="14"/>
      <c r="P115" s="4"/>
    </row>
    <row r="116" spans="1:16">
      <c r="A116" s="1">
        <v>21</v>
      </c>
      <c r="B116" s="4" t="s">
        <v>64</v>
      </c>
      <c r="C116" s="5"/>
      <c r="D116" s="47">
        <f>'Adj to Rate Base'!G13</f>
        <v>0</v>
      </c>
      <c r="E116" s="5"/>
      <c r="F116" s="5" t="s">
        <v>62</v>
      </c>
      <c r="G116" s="45">
        <f>+G115</f>
        <v>0.19100282066387256</v>
      </c>
      <c r="H116" s="5"/>
      <c r="I116" s="5">
        <f>D116*G116</f>
        <v>0</v>
      </c>
      <c r="J116" s="5"/>
      <c r="K116" s="7"/>
      <c r="L116" s="55"/>
      <c r="N116" s="7"/>
      <c r="O116" s="14"/>
      <c r="P116" s="4"/>
    </row>
    <row r="117" spans="1:16">
      <c r="A117" s="1">
        <v>22</v>
      </c>
      <c r="B117" s="4" t="s">
        <v>65</v>
      </c>
      <c r="C117" s="5"/>
      <c r="D117" s="47">
        <f>'Adj to Rate Base'!G14</f>
        <v>0</v>
      </c>
      <c r="E117" s="5"/>
      <c r="F117" s="5" t="str">
        <f>+F116</f>
        <v>NP</v>
      </c>
      <c r="G117" s="45">
        <f>+G116</f>
        <v>0.19100282066387256</v>
      </c>
      <c r="H117" s="5"/>
      <c r="I117" s="5">
        <f>D117*G117</f>
        <v>0</v>
      </c>
      <c r="J117" s="5"/>
      <c r="K117" s="7"/>
      <c r="L117" s="55"/>
      <c r="N117" s="7"/>
      <c r="O117" s="14"/>
      <c r="P117" s="4"/>
    </row>
    <row r="118" spans="1:16" ht="16.5" thickBot="1">
      <c r="A118" s="1">
        <v>23</v>
      </c>
      <c r="B118" s="3" t="s">
        <v>66</v>
      </c>
      <c r="D118" s="46">
        <f>'Adj to Rate Base'!G15</f>
        <v>0</v>
      </c>
      <c r="E118" s="5"/>
      <c r="F118" s="5" t="s">
        <v>62</v>
      </c>
      <c r="G118" s="45">
        <f>+G116</f>
        <v>0.19100282066387256</v>
      </c>
      <c r="H118" s="5"/>
      <c r="I118" s="25">
        <f>D118*G118</f>
        <v>0</v>
      </c>
      <c r="J118" s="5"/>
      <c r="K118" s="5"/>
      <c r="L118" s="55"/>
      <c r="N118" s="48"/>
      <c r="O118" s="5"/>
      <c r="P118" s="4"/>
    </row>
    <row r="119" spans="1:16">
      <c r="A119" s="1">
        <v>24</v>
      </c>
      <c r="B119" s="4" t="s">
        <v>67</v>
      </c>
      <c r="C119" s="5"/>
      <c r="D119" s="5">
        <f>SUM(D114:D118)</f>
        <v>0</v>
      </c>
      <c r="E119" s="5"/>
      <c r="F119" s="5"/>
      <c r="G119" s="5"/>
      <c r="H119" s="5"/>
      <c r="I119" s="5">
        <f>SUM(I114:I118)</f>
        <v>0</v>
      </c>
      <c r="J119" s="5"/>
      <c r="K119" s="7"/>
      <c r="L119" s="55"/>
      <c r="N119" s="5"/>
      <c r="O119" s="5"/>
      <c r="P119" s="4"/>
    </row>
    <row r="120" spans="1:16">
      <c r="A120" s="1"/>
      <c r="B120" s="4"/>
      <c r="C120" s="5"/>
      <c r="D120" s="5"/>
      <c r="E120" s="5"/>
      <c r="F120" s="5"/>
      <c r="G120" s="5"/>
      <c r="H120" s="5"/>
      <c r="I120" s="5"/>
      <c r="J120" s="5"/>
      <c r="K120" s="7"/>
      <c r="L120" s="55"/>
      <c r="N120" s="5"/>
      <c r="O120" s="5"/>
      <c r="P120" s="4"/>
    </row>
    <row r="121" spans="1:16">
      <c r="A121" s="1">
        <v>25</v>
      </c>
      <c r="B121" s="2" t="s">
        <v>68</v>
      </c>
      <c r="C121" s="5" t="s">
        <v>271</v>
      </c>
      <c r="D121" s="47">
        <f>'Land Held for Future Use'!E22</f>
        <v>0</v>
      </c>
      <c r="E121" s="5"/>
      <c r="F121" s="5" t="str">
        <f>+F99</f>
        <v>TP</v>
      </c>
      <c r="G121" s="45">
        <f>+G99</f>
        <v>1</v>
      </c>
      <c r="H121" s="5"/>
      <c r="I121" s="5">
        <f>+G121*D121</f>
        <v>0</v>
      </c>
      <c r="J121" s="5"/>
      <c r="K121" s="5"/>
      <c r="L121" s="55"/>
      <c r="N121" s="5"/>
      <c r="O121" s="5"/>
      <c r="P121" s="4"/>
    </row>
    <row r="122" spans="1:16">
      <c r="A122" s="1"/>
      <c r="B122" s="4"/>
      <c r="C122" s="5"/>
      <c r="D122" s="5"/>
      <c r="E122" s="5"/>
      <c r="F122" s="5"/>
      <c r="G122" s="5"/>
      <c r="H122" s="5"/>
      <c r="I122" s="5"/>
      <c r="J122" s="5"/>
      <c r="K122" s="5"/>
      <c r="L122" s="55"/>
      <c r="N122" s="5"/>
      <c r="O122" s="5"/>
      <c r="P122" s="4"/>
    </row>
    <row r="123" spans="1:16">
      <c r="A123" s="1"/>
      <c r="B123" s="4" t="s">
        <v>69</v>
      </c>
      <c r="C123" s="5" t="s">
        <v>71</v>
      </c>
      <c r="D123" s="5"/>
      <c r="E123" s="5"/>
      <c r="F123" s="5"/>
      <c r="G123" s="5"/>
      <c r="H123" s="5"/>
      <c r="I123" s="5"/>
      <c r="J123" s="5"/>
      <c r="K123" s="5"/>
      <c r="L123" s="55"/>
      <c r="N123" s="5"/>
      <c r="O123" s="5"/>
      <c r="P123" s="4"/>
    </row>
    <row r="124" spans="1:16">
      <c r="A124" s="1">
        <v>26</v>
      </c>
      <c r="B124" s="4" t="s">
        <v>70</v>
      </c>
      <c r="D124" s="5">
        <f>D165/8</f>
        <v>173682.625</v>
      </c>
      <c r="E124" s="5"/>
      <c r="F124" s="5"/>
      <c r="G124" s="7"/>
      <c r="H124" s="5"/>
      <c r="I124" s="5">
        <f>I165/8</f>
        <v>69855.901154101855</v>
      </c>
      <c r="J124" s="12"/>
      <c r="K124" s="7"/>
      <c r="L124" s="55"/>
      <c r="N124" s="50"/>
      <c r="O124" s="36"/>
      <c r="P124" s="4"/>
    </row>
    <row r="125" spans="1:16">
      <c r="A125" s="1">
        <v>27</v>
      </c>
      <c r="B125" s="4" t="s">
        <v>72</v>
      </c>
      <c r="C125" s="3" t="s">
        <v>236</v>
      </c>
      <c r="D125" s="47">
        <f>'Materials and Prepayments'!E22</f>
        <v>7805</v>
      </c>
      <c r="E125" s="5"/>
      <c r="F125" s="5" t="s">
        <v>73</v>
      </c>
      <c r="G125" s="45">
        <f>I236</f>
        <v>1</v>
      </c>
      <c r="H125" s="5"/>
      <c r="I125" s="5">
        <f>G125*D125</f>
        <v>7805</v>
      </c>
      <c r="J125" s="5" t="s">
        <v>2</v>
      </c>
      <c r="K125" s="7"/>
      <c r="L125" s="55"/>
      <c r="N125" s="50"/>
      <c r="O125" s="14"/>
      <c r="P125" s="4"/>
    </row>
    <row r="126" spans="1:16" ht="16.5" thickBot="1">
      <c r="A126" s="1">
        <v>28</v>
      </c>
      <c r="B126" s="4" t="s">
        <v>74</v>
      </c>
      <c r="C126" s="3" t="s">
        <v>272</v>
      </c>
      <c r="D126" s="46">
        <f>'Materials and Prepayments'!F22</f>
        <v>113051.15384615384</v>
      </c>
      <c r="E126" s="5"/>
      <c r="F126" s="5" t="s">
        <v>75</v>
      </c>
      <c r="G126" s="45">
        <f>+G95</f>
        <v>0.21655538639361246</v>
      </c>
      <c r="H126" s="5"/>
      <c r="I126" s="25">
        <f>+G126*D126</f>
        <v>24481.836303397573</v>
      </c>
      <c r="J126" s="5"/>
      <c r="K126" s="7"/>
      <c r="L126" s="55"/>
      <c r="N126" s="50"/>
      <c r="O126" s="14"/>
      <c r="P126" s="4"/>
    </row>
    <row r="127" spans="1:16">
      <c r="A127" s="1">
        <v>29</v>
      </c>
      <c r="B127" s="4" t="s">
        <v>237</v>
      </c>
      <c r="C127" s="12"/>
      <c r="D127" s="5">
        <f>D124+D125+D126</f>
        <v>294538.77884615387</v>
      </c>
      <c r="E127" s="12"/>
      <c r="F127" s="12"/>
      <c r="G127" s="12"/>
      <c r="H127" s="12"/>
      <c r="I127" s="5">
        <f>I124+I125+I126</f>
        <v>102142.73745749943</v>
      </c>
      <c r="J127" s="12"/>
      <c r="K127" s="12"/>
      <c r="L127" s="55"/>
      <c r="N127" s="48"/>
      <c r="O127" s="5"/>
      <c r="P127" s="4"/>
    </row>
    <row r="128" spans="1:16" ht="16.5" thickBot="1">
      <c r="C128" s="5"/>
      <c r="D128" s="51"/>
      <c r="E128" s="5"/>
      <c r="F128" s="5"/>
      <c r="G128" s="5"/>
      <c r="H128" s="5"/>
      <c r="I128" s="51"/>
      <c r="J128" s="5"/>
      <c r="K128" s="5"/>
      <c r="L128" s="55"/>
      <c r="N128" s="5"/>
      <c r="O128" s="5"/>
      <c r="P128" s="4"/>
    </row>
    <row r="129" spans="1:16" ht="16.5" thickBot="1">
      <c r="A129" s="1">
        <v>30</v>
      </c>
      <c r="B129" s="4" t="s">
        <v>76</v>
      </c>
      <c r="C129" s="5"/>
      <c r="D129" s="52">
        <f>+D127+D121+D119+D111</f>
        <v>43731883.355769224</v>
      </c>
      <c r="E129" s="5"/>
      <c r="F129" s="5"/>
      <c r="G129" s="7"/>
      <c r="H129" s="5"/>
      <c r="I129" s="52">
        <f>+I127+I121+I119+I111</f>
        <v>8398798.0737983752</v>
      </c>
      <c r="J129" s="5"/>
      <c r="K129" s="7"/>
      <c r="L129" s="4"/>
      <c r="N129" s="5"/>
      <c r="O129" s="5"/>
      <c r="P129" s="4"/>
    </row>
    <row r="130" spans="1:16" ht="16.5" thickTop="1">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5"/>
      <c r="L134" s="12"/>
      <c r="N134" s="5"/>
      <c r="O134" s="5"/>
      <c r="P134" s="4"/>
    </row>
    <row r="135" spans="1:16">
      <c r="A135" s="1"/>
      <c r="B135" s="4"/>
      <c r="C135" s="5"/>
      <c r="D135" s="5"/>
      <c r="E135" s="5"/>
      <c r="F135" s="5"/>
      <c r="G135" s="5"/>
      <c r="H135" s="5"/>
      <c r="I135" s="5"/>
      <c r="J135" s="5"/>
      <c r="K135" s="5"/>
      <c r="L135" s="12"/>
      <c r="N135" s="5"/>
      <c r="O135" s="5"/>
      <c r="P135" s="4"/>
    </row>
    <row r="136" spans="1:16">
      <c r="A136" s="1"/>
      <c r="B136" s="4"/>
      <c r="C136" s="5"/>
      <c r="D136" s="5"/>
      <c r="E136" s="5"/>
      <c r="F136" s="5"/>
      <c r="G136" s="5"/>
      <c r="H136" s="5"/>
      <c r="I136" s="5"/>
      <c r="J136" s="5"/>
      <c r="K136" s="5"/>
      <c r="L136" s="12"/>
      <c r="N136" s="5"/>
      <c r="O136" s="5"/>
      <c r="P136" s="4"/>
    </row>
    <row r="137" spans="1:16">
      <c r="A137" s="1"/>
      <c r="B137" s="4"/>
      <c r="C137" s="5"/>
      <c r="D137" s="5"/>
      <c r="E137" s="5"/>
      <c r="F137" s="5"/>
      <c r="G137" s="5"/>
      <c r="H137" s="5"/>
      <c r="I137" s="5"/>
      <c r="J137" s="5"/>
      <c r="K137" s="5"/>
      <c r="L137" s="12"/>
      <c r="N137" s="5"/>
      <c r="O137" s="5"/>
      <c r="P137" s="4"/>
    </row>
    <row r="138" spans="1:16">
      <c r="A138" s="1"/>
      <c r="B138" s="4"/>
      <c r="C138" s="5"/>
      <c r="D138" s="5"/>
      <c r="E138" s="5"/>
      <c r="F138" s="5"/>
      <c r="G138" s="5"/>
      <c r="H138" s="5"/>
      <c r="I138" s="5"/>
      <c r="J138" s="5"/>
      <c r="K138" s="5"/>
      <c r="L138" s="12"/>
      <c r="N138" s="5"/>
      <c r="O138" s="5"/>
      <c r="P138" s="4"/>
    </row>
    <row r="139" spans="1:16">
      <c r="A139" s="1"/>
      <c r="B139" s="4"/>
      <c r="C139" s="5"/>
      <c r="D139" s="5"/>
      <c r="E139" s="5"/>
      <c r="F139" s="5"/>
      <c r="G139" s="5"/>
      <c r="H139" s="5"/>
      <c r="I139" s="5"/>
      <c r="J139" s="5"/>
      <c r="K139" s="5"/>
      <c r="L139" s="12"/>
      <c r="N139" s="5"/>
      <c r="O139" s="5"/>
      <c r="P139" s="4"/>
    </row>
    <row r="140" spans="1:16">
      <c r="A140" s="1"/>
      <c r="B140" s="4"/>
      <c r="C140" s="5"/>
      <c r="D140" s="5"/>
      <c r="E140" s="5"/>
      <c r="F140" s="5"/>
      <c r="G140" s="5"/>
      <c r="H140" s="5"/>
      <c r="I140" s="5"/>
      <c r="J140" s="5"/>
      <c r="K140" s="5"/>
      <c r="L140" s="12"/>
      <c r="N140" s="5"/>
      <c r="O140" s="5"/>
      <c r="P140" s="4"/>
    </row>
    <row r="141" spans="1:16">
      <c r="A141" s="1"/>
      <c r="B141" s="4"/>
      <c r="C141" s="5"/>
      <c r="D141" s="5"/>
      <c r="E141" s="5"/>
      <c r="F141" s="5"/>
      <c r="G141" s="5"/>
      <c r="H141" s="5"/>
      <c r="I141" s="5"/>
      <c r="J141" s="5"/>
      <c r="K141" s="5"/>
      <c r="L141" s="12"/>
      <c r="N141" s="5"/>
      <c r="O141" s="5"/>
      <c r="P141" s="4"/>
    </row>
    <row r="142" spans="1:16">
      <c r="A142" s="1"/>
      <c r="B142" s="4"/>
      <c r="C142" s="5"/>
      <c r="D142" s="5"/>
      <c r="E142" s="5"/>
      <c r="F142" s="5"/>
      <c r="G142" s="5"/>
      <c r="H142" s="5"/>
      <c r="I142" s="5"/>
      <c r="J142" s="5"/>
      <c r="K142" s="5"/>
      <c r="L142" s="12"/>
      <c r="N142" s="5"/>
      <c r="O142" s="5"/>
      <c r="P142" s="4"/>
    </row>
    <row r="143" spans="1:16">
      <c r="A143" s="1"/>
      <c r="B143" s="4"/>
      <c r="C143" s="5"/>
      <c r="D143" s="5"/>
      <c r="E143" s="5"/>
      <c r="F143" s="5"/>
      <c r="G143" s="5"/>
      <c r="H143" s="5"/>
      <c r="I143" s="5"/>
      <c r="J143" s="5"/>
      <c r="K143" s="5"/>
      <c r="L143" s="12"/>
      <c r="N143" s="5"/>
      <c r="O143" s="5"/>
      <c r="P143" s="4"/>
    </row>
    <row r="144" spans="1:16">
      <c r="A144" s="1"/>
      <c r="B144" s="4"/>
      <c r="C144" s="5"/>
      <c r="D144" s="5"/>
      <c r="E144" s="5"/>
      <c r="F144" s="5"/>
      <c r="G144" s="5"/>
      <c r="H144" s="5"/>
      <c r="I144" s="5"/>
      <c r="J144" s="5"/>
      <c r="K144" s="5"/>
      <c r="L144" s="12"/>
      <c r="N144" s="5"/>
      <c r="O144" s="5"/>
      <c r="P144" s="4"/>
    </row>
    <row r="145" spans="1:16">
      <c r="A145" s="1"/>
      <c r="B145" s="4"/>
      <c r="C145" s="5"/>
      <c r="D145" s="5"/>
      <c r="E145" s="5"/>
      <c r="F145" s="5"/>
      <c r="G145" s="5"/>
      <c r="H145" s="5"/>
      <c r="I145" s="5"/>
      <c r="J145" s="5"/>
      <c r="K145" s="5"/>
      <c r="L145" s="12"/>
      <c r="N145" s="5"/>
      <c r="O145" s="5"/>
      <c r="P145" s="4"/>
    </row>
    <row r="146" spans="1:16">
      <c r="B146" s="2"/>
      <c r="C146" s="2"/>
      <c r="D146" s="10"/>
      <c r="E146" s="2"/>
      <c r="F146" s="2"/>
      <c r="G146" s="2"/>
      <c r="H146" s="11"/>
      <c r="I146" s="12"/>
      <c r="K146" s="13" t="s">
        <v>185</v>
      </c>
      <c r="L146" s="12"/>
      <c r="N146" s="12"/>
      <c r="O146" s="12"/>
      <c r="P146" s="12"/>
    </row>
    <row r="147" spans="1:16">
      <c r="A147" s="1"/>
      <c r="B147" s="4"/>
      <c r="C147" s="5"/>
      <c r="D147" s="5"/>
      <c r="E147" s="5"/>
      <c r="F147" s="5"/>
      <c r="G147" s="5"/>
      <c r="H147" s="5"/>
      <c r="I147" s="5"/>
      <c r="J147" s="5"/>
      <c r="K147" s="5"/>
      <c r="L147" s="12"/>
      <c r="N147" s="5"/>
      <c r="O147" s="5"/>
      <c r="P147" s="4"/>
    </row>
    <row r="148" spans="1:16">
      <c r="A148" s="1"/>
      <c r="B148" s="4" t="str">
        <f>B3</f>
        <v xml:space="preserve">Formula Rate - Non-Levelized </v>
      </c>
      <c r="C148" s="5"/>
      <c r="D148" s="5" t="str">
        <f>D3</f>
        <v xml:space="preserve">   Rate Formula Template</v>
      </c>
      <c r="E148" s="5"/>
      <c r="F148" s="5"/>
      <c r="G148" s="5"/>
      <c r="H148" s="5"/>
      <c r="J148" s="5"/>
      <c r="K148" s="53" t="str">
        <f>K3</f>
        <v>For the 12 months ended 12/31/15</v>
      </c>
      <c r="L148" s="4"/>
      <c r="N148" s="5"/>
      <c r="O148" s="5"/>
      <c r="P148" s="4"/>
    </row>
    <row r="149" spans="1:16">
      <c r="A149" s="1"/>
      <c r="B149" s="4"/>
      <c r="C149" s="5"/>
      <c r="D149" s="5" t="str">
        <f>D4</f>
        <v>Utilizing EIA Form 412 Data</v>
      </c>
      <c r="E149" s="5"/>
      <c r="F149" s="5"/>
      <c r="G149" s="5"/>
      <c r="H149" s="5"/>
      <c r="I149" s="5"/>
      <c r="J149" s="5"/>
      <c r="K149" s="5"/>
      <c r="L149" s="4"/>
      <c r="N149" s="5"/>
      <c r="O149" s="5"/>
      <c r="P149" s="4"/>
    </row>
    <row r="150" spans="1:16">
      <c r="A150" s="1"/>
      <c r="C150" s="5"/>
      <c r="D150" s="5"/>
      <c r="E150" s="5"/>
      <c r="F150" s="5"/>
      <c r="G150" s="5"/>
      <c r="H150" s="5"/>
      <c r="I150" s="5"/>
      <c r="J150" s="5"/>
      <c r="K150" s="5"/>
      <c r="L150" s="4"/>
      <c r="N150" s="5"/>
      <c r="O150" s="5"/>
      <c r="P150" s="4"/>
    </row>
    <row r="151" spans="1:16">
      <c r="A151" s="1"/>
      <c r="D151" s="3" t="str">
        <f>D6</f>
        <v xml:space="preserve">Marshall (Minnesota) Municipal Utilities </v>
      </c>
      <c r="J151" s="5"/>
      <c r="K151" s="5"/>
      <c r="L151" s="4"/>
      <c r="N151" s="5"/>
      <c r="O151" s="5"/>
      <c r="P151" s="4"/>
    </row>
    <row r="152" spans="1:16">
      <c r="A152" s="1"/>
      <c r="B152" s="14" t="s">
        <v>39</v>
      </c>
      <c r="C152" s="14" t="s">
        <v>40</v>
      </c>
      <c r="D152" s="14" t="s">
        <v>41</v>
      </c>
      <c r="E152" s="5" t="s">
        <v>2</v>
      </c>
      <c r="F152" s="5"/>
      <c r="G152" s="37" t="s">
        <v>42</v>
      </c>
      <c r="H152" s="5"/>
      <c r="I152" s="38" t="s">
        <v>43</v>
      </c>
      <c r="J152" s="5"/>
      <c r="K152" s="5"/>
      <c r="L152" s="4"/>
      <c r="N152" s="12"/>
      <c r="O152" s="5"/>
      <c r="P152" s="4"/>
    </row>
    <row r="153" spans="1:16">
      <c r="A153" s="1" t="s">
        <v>4</v>
      </c>
      <c r="B153" s="4"/>
      <c r="C153" s="39" t="s">
        <v>44</v>
      </c>
      <c r="D153" s="5"/>
      <c r="E153" s="5"/>
      <c r="F153" s="5"/>
      <c r="G153" s="1"/>
      <c r="H153" s="5"/>
      <c r="I153" s="40" t="s">
        <v>45</v>
      </c>
      <c r="J153" s="5"/>
      <c r="K153" s="40"/>
      <c r="L153" s="4"/>
      <c r="N153" s="1"/>
      <c r="O153" s="5"/>
      <c r="P153" s="4"/>
    </row>
    <row r="154" spans="1:16" ht="16.5" thickBot="1">
      <c r="A154" s="18" t="s">
        <v>6</v>
      </c>
      <c r="B154" s="4"/>
      <c r="C154" s="41" t="s">
        <v>46</v>
      </c>
      <c r="D154" s="40" t="s">
        <v>47</v>
      </c>
      <c r="E154" s="42"/>
      <c r="F154" s="40" t="s">
        <v>48</v>
      </c>
      <c r="H154" s="42"/>
      <c r="I154" s="1" t="s">
        <v>49</v>
      </c>
      <c r="J154" s="5"/>
      <c r="K154" s="40"/>
      <c r="L154" s="8" t="s">
        <v>2</v>
      </c>
      <c r="M154" s="56"/>
      <c r="N154" s="40"/>
      <c r="O154" s="5"/>
      <c r="P154" s="4"/>
    </row>
    <row r="155" spans="1:16">
      <c r="A155" s="1"/>
      <c r="B155" s="4" t="s">
        <v>301</v>
      </c>
      <c r="C155" s="5"/>
      <c r="D155" s="5"/>
      <c r="E155" s="5"/>
      <c r="F155" s="5"/>
      <c r="G155" s="5"/>
      <c r="H155" s="5"/>
      <c r="I155" s="5"/>
      <c r="J155" s="5"/>
      <c r="K155" s="5"/>
      <c r="L155" s="55"/>
      <c r="M155" s="56"/>
      <c r="N155" s="5"/>
      <c r="O155" s="5"/>
      <c r="P155" s="4"/>
    </row>
    <row r="156" spans="1:16">
      <c r="A156" s="1">
        <v>1</v>
      </c>
      <c r="B156" s="4" t="s">
        <v>77</v>
      </c>
      <c r="C156" s="3" t="s">
        <v>273</v>
      </c>
      <c r="D156" s="47">
        <f>'Transmission O&amp;M'!C37</f>
        <v>5488806</v>
      </c>
      <c r="E156" s="5"/>
      <c r="F156" s="5" t="s">
        <v>73</v>
      </c>
      <c r="G156" s="45">
        <f>I236</f>
        <v>1</v>
      </c>
      <c r="H156" s="5"/>
      <c r="I156" s="5">
        <f t="shared" ref="I156:I164" si="1">+G156*D156</f>
        <v>5488806</v>
      </c>
      <c r="J156" s="12"/>
      <c r="L156" s="8"/>
      <c r="M156" s="55"/>
      <c r="N156" s="5"/>
      <c r="O156" s="14"/>
      <c r="P156" s="5" t="s">
        <v>2</v>
      </c>
    </row>
    <row r="157" spans="1:16">
      <c r="A157" s="54" t="s">
        <v>204</v>
      </c>
      <c r="B157" s="55" t="s">
        <v>238</v>
      </c>
      <c r="C157" s="56"/>
      <c r="D157" s="47">
        <f>'Transmission O&amp;M'!C11+'Transmission O&amp;M'!C15</f>
        <v>0</v>
      </c>
      <c r="E157" s="5"/>
      <c r="F157" s="147"/>
      <c r="G157" s="45">
        <v>1</v>
      </c>
      <c r="H157" s="5"/>
      <c r="I157" s="5">
        <f>+G157*D157</f>
        <v>0</v>
      </c>
      <c r="J157" s="12"/>
      <c r="K157" s="5"/>
      <c r="L157" s="55"/>
      <c r="M157" s="56"/>
      <c r="N157" s="5"/>
      <c r="O157" s="14"/>
      <c r="P157" s="5"/>
    </row>
    <row r="158" spans="1:16">
      <c r="A158" s="1">
        <v>2</v>
      </c>
      <c r="B158" s="4" t="s">
        <v>78</v>
      </c>
      <c r="C158" s="3" t="s">
        <v>2</v>
      </c>
      <c r="D158" s="47">
        <f>'Transmission O&amp;M'!C19</f>
        <v>5040000</v>
      </c>
      <c r="E158" s="5"/>
      <c r="F158" s="5" t="s">
        <v>73</v>
      </c>
      <c r="G158" s="45">
        <f>+G156</f>
        <v>1</v>
      </c>
      <c r="H158" s="5"/>
      <c r="I158" s="5">
        <f t="shared" si="1"/>
        <v>5040000</v>
      </c>
      <c r="J158" s="12"/>
      <c r="L158" s="8"/>
      <c r="M158" s="55"/>
      <c r="O158" s="5"/>
      <c r="P158" s="5"/>
    </row>
    <row r="159" spans="1:16">
      <c r="A159" s="1">
        <v>3</v>
      </c>
      <c r="B159" s="4" t="s">
        <v>79</v>
      </c>
      <c r="C159" s="3" t="s">
        <v>274</v>
      </c>
      <c r="D159" s="47">
        <f>'Admin &amp; General'!C44</f>
        <v>959800</v>
      </c>
      <c r="E159" s="5"/>
      <c r="F159" s="5" t="s">
        <v>55</v>
      </c>
      <c r="G159" s="45">
        <f>I243</f>
        <v>0.11698360103631487</v>
      </c>
      <c r="H159" s="5"/>
      <c r="I159" s="5">
        <f t="shared" si="1"/>
        <v>112280.86027465502</v>
      </c>
      <c r="J159" s="5"/>
      <c r="L159" s="8"/>
      <c r="M159" s="55"/>
      <c r="N159" s="5"/>
      <c r="O159" s="14"/>
      <c r="P159" s="4"/>
    </row>
    <row r="160" spans="1:16">
      <c r="A160" s="1">
        <v>4</v>
      </c>
      <c r="B160" s="4" t="s">
        <v>80</v>
      </c>
      <c r="C160" s="5"/>
      <c r="D160" s="47">
        <f>'FERC Fees'!C13</f>
        <v>0</v>
      </c>
      <c r="E160" s="5"/>
      <c r="F160" s="5" t="str">
        <f>+F159</f>
        <v>W/S</v>
      </c>
      <c r="G160" s="45">
        <f>I243</f>
        <v>0.11698360103631487</v>
      </c>
      <c r="H160" s="5"/>
      <c r="I160" s="5">
        <f t="shared" si="1"/>
        <v>0</v>
      </c>
      <c r="J160" s="5"/>
      <c r="K160" s="5"/>
      <c r="L160" s="55"/>
      <c r="M160" s="56"/>
      <c r="N160" s="5"/>
      <c r="O160" s="14"/>
      <c r="P160" s="4"/>
    </row>
    <row r="161" spans="1:16">
      <c r="A161" s="1">
        <v>5</v>
      </c>
      <c r="B161" s="4" t="s">
        <v>239</v>
      </c>
      <c r="C161" s="5"/>
      <c r="D161" s="47">
        <f>'EPRI Reg Comm Non Safety'!B15+'EPRI Reg Comm Non Safety'!B21</f>
        <v>19145</v>
      </c>
      <c r="E161" s="5"/>
      <c r="F161" s="5" t="str">
        <f>+F160</f>
        <v>W/S</v>
      </c>
      <c r="G161" s="45">
        <f>I243</f>
        <v>0.11698360103631487</v>
      </c>
      <c r="H161" s="5"/>
      <c r="I161" s="5">
        <f t="shared" si="1"/>
        <v>2239.6510418402481</v>
      </c>
      <c r="J161" s="5"/>
      <c r="K161" s="5"/>
      <c r="L161" s="55"/>
      <c r="M161" s="56"/>
      <c r="N161" s="5"/>
      <c r="O161" s="14"/>
      <c r="P161" s="4"/>
    </row>
    <row r="162" spans="1:16">
      <c r="A162" s="1" t="s">
        <v>177</v>
      </c>
      <c r="B162" s="4" t="s">
        <v>240</v>
      </c>
      <c r="C162" s="5"/>
      <c r="D162" s="47">
        <v>0</v>
      </c>
      <c r="E162" s="5"/>
      <c r="F162" s="5" t="str">
        <f>+F156</f>
        <v>TE</v>
      </c>
      <c r="G162" s="45">
        <f>+G156</f>
        <v>1</v>
      </c>
      <c r="H162" s="5"/>
      <c r="I162" s="5">
        <f t="shared" si="1"/>
        <v>0</v>
      </c>
      <c r="J162" s="5"/>
      <c r="K162" s="5"/>
      <c r="L162" s="55"/>
      <c r="M162" s="56"/>
      <c r="N162" s="5"/>
      <c r="O162" s="14"/>
      <c r="P162" s="4"/>
    </row>
    <row r="163" spans="1:16">
      <c r="A163" s="1">
        <v>6</v>
      </c>
      <c r="B163" s="4" t="s">
        <v>56</v>
      </c>
      <c r="C163" s="5"/>
      <c r="D163" s="47">
        <v>0</v>
      </c>
      <c r="E163" s="5"/>
      <c r="F163" s="5" t="s">
        <v>57</v>
      </c>
      <c r="G163" s="45">
        <f>K247</f>
        <v>0.11698360103631487</v>
      </c>
      <c r="H163" s="5"/>
      <c r="I163" s="5">
        <f t="shared" si="1"/>
        <v>0</v>
      </c>
      <c r="J163" s="5"/>
      <c r="K163" s="5"/>
      <c r="L163" s="55"/>
      <c r="M163" s="56"/>
      <c r="N163" s="5"/>
      <c r="O163" s="14"/>
      <c r="P163" s="4"/>
    </row>
    <row r="164" spans="1:16" ht="16.5" thickBot="1">
      <c r="A164" s="1">
        <v>7</v>
      </c>
      <c r="B164" s="4" t="s">
        <v>81</v>
      </c>
      <c r="C164" s="5"/>
      <c r="D164" s="46">
        <v>0</v>
      </c>
      <c r="E164" s="5"/>
      <c r="F164" s="5" t="s">
        <v>51</v>
      </c>
      <c r="G164" s="45">
        <v>1</v>
      </c>
      <c r="H164" s="5"/>
      <c r="I164" s="25">
        <f t="shared" si="1"/>
        <v>0</v>
      </c>
      <c r="J164" s="5"/>
      <c r="K164" s="5"/>
      <c r="L164" s="55"/>
      <c r="M164" s="56"/>
      <c r="N164" s="5"/>
      <c r="O164" s="36"/>
      <c r="P164" s="4"/>
    </row>
    <row r="165" spans="1:16">
      <c r="A165" s="54">
        <v>8</v>
      </c>
      <c r="B165" s="55" t="s">
        <v>275</v>
      </c>
      <c r="C165" s="8"/>
      <c r="D165" s="8">
        <f>+D156-D158+D159-D160-D161+D162+D163+D164-D157</f>
        <v>1389461</v>
      </c>
      <c r="E165" s="8"/>
      <c r="F165" s="8"/>
      <c r="G165" s="8"/>
      <c r="H165" s="8"/>
      <c r="I165" s="8">
        <f>+I156-I158+I159-I160-I161+I162+I163+I164-I157</f>
        <v>558847.20923281484</v>
      </c>
      <c r="J165" s="8"/>
      <c r="K165" s="8"/>
      <c r="L165" s="8"/>
      <c r="M165" s="56"/>
      <c r="N165" s="146"/>
      <c r="O165" s="57"/>
      <c r="P165" s="4"/>
    </row>
    <row r="166" spans="1:16">
      <c r="A166" s="1"/>
      <c r="C166" s="5"/>
      <c r="E166" s="5"/>
      <c r="F166" s="5"/>
      <c r="G166" s="5"/>
      <c r="H166" s="5"/>
      <c r="J166" s="5"/>
      <c r="K166" s="5"/>
      <c r="L166" s="8"/>
      <c r="M166" s="56"/>
      <c r="N166" s="5"/>
      <c r="O166" s="5"/>
      <c r="P166" s="4"/>
    </row>
    <row r="167" spans="1:16">
      <c r="A167" s="1"/>
      <c r="B167" s="4" t="s">
        <v>302</v>
      </c>
      <c r="C167" s="5"/>
      <c r="D167" s="5"/>
      <c r="E167" s="5"/>
      <c r="F167" s="5"/>
      <c r="G167" s="5"/>
      <c r="H167" s="5"/>
      <c r="I167" s="5"/>
      <c r="J167" s="5"/>
      <c r="K167" s="5"/>
      <c r="L167" s="8"/>
      <c r="M167" s="56"/>
      <c r="N167" s="5"/>
      <c r="O167" s="5"/>
      <c r="P167" s="4"/>
    </row>
    <row r="168" spans="1:16">
      <c r="A168" s="1">
        <v>9</v>
      </c>
      <c r="B168" s="4" t="str">
        <f>+B156</f>
        <v xml:space="preserve">  Transmission </v>
      </c>
      <c r="C168" s="3" t="s">
        <v>2</v>
      </c>
      <c r="D168" s="47">
        <f>+'Plant Sched 4'!K17</f>
        <v>516532</v>
      </c>
      <c r="E168" s="5"/>
      <c r="F168" s="5" t="s">
        <v>12</v>
      </c>
      <c r="G168" s="45">
        <f>+G121</f>
        <v>1</v>
      </c>
      <c r="H168" s="5"/>
      <c r="I168" s="5">
        <f>+G168*D168</f>
        <v>516532</v>
      </c>
      <c r="J168" s="5"/>
      <c r="K168" s="7"/>
      <c r="L168" s="55"/>
      <c r="M168" s="56"/>
      <c r="N168" s="5"/>
      <c r="O168" s="14"/>
      <c r="P168" s="5" t="s">
        <v>2</v>
      </c>
    </row>
    <row r="169" spans="1:16">
      <c r="A169" s="1">
        <v>10</v>
      </c>
      <c r="B169" s="4" t="s">
        <v>303</v>
      </c>
      <c r="C169" s="3" t="s">
        <v>2</v>
      </c>
      <c r="D169" s="47">
        <f>+'Plant Sched 4'!K19</f>
        <v>352067</v>
      </c>
      <c r="E169" s="5"/>
      <c r="F169" s="5" t="s">
        <v>55</v>
      </c>
      <c r="G169" s="45">
        <f>+G159</f>
        <v>0.11698360103631487</v>
      </c>
      <c r="H169" s="5"/>
      <c r="I169" s="5">
        <f>+G169*D169</f>
        <v>41186.06546605227</v>
      </c>
      <c r="J169" s="5"/>
      <c r="K169" s="7"/>
      <c r="L169" s="55"/>
      <c r="M169" s="56"/>
      <c r="N169" s="5"/>
      <c r="O169" s="14"/>
      <c r="P169" s="5" t="s">
        <v>2</v>
      </c>
    </row>
    <row r="170" spans="1:16" ht="16.5" thickBot="1">
      <c r="A170" s="1">
        <v>11</v>
      </c>
      <c r="B170" s="4" t="str">
        <f>+B163</f>
        <v xml:space="preserve">  Common</v>
      </c>
      <c r="C170" s="5"/>
      <c r="D170" s="46">
        <v>0</v>
      </c>
      <c r="E170" s="5"/>
      <c r="F170" s="5" t="s">
        <v>57</v>
      </c>
      <c r="G170" s="45">
        <f>+G163</f>
        <v>0.11698360103631487</v>
      </c>
      <c r="H170" s="5"/>
      <c r="I170" s="25">
        <f>+G170*D170</f>
        <v>0</v>
      </c>
      <c r="J170" s="5"/>
      <c r="K170" s="7"/>
      <c r="L170" s="55"/>
      <c r="M170" s="56"/>
      <c r="N170" s="5"/>
      <c r="O170" s="14"/>
      <c r="P170" s="5" t="s">
        <v>2</v>
      </c>
    </row>
    <row r="171" spans="1:16">
      <c r="A171" s="1">
        <v>12</v>
      </c>
      <c r="B171" s="4" t="s">
        <v>241</v>
      </c>
      <c r="C171" s="5"/>
      <c r="D171" s="5">
        <f>SUM(D168:D170)</f>
        <v>868599</v>
      </c>
      <c r="E171" s="5"/>
      <c r="F171" s="5"/>
      <c r="G171" s="5"/>
      <c r="H171" s="5"/>
      <c r="I171" s="5">
        <f>SUM(I168:I170)</f>
        <v>557718.06546605227</v>
      </c>
      <c r="J171" s="5"/>
      <c r="K171" s="5"/>
      <c r="L171" s="55"/>
      <c r="M171" s="56"/>
      <c r="N171" s="48"/>
      <c r="O171" s="5"/>
      <c r="P171" s="4"/>
    </row>
    <row r="172" spans="1:16">
      <c r="A172" s="1"/>
      <c r="B172" s="4"/>
      <c r="C172" s="5"/>
      <c r="D172" s="5"/>
      <c r="E172" s="5"/>
      <c r="F172" s="5"/>
      <c r="G172" s="5"/>
      <c r="H172" s="5"/>
      <c r="I172" s="5"/>
      <c r="J172" s="5"/>
      <c r="K172" s="5"/>
      <c r="L172" s="55"/>
      <c r="M172" s="56"/>
      <c r="N172" s="5"/>
      <c r="O172" s="5"/>
      <c r="P172" s="4"/>
    </row>
    <row r="173" spans="1:16">
      <c r="A173" s="1" t="s">
        <v>2</v>
      </c>
      <c r="B173" s="4" t="s">
        <v>242</v>
      </c>
      <c r="D173" s="5"/>
      <c r="E173" s="5"/>
      <c r="F173" s="5"/>
      <c r="G173" s="5"/>
      <c r="H173" s="5"/>
      <c r="I173" s="5"/>
      <c r="J173" s="5"/>
      <c r="K173" s="5"/>
      <c r="L173" s="55"/>
      <c r="M173" s="56"/>
      <c r="N173" s="5"/>
      <c r="O173" s="5"/>
      <c r="P173" s="4"/>
    </row>
    <row r="174" spans="1:16">
      <c r="A174" s="1"/>
      <c r="B174" s="4" t="s">
        <v>82</v>
      </c>
      <c r="E174" s="5"/>
      <c r="F174" s="5"/>
      <c r="H174" s="5"/>
      <c r="J174" s="5"/>
      <c r="K174" s="7"/>
      <c r="L174" s="55"/>
      <c r="M174" s="56"/>
      <c r="N174" s="50"/>
      <c r="O174" s="14"/>
      <c r="P174" s="4"/>
    </row>
    <row r="175" spans="1:16">
      <c r="A175" s="1">
        <v>13</v>
      </c>
      <c r="B175" s="4" t="s">
        <v>83</v>
      </c>
      <c r="C175" s="5"/>
      <c r="D175" s="47">
        <f>'Taxes Sched 5'!D10</f>
        <v>0</v>
      </c>
      <c r="E175" s="5"/>
      <c r="F175" s="5" t="s">
        <v>55</v>
      </c>
      <c r="G175" s="22">
        <f>+G169</f>
        <v>0.11698360103631487</v>
      </c>
      <c r="H175" s="5"/>
      <c r="I175" s="5">
        <f>+G175*D175</f>
        <v>0</v>
      </c>
      <c r="J175" s="5"/>
      <c r="K175" s="7"/>
      <c r="L175" s="55"/>
      <c r="M175" s="56"/>
      <c r="N175" s="50"/>
      <c r="O175" s="14"/>
      <c r="P175" s="4"/>
    </row>
    <row r="176" spans="1:16">
      <c r="A176" s="1">
        <v>14</v>
      </c>
      <c r="B176" s="4" t="s">
        <v>84</v>
      </c>
      <c r="C176" s="5"/>
      <c r="D176" s="47">
        <f>'Taxes Sched 5'!D13</f>
        <v>0</v>
      </c>
      <c r="E176" s="5"/>
      <c r="F176" s="5" t="str">
        <f>+F175</f>
        <v>W/S</v>
      </c>
      <c r="G176" s="22">
        <f>+G175</f>
        <v>0.11698360103631487</v>
      </c>
      <c r="H176" s="5"/>
      <c r="I176" s="5">
        <f>+G176*D176</f>
        <v>0</v>
      </c>
      <c r="J176" s="5"/>
      <c r="K176" s="7"/>
      <c r="L176" s="55"/>
      <c r="M176" s="56"/>
      <c r="N176" s="50"/>
      <c r="O176" s="14"/>
      <c r="P176" s="4"/>
    </row>
    <row r="177" spans="1:16">
      <c r="A177" s="1">
        <v>15</v>
      </c>
      <c r="B177" s="4" t="s">
        <v>85</v>
      </c>
      <c r="C177" s="5"/>
      <c r="E177" s="5"/>
      <c r="F177" s="5"/>
      <c r="H177" s="5"/>
      <c r="J177" s="5"/>
      <c r="K177" s="7"/>
      <c r="L177" s="55"/>
      <c r="M177" s="56"/>
      <c r="N177" s="50"/>
      <c r="O177" s="14"/>
      <c r="P177" s="4"/>
    </row>
    <row r="178" spans="1:16">
      <c r="A178" s="1">
        <v>16</v>
      </c>
      <c r="B178" s="4" t="s">
        <v>86</v>
      </c>
      <c r="C178" s="5"/>
      <c r="D178" s="47">
        <f>'Taxes Sched 5'!D14</f>
        <v>0</v>
      </c>
      <c r="E178" s="5"/>
      <c r="F178" s="5" t="s">
        <v>75</v>
      </c>
      <c r="G178" s="22">
        <f>+G95</f>
        <v>0.21655538639361246</v>
      </c>
      <c r="H178" s="5"/>
      <c r="I178" s="5">
        <f>+G178*D178</f>
        <v>0</v>
      </c>
      <c r="J178" s="5"/>
      <c r="K178" s="7"/>
      <c r="L178" s="55"/>
      <c r="M178" s="56"/>
      <c r="N178" s="50"/>
      <c r="O178" s="14"/>
      <c r="P178" s="4"/>
    </row>
    <row r="179" spans="1:16">
      <c r="A179" s="1">
        <v>17</v>
      </c>
      <c r="B179" s="4" t="s">
        <v>87</v>
      </c>
      <c r="C179" s="5"/>
      <c r="D179" s="47">
        <f>'Taxes Sched 5'!D15</f>
        <v>0</v>
      </c>
      <c r="E179" s="5"/>
      <c r="F179" s="5" t="s">
        <v>51</v>
      </c>
      <c r="G179" s="58" t="s">
        <v>176</v>
      </c>
      <c r="H179" s="5"/>
      <c r="I179" s="5">
        <v>0</v>
      </c>
      <c r="J179" s="5"/>
      <c r="K179" s="7"/>
      <c r="L179" s="55"/>
      <c r="M179" s="56"/>
      <c r="N179" s="50"/>
      <c r="O179" s="14"/>
      <c r="P179" s="4"/>
    </row>
    <row r="180" spans="1:16">
      <c r="A180" s="1">
        <v>18</v>
      </c>
      <c r="B180" s="4" t="s">
        <v>88</v>
      </c>
      <c r="C180" s="5"/>
      <c r="D180" s="47">
        <v>0</v>
      </c>
      <c r="E180" s="5"/>
      <c r="F180" s="5" t="str">
        <f>+F178</f>
        <v>GP</v>
      </c>
      <c r="G180" s="22">
        <f>+G178</f>
        <v>0.21655538639361246</v>
      </c>
      <c r="H180" s="5"/>
      <c r="I180" s="5">
        <f>+G180*D180</f>
        <v>0</v>
      </c>
      <c r="J180" s="5"/>
      <c r="K180" s="7"/>
      <c r="L180" s="55"/>
      <c r="M180" s="56"/>
      <c r="N180" s="50"/>
      <c r="O180" s="14"/>
      <c r="P180" s="4"/>
    </row>
    <row r="181" spans="1:16" ht="16.5" thickBot="1">
      <c r="A181" s="1">
        <v>19</v>
      </c>
      <c r="B181" s="4" t="s">
        <v>89</v>
      </c>
      <c r="C181" s="5"/>
      <c r="D181" s="46">
        <f>'Taxes Sched 5'!D17</f>
        <v>1346433</v>
      </c>
      <c r="E181" s="5"/>
      <c r="F181" s="5" t="s">
        <v>75</v>
      </c>
      <c r="G181" s="22">
        <f>+G180</f>
        <v>0.21655538639361246</v>
      </c>
      <c r="H181" s="5"/>
      <c r="I181" s="25">
        <f>+G181*D181</f>
        <v>291577.31856811082</v>
      </c>
      <c r="J181" s="5"/>
      <c r="L181" s="8"/>
      <c r="M181" s="55"/>
      <c r="N181" s="50"/>
      <c r="O181" s="14"/>
      <c r="P181" s="4"/>
    </row>
    <row r="182" spans="1:16">
      <c r="A182" s="1">
        <v>20</v>
      </c>
      <c r="B182" s="4" t="s">
        <v>90</v>
      </c>
      <c r="C182" s="5"/>
      <c r="D182" s="5">
        <f>SUM(D175:D181)</f>
        <v>1346433</v>
      </c>
      <c r="E182" s="5"/>
      <c r="F182" s="5"/>
      <c r="G182" s="22"/>
      <c r="H182" s="5"/>
      <c r="I182" s="5">
        <f>SUM(I175:I181)</f>
        <v>291577.31856811082</v>
      </c>
      <c r="J182" s="5"/>
      <c r="K182" s="5"/>
      <c r="L182" s="8"/>
      <c r="M182" s="56"/>
      <c r="N182" s="48"/>
      <c r="O182" s="5"/>
      <c r="P182" s="4"/>
    </row>
    <row r="183" spans="1:16">
      <c r="A183" s="1" t="s">
        <v>91</v>
      </c>
      <c r="B183" s="4"/>
      <c r="C183" s="5"/>
      <c r="D183" s="5"/>
      <c r="E183" s="5"/>
      <c r="F183" s="5"/>
      <c r="G183" s="22"/>
      <c r="H183" s="5"/>
      <c r="I183" s="5"/>
      <c r="J183" s="5"/>
      <c r="K183" s="5"/>
      <c r="L183" s="8"/>
      <c r="M183" s="56"/>
      <c r="N183" s="5"/>
      <c r="O183" s="5"/>
      <c r="P183" s="4"/>
    </row>
    <row r="184" spans="1:16">
      <c r="A184" s="1" t="s">
        <v>2</v>
      </c>
      <c r="B184" s="4" t="s">
        <v>92</v>
      </c>
      <c r="C184" s="59" t="s">
        <v>218</v>
      </c>
      <c r="D184" s="5"/>
      <c r="E184" s="5"/>
      <c r="F184" s="5" t="s">
        <v>51</v>
      </c>
      <c r="G184" s="60"/>
      <c r="H184" s="5"/>
      <c r="I184" s="5"/>
      <c r="J184" s="5"/>
      <c r="L184" s="8"/>
      <c r="M184" s="56"/>
      <c r="N184" s="5"/>
      <c r="O184" s="36"/>
      <c r="P184" s="5" t="s">
        <v>2</v>
      </c>
    </row>
    <row r="185" spans="1:16">
      <c r="A185" s="1">
        <v>21</v>
      </c>
      <c r="B185" s="61" t="s">
        <v>93</v>
      </c>
      <c r="C185" s="5"/>
      <c r="D185" s="62">
        <f>IF(D300&gt;0,1-(((1-D301)*(1-D300))/(1-D301*D300*D302)),0)</f>
        <v>0</v>
      </c>
      <c r="E185" s="5"/>
      <c r="G185" s="60"/>
      <c r="H185" s="5"/>
      <c r="J185" s="5"/>
      <c r="L185" s="5"/>
      <c r="N185" s="5"/>
      <c r="O185" s="36"/>
      <c r="P185" s="5"/>
    </row>
    <row r="186" spans="1:16">
      <c r="A186" s="1">
        <v>22</v>
      </c>
      <c r="B186" s="3" t="s">
        <v>94</v>
      </c>
      <c r="C186" s="5"/>
      <c r="D186" s="62">
        <f>IF(I257&gt;0,(D185/(1-D185))*(1-I255/I257),0)</f>
        <v>0</v>
      </c>
      <c r="E186" s="5"/>
      <c r="G186" s="60"/>
      <c r="H186" s="5"/>
      <c r="J186" s="5"/>
      <c r="L186" s="5"/>
      <c r="N186" s="5"/>
      <c r="O186" s="14"/>
      <c r="P186" s="5"/>
    </row>
    <row r="187" spans="1:16">
      <c r="A187" s="1"/>
      <c r="B187" s="4" t="s">
        <v>304</v>
      </c>
      <c r="C187" s="5"/>
      <c r="D187" s="5"/>
      <c r="E187" s="5"/>
      <c r="G187" s="60"/>
      <c r="H187" s="5"/>
      <c r="J187" s="5"/>
      <c r="L187" s="5"/>
      <c r="N187" s="5"/>
      <c r="O187" s="14"/>
      <c r="P187" s="5"/>
    </row>
    <row r="188" spans="1:16">
      <c r="A188" s="1"/>
      <c r="B188" s="4" t="s">
        <v>95</v>
      </c>
      <c r="C188" s="5"/>
      <c r="D188" s="5"/>
      <c r="E188" s="5"/>
      <c r="G188" s="60"/>
      <c r="H188" s="5"/>
      <c r="J188" s="5"/>
      <c r="L188" s="5"/>
      <c r="N188" s="5"/>
      <c r="O188" s="14"/>
      <c r="P188" s="5"/>
    </row>
    <row r="189" spans="1:16">
      <c r="A189" s="1">
        <v>23</v>
      </c>
      <c r="B189" s="61" t="s">
        <v>96</v>
      </c>
      <c r="C189" s="5"/>
      <c r="D189" s="63">
        <f>IF(D185&gt;0,1/(1-D185),0)</f>
        <v>0</v>
      </c>
      <c r="E189" s="5"/>
      <c r="G189" s="60"/>
      <c r="H189" s="5"/>
      <c r="J189" s="5"/>
      <c r="L189" s="4"/>
      <c r="N189" s="5"/>
      <c r="O189" s="14"/>
      <c r="P189" s="5"/>
    </row>
    <row r="190" spans="1:16">
      <c r="A190" s="1">
        <v>24</v>
      </c>
      <c r="B190" s="55" t="s">
        <v>307</v>
      </c>
      <c r="C190" s="5"/>
      <c r="D190" s="47">
        <v>0</v>
      </c>
      <c r="E190" s="5"/>
      <c r="G190" s="60"/>
      <c r="H190" s="5"/>
      <c r="J190" s="5"/>
      <c r="L190" s="4"/>
      <c r="N190" s="5"/>
      <c r="O190" s="14"/>
      <c r="P190" s="5"/>
    </row>
    <row r="191" spans="1:16">
      <c r="A191" s="1"/>
      <c r="B191" s="4"/>
      <c r="C191" s="5"/>
      <c r="D191" s="5"/>
      <c r="E191" s="5"/>
      <c r="G191" s="60"/>
      <c r="H191" s="5"/>
      <c r="J191" s="5"/>
      <c r="L191" s="4"/>
      <c r="N191" s="5"/>
      <c r="O191" s="14"/>
      <c r="P191" s="5"/>
    </row>
    <row r="192" spans="1:16">
      <c r="A192" s="1">
        <v>25</v>
      </c>
      <c r="B192" s="61" t="s">
        <v>97</v>
      </c>
      <c r="C192" s="59"/>
      <c r="D192" s="5">
        <f>D186*D196</f>
        <v>0</v>
      </c>
      <c r="E192" s="5"/>
      <c r="F192" s="5" t="s">
        <v>51</v>
      </c>
      <c r="G192" s="22"/>
      <c r="H192" s="5"/>
      <c r="I192" s="5">
        <f>D186*I196</f>
        <v>0</v>
      </c>
      <c r="J192" s="5"/>
      <c r="L192" s="4"/>
      <c r="N192" s="5"/>
      <c r="O192" s="14"/>
      <c r="P192" s="5"/>
    </row>
    <row r="193" spans="1:16" ht="16.5" thickBot="1">
      <c r="A193" s="1">
        <v>26</v>
      </c>
      <c r="B193" s="3" t="s">
        <v>98</v>
      </c>
      <c r="C193" s="59"/>
      <c r="D193" s="25">
        <f>D189*D190</f>
        <v>0</v>
      </c>
      <c r="E193" s="5"/>
      <c r="F193" s="3" t="s">
        <v>62</v>
      </c>
      <c r="G193" s="22">
        <f>G111</f>
        <v>0.19100282066387256</v>
      </c>
      <c r="H193" s="5"/>
      <c r="I193" s="25">
        <f>G193*D193</f>
        <v>0</v>
      </c>
      <c r="J193" s="5"/>
      <c r="L193" s="5" t="s">
        <v>2</v>
      </c>
      <c r="N193" s="5"/>
      <c r="O193" s="14"/>
      <c r="P193" s="5"/>
    </row>
    <row r="194" spans="1:16">
      <c r="A194" s="1">
        <v>27</v>
      </c>
      <c r="B194" s="64" t="s">
        <v>99</v>
      </c>
      <c r="C194" s="3" t="s">
        <v>100</v>
      </c>
      <c r="D194" s="9">
        <f>+D192+D193</f>
        <v>0</v>
      </c>
      <c r="E194" s="5"/>
      <c r="F194" s="5" t="s">
        <v>2</v>
      </c>
      <c r="G194" s="22" t="s">
        <v>2</v>
      </c>
      <c r="H194" s="5"/>
      <c r="I194" s="9">
        <f>+I192+I193</f>
        <v>0</v>
      </c>
      <c r="J194" s="5"/>
      <c r="L194" s="5"/>
      <c r="N194" s="5"/>
      <c r="O194" s="14"/>
      <c r="P194" s="5"/>
    </row>
    <row r="195" spans="1:16">
      <c r="A195" s="1" t="s">
        <v>2</v>
      </c>
      <c r="C195" s="65"/>
      <c r="D195" s="5"/>
      <c r="E195" s="5"/>
      <c r="F195" s="5"/>
      <c r="G195" s="22"/>
      <c r="H195" s="5"/>
      <c r="I195" s="5"/>
      <c r="J195" s="5"/>
      <c r="K195" s="5"/>
      <c r="L195" s="5"/>
      <c r="N195" s="5"/>
      <c r="O195" s="5"/>
      <c r="P195" s="4"/>
    </row>
    <row r="196" spans="1:16">
      <c r="A196" s="1">
        <v>28</v>
      </c>
      <c r="B196" s="4" t="s">
        <v>101</v>
      </c>
      <c r="C196" s="7"/>
      <c r="D196" s="5">
        <f>+$I257*D129</f>
        <v>4200096.1176762125</v>
      </c>
      <c r="E196" s="5"/>
      <c r="F196" s="5" t="s">
        <v>51</v>
      </c>
      <c r="G196" s="60"/>
      <c r="H196" s="5"/>
      <c r="I196" s="5">
        <f>+$I257*I129</f>
        <v>806637.09120255243</v>
      </c>
      <c r="J196" s="5"/>
      <c r="L196" s="4"/>
      <c r="N196" s="5"/>
      <c r="O196" s="14"/>
      <c r="P196" s="5" t="s">
        <v>2</v>
      </c>
    </row>
    <row r="197" spans="1:16">
      <c r="A197" s="1"/>
      <c r="B197" s="64" t="s">
        <v>102</v>
      </c>
      <c r="D197" s="5"/>
      <c r="E197" s="5"/>
      <c r="F197" s="5"/>
      <c r="G197" s="60"/>
      <c r="H197" s="5"/>
      <c r="I197" s="5"/>
      <c r="J197" s="5"/>
      <c r="K197" s="7"/>
      <c r="L197" s="12"/>
      <c r="N197" s="5"/>
      <c r="O197" s="14"/>
      <c r="P197" s="5"/>
    </row>
    <row r="198" spans="1:16">
      <c r="A198" s="1"/>
      <c r="B198" s="4"/>
      <c r="D198" s="6"/>
      <c r="E198" s="5"/>
      <c r="F198" s="5"/>
      <c r="G198" s="60"/>
      <c r="H198" s="5"/>
      <c r="I198" s="6"/>
      <c r="J198" s="5"/>
      <c r="K198" s="7"/>
      <c r="L198" s="12"/>
      <c r="N198" s="5"/>
      <c r="O198" s="14"/>
      <c r="P198" s="5"/>
    </row>
    <row r="199" spans="1:16">
      <c r="A199" s="1">
        <v>29</v>
      </c>
      <c r="B199" s="4" t="s">
        <v>243</v>
      </c>
      <c r="C199" s="5"/>
      <c r="D199" s="6">
        <f>+D196+D194+D182+D171+D165</f>
        <v>7804589.1176762125</v>
      </c>
      <c r="E199" s="5"/>
      <c r="F199" s="5"/>
      <c r="G199" s="5"/>
      <c r="H199" s="5"/>
      <c r="I199" s="6">
        <f>+I196+I194+I182+I171+I165</f>
        <v>2214779.6844695304</v>
      </c>
      <c r="J199" s="12"/>
      <c r="K199" s="12"/>
      <c r="L199" s="12"/>
      <c r="N199" s="12"/>
      <c r="O199" s="36"/>
      <c r="P199" s="4"/>
    </row>
    <row r="200" spans="1:16">
      <c r="A200" s="1"/>
      <c r="B200" s="4"/>
      <c r="C200" s="5"/>
      <c r="D200" s="6"/>
      <c r="E200" s="5"/>
      <c r="F200" s="5"/>
      <c r="G200" s="5"/>
      <c r="H200" s="5"/>
      <c r="I200" s="6"/>
      <c r="J200" s="12"/>
      <c r="K200" s="12"/>
      <c r="L200" s="12"/>
      <c r="N200" s="12"/>
      <c r="O200" s="36"/>
      <c r="P200" s="4"/>
    </row>
    <row r="201" spans="1:16">
      <c r="A201" s="1">
        <v>30</v>
      </c>
      <c r="B201" s="3" t="s">
        <v>281</v>
      </c>
      <c r="J201" s="12"/>
      <c r="K201" s="12"/>
      <c r="L201" s="12"/>
      <c r="N201" s="12"/>
      <c r="O201" s="36"/>
      <c r="P201" s="4"/>
    </row>
    <row r="202" spans="1:16">
      <c r="A202" s="1"/>
      <c r="B202" s="3" t="s">
        <v>213</v>
      </c>
      <c r="J202" s="12"/>
      <c r="K202" s="12"/>
      <c r="L202" s="12"/>
      <c r="N202" s="12"/>
      <c r="O202" s="36"/>
      <c r="P202" s="4"/>
    </row>
    <row r="203" spans="1:16">
      <c r="A203" s="1"/>
      <c r="B203" s="3" t="s">
        <v>214</v>
      </c>
      <c r="D203" s="148">
        <v>0</v>
      </c>
      <c r="E203" s="4"/>
      <c r="F203" s="4"/>
      <c r="G203" s="4"/>
      <c r="H203" s="4"/>
      <c r="I203" s="148">
        <v>0</v>
      </c>
      <c r="J203" s="12"/>
      <c r="K203" s="12"/>
      <c r="L203" s="12"/>
      <c r="N203" s="12"/>
      <c r="O203" s="36"/>
      <c r="P203" s="4"/>
    </row>
    <row r="204" spans="1:16">
      <c r="A204" s="1"/>
      <c r="B204" s="4"/>
      <c r="C204" s="5"/>
      <c r="D204" s="6"/>
      <c r="E204" s="5"/>
      <c r="F204" s="5"/>
      <c r="G204" s="5"/>
      <c r="H204" s="5"/>
      <c r="I204" s="6"/>
      <c r="J204" s="12"/>
      <c r="K204" s="12"/>
      <c r="L204" s="12"/>
      <c r="N204" s="12"/>
      <c r="O204" s="36"/>
      <c r="P204" s="4"/>
    </row>
    <row r="205" spans="1:16">
      <c r="A205" s="1" t="s">
        <v>285</v>
      </c>
      <c r="B205" s="56" t="s">
        <v>308</v>
      </c>
      <c r="C205" s="56"/>
      <c r="D205" s="56"/>
      <c r="J205" s="5"/>
      <c r="K205" s="5"/>
      <c r="L205" s="12"/>
      <c r="N205" s="5"/>
      <c r="O205" s="14"/>
      <c r="P205" s="5" t="s">
        <v>2</v>
      </c>
    </row>
    <row r="206" spans="1:16">
      <c r="A206" s="1"/>
      <c r="B206" s="3" t="s">
        <v>213</v>
      </c>
      <c r="J206" s="5"/>
      <c r="K206" s="5"/>
      <c r="L206" s="12"/>
      <c r="N206" s="5"/>
      <c r="O206" s="14"/>
      <c r="P206" s="5"/>
    </row>
    <row r="207" spans="1:16" ht="16.5" thickBot="1">
      <c r="A207" s="1"/>
      <c r="B207" s="3" t="s">
        <v>286</v>
      </c>
      <c r="D207" s="138">
        <v>0</v>
      </c>
      <c r="E207" s="4"/>
      <c r="F207" s="4"/>
      <c r="G207" s="4"/>
      <c r="H207" s="4"/>
      <c r="I207" s="138">
        <v>0</v>
      </c>
      <c r="J207" s="5"/>
      <c r="K207" s="5"/>
      <c r="L207" s="12"/>
      <c r="N207" s="5"/>
      <c r="O207" s="14"/>
      <c r="P207" s="5"/>
    </row>
    <row r="208" spans="1:16" ht="16.5" thickBot="1">
      <c r="A208" s="54">
        <v>31</v>
      </c>
      <c r="B208" s="56" t="s">
        <v>212</v>
      </c>
      <c r="C208" s="56"/>
      <c r="D208" s="145">
        <f>+D199-D203-D207</f>
        <v>7804589.1176762125</v>
      </c>
      <c r="E208" s="56"/>
      <c r="F208" s="56"/>
      <c r="G208" s="56"/>
      <c r="H208" s="56"/>
      <c r="I208" s="145">
        <f>+I199-I203-I207</f>
        <v>2214779.6844695304</v>
      </c>
      <c r="J208" s="8"/>
      <c r="K208" s="8"/>
      <c r="L208" s="137"/>
      <c r="M208" s="56"/>
      <c r="N208" s="8"/>
      <c r="O208" s="14"/>
      <c r="P208" s="5"/>
    </row>
    <row r="209" spans="1:16" ht="16.5" thickTop="1">
      <c r="A209" s="1"/>
      <c r="B209" s="3" t="s">
        <v>287</v>
      </c>
      <c r="J209" s="5"/>
      <c r="K209" s="5"/>
      <c r="L209" s="12"/>
      <c r="N209" s="5"/>
      <c r="O209" s="14"/>
      <c r="P209" s="5"/>
    </row>
    <row r="210" spans="1:16" s="67" customFormat="1">
      <c r="A210" s="66"/>
      <c r="J210" s="68"/>
      <c r="K210" s="68"/>
      <c r="L210" s="69"/>
      <c r="N210" s="68"/>
      <c r="O210" s="70"/>
      <c r="P210" s="68"/>
    </row>
    <row r="211" spans="1:16" s="67" customFormat="1">
      <c r="A211" s="66"/>
      <c r="J211" s="68"/>
      <c r="K211" s="68"/>
      <c r="L211" s="69"/>
      <c r="N211" s="68"/>
      <c r="O211" s="70"/>
      <c r="P211" s="68"/>
    </row>
    <row r="212" spans="1:16" s="67" customFormat="1">
      <c r="A212" s="66"/>
      <c r="J212" s="68"/>
      <c r="K212" s="68"/>
      <c r="L212" s="69"/>
      <c r="N212" s="68"/>
      <c r="O212" s="70"/>
      <c r="P212" s="68"/>
    </row>
    <row r="213" spans="1:16">
      <c r="B213" s="2"/>
      <c r="C213" s="2"/>
      <c r="D213" s="10"/>
      <c r="E213" s="2"/>
      <c r="F213" s="2"/>
      <c r="G213" s="2"/>
      <c r="H213" s="11"/>
      <c r="I213" s="11"/>
      <c r="J213" s="12"/>
      <c r="K213" s="13" t="s">
        <v>186</v>
      </c>
      <c r="L213" s="4"/>
      <c r="N213" s="12"/>
      <c r="O213" s="12"/>
      <c r="P213" s="12"/>
    </row>
    <row r="214" spans="1:16">
      <c r="A214" s="1"/>
      <c r="J214" s="5"/>
      <c r="K214" s="5"/>
      <c r="L214" s="4"/>
      <c r="N214" s="5"/>
      <c r="O214" s="14"/>
      <c r="P214" s="5"/>
    </row>
    <row r="215" spans="1:16">
      <c r="A215" s="1"/>
      <c r="B215" s="4" t="str">
        <f>B3</f>
        <v xml:space="preserve">Formula Rate - Non-Levelized </v>
      </c>
      <c r="D215" s="3" t="str">
        <f>D3</f>
        <v xml:space="preserve">   Rate Formula Template</v>
      </c>
      <c r="J215" s="5"/>
      <c r="K215" s="71" t="str">
        <f>K3</f>
        <v>For the 12 months ended 12/31/15</v>
      </c>
      <c r="L215" s="4"/>
      <c r="N215" s="5"/>
      <c r="O215" s="5"/>
      <c r="P215" s="4"/>
    </row>
    <row r="216" spans="1:16">
      <c r="A216" s="1"/>
      <c r="B216" s="4"/>
      <c r="D216" s="3" t="str">
        <f>D4</f>
        <v>Utilizing EIA Form 412 Data</v>
      </c>
      <c r="J216" s="5"/>
      <c r="K216" s="5"/>
      <c r="L216" s="4"/>
      <c r="N216" s="5"/>
      <c r="O216" s="5"/>
      <c r="P216" s="4"/>
    </row>
    <row r="217" spans="1:16" ht="9" customHeight="1">
      <c r="A217" s="1"/>
      <c r="J217" s="5"/>
      <c r="K217" s="5"/>
      <c r="L217" s="4"/>
      <c r="N217" s="5"/>
      <c r="O217" s="5"/>
      <c r="P217" s="4"/>
    </row>
    <row r="218" spans="1:16">
      <c r="A218" s="1"/>
      <c r="D218" s="3" t="str">
        <f>D6</f>
        <v xml:space="preserve">Marshall (Minnesota) Municipal Utilities </v>
      </c>
      <c r="J218" s="5"/>
      <c r="K218" s="5"/>
      <c r="L218" s="4"/>
      <c r="N218" s="5"/>
      <c r="O218" s="5"/>
      <c r="P218" s="4"/>
    </row>
    <row r="219" spans="1:16">
      <c r="A219" s="1" t="s">
        <v>4</v>
      </c>
      <c r="C219" s="4"/>
      <c r="D219" s="4"/>
      <c r="E219" s="4"/>
      <c r="F219" s="4"/>
      <c r="G219" s="4"/>
      <c r="H219" s="4"/>
      <c r="I219" s="4"/>
      <c r="J219" s="4"/>
      <c r="K219" s="4"/>
      <c r="L219" s="72"/>
      <c r="N219" s="4"/>
      <c r="O219" s="4"/>
      <c r="P219" s="4"/>
    </row>
    <row r="220" spans="1:16" ht="16.5" thickBot="1">
      <c r="A220" s="18" t="s">
        <v>6</v>
      </c>
      <c r="C220" s="43" t="s">
        <v>103</v>
      </c>
      <c r="E220" s="12"/>
      <c r="F220" s="12"/>
      <c r="G220" s="12"/>
      <c r="H220" s="12"/>
      <c r="I220" s="12"/>
      <c r="J220" s="5"/>
      <c r="K220" s="5"/>
      <c r="L220" s="72"/>
      <c r="N220" s="12"/>
      <c r="O220" s="5"/>
      <c r="P220" s="4"/>
    </row>
    <row r="221" spans="1:16">
      <c r="A221" s="1"/>
      <c r="B221" s="2" t="s">
        <v>106</v>
      </c>
      <c r="C221" s="12"/>
      <c r="D221" s="12"/>
      <c r="E221" s="12"/>
      <c r="F221" s="12"/>
      <c r="G221" s="12"/>
      <c r="H221" s="12"/>
      <c r="I221" s="12"/>
      <c r="J221" s="5"/>
      <c r="K221" s="5"/>
      <c r="L221" s="4"/>
      <c r="N221" s="12"/>
      <c r="O221" s="5"/>
      <c r="P221" s="4"/>
    </row>
    <row r="222" spans="1:16">
      <c r="A222" s="1">
        <v>1</v>
      </c>
      <c r="B222" s="11" t="s">
        <v>244</v>
      </c>
      <c r="C222" s="12"/>
      <c r="D222" s="5"/>
      <c r="E222" s="5"/>
      <c r="F222" s="5"/>
      <c r="G222" s="5"/>
      <c r="H222" s="5"/>
      <c r="I222" s="5">
        <f>D91</f>
        <v>16250246</v>
      </c>
      <c r="J222" s="5"/>
      <c r="K222" s="5"/>
      <c r="L222" s="4"/>
      <c r="N222" s="12"/>
      <c r="O222" s="5"/>
      <c r="P222" s="4"/>
    </row>
    <row r="223" spans="1:16">
      <c r="A223" s="1">
        <v>2</v>
      </c>
      <c r="B223" s="11" t="s">
        <v>245</v>
      </c>
      <c r="I223" s="47">
        <v>0</v>
      </c>
      <c r="J223" s="5"/>
      <c r="K223" s="5"/>
      <c r="L223" s="4"/>
      <c r="N223" s="12"/>
      <c r="O223" s="5"/>
      <c r="P223" s="4"/>
    </row>
    <row r="224" spans="1:16" ht="16.5" thickBot="1">
      <c r="A224" s="1">
        <v>3</v>
      </c>
      <c r="B224" s="73" t="s">
        <v>246</v>
      </c>
      <c r="C224" s="74"/>
      <c r="D224" s="6"/>
      <c r="E224" s="5"/>
      <c r="F224" s="5"/>
      <c r="G224" s="50"/>
      <c r="H224" s="5"/>
      <c r="I224" s="46">
        <v>0</v>
      </c>
      <c r="J224" s="5"/>
      <c r="K224" s="5"/>
      <c r="L224" s="4"/>
      <c r="N224" s="12"/>
      <c r="O224" s="5"/>
      <c r="P224" s="4"/>
    </row>
    <row r="225" spans="1:17">
      <c r="A225" s="1">
        <v>4</v>
      </c>
      <c r="B225" s="11" t="s">
        <v>178</v>
      </c>
      <c r="C225" s="12"/>
      <c r="D225" s="5"/>
      <c r="E225" s="5"/>
      <c r="F225" s="5"/>
      <c r="G225" s="50"/>
      <c r="H225" s="5"/>
      <c r="I225" s="5">
        <f>I222-I223-I224</f>
        <v>16250246</v>
      </c>
      <c r="J225" s="5"/>
      <c r="K225" s="5"/>
      <c r="L225" s="4"/>
      <c r="N225" s="12"/>
      <c r="O225" s="5"/>
      <c r="P225" s="4"/>
    </row>
    <row r="226" spans="1:17">
      <c r="A226" s="1"/>
      <c r="C226" s="12"/>
      <c r="D226" s="5"/>
      <c r="E226" s="5"/>
      <c r="F226" s="5"/>
      <c r="G226" s="50"/>
      <c r="H226" s="5"/>
      <c r="J226" s="5"/>
      <c r="K226" s="5"/>
    </row>
    <row r="227" spans="1:17">
      <c r="A227" s="1">
        <v>5</v>
      </c>
      <c r="B227" s="11" t="s">
        <v>247</v>
      </c>
      <c r="C227" s="17"/>
      <c r="D227" s="75"/>
      <c r="E227" s="75"/>
      <c r="F227" s="75"/>
      <c r="G227" s="38"/>
      <c r="H227" s="5" t="s">
        <v>107</v>
      </c>
      <c r="I227" s="49">
        <f>IF(I222&gt;0,I225/I222,0)</f>
        <v>1</v>
      </c>
      <c r="J227" s="5"/>
      <c r="K227" s="5"/>
    </row>
    <row r="228" spans="1:17">
      <c r="J228" s="5"/>
      <c r="K228" s="5"/>
      <c r="M228" s="144" t="s">
        <v>280</v>
      </c>
    </row>
    <row r="229" spans="1:17">
      <c r="B229" s="4" t="s">
        <v>104</v>
      </c>
      <c r="J229" s="5"/>
      <c r="K229" s="5"/>
    </row>
    <row r="230" spans="1:17">
      <c r="A230" s="1">
        <v>6</v>
      </c>
      <c r="B230" s="3" t="s">
        <v>248</v>
      </c>
      <c r="D230" s="12"/>
      <c r="E230" s="12"/>
      <c r="F230" s="12"/>
      <c r="G230" s="14"/>
      <c r="H230" s="12"/>
      <c r="I230" s="5">
        <f>D156</f>
        <v>5488806</v>
      </c>
      <c r="J230" s="5"/>
      <c r="K230" s="5"/>
      <c r="L230" s="533" t="s">
        <v>193</v>
      </c>
      <c r="M230" s="534"/>
      <c r="N230" s="534"/>
      <c r="O230" s="534"/>
      <c r="P230" s="534"/>
      <c r="Q230" s="535"/>
    </row>
    <row r="231" spans="1:17" ht="16.5" thickBot="1">
      <c r="A231" s="1">
        <v>7</v>
      </c>
      <c r="B231" s="73" t="s">
        <v>249</v>
      </c>
      <c r="C231" s="74"/>
      <c r="D231" s="6"/>
      <c r="E231" s="6"/>
      <c r="F231" s="5"/>
      <c r="G231" s="5"/>
      <c r="H231" s="5"/>
      <c r="I231" s="46">
        <f>'Transmission O&amp;M'!C8+'Transmission O&amp;M'!C9+'Transmission O&amp;M'!C10</f>
        <v>0</v>
      </c>
      <c r="J231" s="5"/>
      <c r="K231" s="5"/>
      <c r="L231" s="141">
        <f>+I231</f>
        <v>0</v>
      </c>
      <c r="M231" s="79" t="s">
        <v>200</v>
      </c>
      <c r="N231" s="122"/>
      <c r="O231" s="6"/>
      <c r="P231" s="77"/>
      <c r="Q231" s="78"/>
    </row>
    <row r="232" spans="1:17">
      <c r="A232" s="1">
        <v>8</v>
      </c>
      <c r="B232" s="11" t="s">
        <v>276</v>
      </c>
      <c r="C232" s="17"/>
      <c r="D232" s="75"/>
      <c r="E232" s="75"/>
      <c r="F232" s="75"/>
      <c r="G232" s="38"/>
      <c r="H232" s="75"/>
      <c r="I232" s="5">
        <f>+I230-I231</f>
        <v>5488806</v>
      </c>
      <c r="J232" s="5"/>
      <c r="K232" s="5"/>
      <c r="L232" s="140">
        <v>0</v>
      </c>
      <c r="M232" s="85" t="s">
        <v>202</v>
      </c>
      <c r="N232" s="76"/>
      <c r="O232" s="76"/>
      <c r="P232" s="76"/>
      <c r="Q232" s="78"/>
    </row>
    <row r="233" spans="1:17">
      <c r="A233" s="1"/>
      <c r="B233" s="11"/>
      <c r="C233" s="12"/>
      <c r="D233" s="5"/>
      <c r="E233" s="5"/>
      <c r="F233" s="5"/>
      <c r="G233" s="5"/>
      <c r="J233" s="5"/>
      <c r="K233" s="5"/>
      <c r="L233" s="141">
        <f>L231-L232</f>
        <v>0</v>
      </c>
      <c r="M233" s="85" t="s">
        <v>203</v>
      </c>
      <c r="N233" s="76"/>
      <c r="O233" s="76"/>
      <c r="P233" s="76"/>
      <c r="Q233" s="78"/>
    </row>
    <row r="234" spans="1:17">
      <c r="A234" s="1">
        <v>9</v>
      </c>
      <c r="B234" s="11" t="s">
        <v>250</v>
      </c>
      <c r="C234" s="12"/>
      <c r="D234" s="5"/>
      <c r="E234" s="5"/>
      <c r="F234" s="5"/>
      <c r="G234" s="5"/>
      <c r="H234" s="5"/>
      <c r="I234" s="45">
        <f>IF(I230&gt;0,I232/I230,0)</f>
        <v>1</v>
      </c>
      <c r="J234" s="5"/>
      <c r="K234" s="5"/>
      <c r="L234" s="123"/>
      <c r="M234" s="81" t="s">
        <v>194</v>
      </c>
      <c r="N234" s="124"/>
      <c r="O234" s="124"/>
      <c r="P234" s="124"/>
      <c r="Q234" s="125"/>
    </row>
    <row r="235" spans="1:17">
      <c r="A235" s="1">
        <v>10</v>
      </c>
      <c r="B235" s="11" t="s">
        <v>251</v>
      </c>
      <c r="C235" s="12"/>
      <c r="D235" s="5"/>
      <c r="E235" s="5"/>
      <c r="F235" s="5"/>
      <c r="G235" s="5"/>
      <c r="H235" s="12" t="s">
        <v>12</v>
      </c>
      <c r="I235" s="80">
        <f>I227</f>
        <v>1</v>
      </c>
      <c r="J235" s="5"/>
      <c r="K235" s="5"/>
      <c r="L235" s="139">
        <v>0</v>
      </c>
      <c r="M235" s="82" t="s">
        <v>195</v>
      </c>
      <c r="N235" s="6"/>
      <c r="O235" s="77"/>
      <c r="P235" s="76"/>
      <c r="Q235" s="78"/>
    </row>
    <row r="236" spans="1:17">
      <c r="A236" s="1">
        <v>11</v>
      </c>
      <c r="B236" s="11" t="s">
        <v>252</v>
      </c>
      <c r="C236" s="12"/>
      <c r="D236" s="12"/>
      <c r="E236" s="12"/>
      <c r="F236" s="12"/>
      <c r="G236" s="12"/>
      <c r="H236" s="12" t="s">
        <v>105</v>
      </c>
      <c r="I236" s="83">
        <f>+I235*I234</f>
        <v>1</v>
      </c>
      <c r="J236" s="5"/>
      <c r="K236" s="5"/>
      <c r="L236" s="139">
        <v>0</v>
      </c>
      <c r="M236" s="82" t="s">
        <v>196</v>
      </c>
      <c r="N236" s="6"/>
      <c r="O236" s="77"/>
      <c r="P236" s="76"/>
      <c r="Q236" s="78"/>
    </row>
    <row r="237" spans="1:17">
      <c r="A237" s="1"/>
      <c r="C237" s="12"/>
      <c r="D237" s="5"/>
      <c r="E237" s="5"/>
      <c r="F237" s="5"/>
      <c r="G237" s="50"/>
      <c r="H237" s="5"/>
      <c r="L237" s="140">
        <v>0</v>
      </c>
      <c r="M237" s="82" t="s">
        <v>197</v>
      </c>
      <c r="N237" s="6"/>
      <c r="O237" s="77"/>
      <c r="P237" s="76"/>
      <c r="Q237" s="78"/>
    </row>
    <row r="238" spans="1:17" ht="16.5" thickBot="1">
      <c r="A238" s="1" t="s">
        <v>2</v>
      </c>
      <c r="B238" s="4" t="s">
        <v>108</v>
      </c>
      <c r="C238" s="5"/>
      <c r="D238" s="84" t="s">
        <v>109</v>
      </c>
      <c r="E238" s="84" t="s">
        <v>12</v>
      </c>
      <c r="F238" s="5"/>
      <c r="G238" s="84" t="s">
        <v>110</v>
      </c>
      <c r="H238" s="5"/>
      <c r="I238" s="5"/>
      <c r="L238" s="142">
        <f>SUM(L235:L237)</f>
        <v>0</v>
      </c>
      <c r="M238" s="85" t="s">
        <v>198</v>
      </c>
      <c r="N238" s="76"/>
      <c r="O238" s="76"/>
      <c r="P238" s="76"/>
      <c r="Q238" s="78"/>
    </row>
    <row r="239" spans="1:17">
      <c r="A239" s="1">
        <v>12</v>
      </c>
      <c r="B239" s="4" t="s">
        <v>50</v>
      </c>
      <c r="C239" s="5"/>
      <c r="D239" s="47">
        <f>+Salaries!M12</f>
        <v>12039</v>
      </c>
      <c r="E239" s="86">
        <v>0</v>
      </c>
      <c r="F239" s="86"/>
      <c r="G239" s="5">
        <f>D239*E239</f>
        <v>0</v>
      </c>
      <c r="H239" s="5"/>
      <c r="I239" s="5"/>
      <c r="J239" s="5"/>
      <c r="K239" s="5"/>
      <c r="L239" s="143">
        <f>L233-L238</f>
        <v>0</v>
      </c>
      <c r="M239" s="87" t="s">
        <v>199</v>
      </c>
      <c r="N239" s="88"/>
      <c r="O239" s="88"/>
      <c r="P239" s="88"/>
      <c r="Q239" s="89"/>
    </row>
    <row r="240" spans="1:17">
      <c r="A240" s="1">
        <v>13</v>
      </c>
      <c r="B240" s="4" t="s">
        <v>52</v>
      </c>
      <c r="C240" s="5"/>
      <c r="D240" s="47">
        <f>+Salaries!M21</f>
        <v>200076</v>
      </c>
      <c r="E240" s="86">
        <v>1</v>
      </c>
      <c r="F240" s="86"/>
      <c r="G240" s="5">
        <f>D240*E240</f>
        <v>200076</v>
      </c>
      <c r="H240" s="5"/>
      <c r="I240" s="5"/>
      <c r="J240" s="5"/>
      <c r="K240" s="5"/>
      <c r="L240" s="382"/>
      <c r="M240" s="85"/>
      <c r="N240" s="6"/>
      <c r="O240" s="77"/>
      <c r="P240" s="76"/>
      <c r="Q240" s="76"/>
    </row>
    <row r="241" spans="1:16">
      <c r="A241" s="1">
        <v>14</v>
      </c>
      <c r="B241" s="4" t="s">
        <v>53</v>
      </c>
      <c r="C241" s="5"/>
      <c r="D241" s="47">
        <f>+Salaries!M32</f>
        <v>1020854</v>
      </c>
      <c r="E241" s="86">
        <v>0</v>
      </c>
      <c r="F241" s="86"/>
      <c r="G241" s="5">
        <f>D241*E241</f>
        <v>0</v>
      </c>
      <c r="H241" s="5"/>
      <c r="I241" s="90" t="s">
        <v>111</v>
      </c>
      <c r="J241" s="5"/>
      <c r="K241" s="5"/>
      <c r="L241" s="55" t="s">
        <v>508</v>
      </c>
      <c r="N241" s="5"/>
      <c r="O241" s="5"/>
      <c r="P241" s="4"/>
    </row>
    <row r="242" spans="1:16" ht="16.5" thickBot="1">
      <c r="A242" s="1">
        <v>15</v>
      </c>
      <c r="B242" s="4" t="s">
        <v>112</v>
      </c>
      <c r="C242" s="5"/>
      <c r="D242" s="46">
        <f>+Salaries!M38</f>
        <v>477322</v>
      </c>
      <c r="E242" s="86">
        <v>0</v>
      </c>
      <c r="F242" s="86"/>
      <c r="G242" s="25">
        <f>D242*E242</f>
        <v>0</v>
      </c>
      <c r="H242" s="5"/>
      <c r="I242" s="18" t="s">
        <v>113</v>
      </c>
      <c r="J242" s="5"/>
      <c r="K242" s="5"/>
      <c r="L242" s="55"/>
      <c r="N242" s="5"/>
      <c r="O242" s="5"/>
      <c r="P242" s="4"/>
    </row>
    <row r="243" spans="1:16">
      <c r="A243" s="1">
        <v>16</v>
      </c>
      <c r="B243" s="4" t="s">
        <v>254</v>
      </c>
      <c r="C243" s="5"/>
      <c r="D243" s="5">
        <f>SUM(D239:D242)</f>
        <v>1710291</v>
      </c>
      <c r="E243" s="5"/>
      <c r="F243" s="5"/>
      <c r="G243" s="5">
        <f>SUM(G239:G242)</f>
        <v>200076</v>
      </c>
      <c r="H243" s="14" t="s">
        <v>114</v>
      </c>
      <c r="I243" s="45">
        <f>IF(G243&gt;0,G240/D243,0)</f>
        <v>0.11698360103631487</v>
      </c>
      <c r="J243" s="5" t="s">
        <v>114</v>
      </c>
      <c r="K243" s="5" t="s">
        <v>55</v>
      </c>
      <c r="L243" s="55"/>
      <c r="N243" s="5"/>
      <c r="O243" s="5"/>
      <c r="P243" s="4"/>
    </row>
    <row r="244" spans="1:16">
      <c r="A244" s="1" t="s">
        <v>2</v>
      </c>
      <c r="B244" s="4" t="s">
        <v>2</v>
      </c>
      <c r="C244" s="5" t="s">
        <v>2</v>
      </c>
      <c r="E244" s="5"/>
      <c r="F244" s="5"/>
      <c r="L244" s="55"/>
      <c r="N244" s="5"/>
      <c r="O244" s="5"/>
      <c r="P244" s="4"/>
    </row>
    <row r="245" spans="1:16">
      <c r="A245" s="1"/>
      <c r="B245" s="4" t="s">
        <v>253</v>
      </c>
      <c r="C245" s="5"/>
      <c r="D245" s="39" t="s">
        <v>109</v>
      </c>
      <c r="E245" s="5"/>
      <c r="F245" s="5"/>
      <c r="G245" s="50" t="s">
        <v>115</v>
      </c>
      <c r="H245" s="60" t="s">
        <v>2</v>
      </c>
      <c r="I245" s="7" t="s">
        <v>116</v>
      </c>
      <c r="J245" s="5"/>
      <c r="K245" s="5"/>
      <c r="L245" s="55"/>
      <c r="N245" s="5"/>
      <c r="O245" s="5"/>
      <c r="P245" s="4"/>
    </row>
    <row r="246" spans="1:16">
      <c r="A246" s="1">
        <v>17</v>
      </c>
      <c r="B246" s="4" t="s">
        <v>117</v>
      </c>
      <c r="C246" s="5"/>
      <c r="D246" s="47">
        <f>D95</f>
        <v>78831652.076923072</v>
      </c>
      <c r="E246" s="5"/>
      <c r="G246" s="1" t="s">
        <v>118</v>
      </c>
      <c r="H246" s="91"/>
      <c r="I246" s="1" t="s">
        <v>119</v>
      </c>
      <c r="J246" s="5"/>
      <c r="K246" s="14" t="s">
        <v>57</v>
      </c>
      <c r="L246" s="56"/>
      <c r="N246" s="5"/>
      <c r="O246" s="5"/>
      <c r="P246" s="4"/>
    </row>
    <row r="247" spans="1:16">
      <c r="A247" s="1">
        <v>18</v>
      </c>
      <c r="B247" s="4" t="s">
        <v>120</v>
      </c>
      <c r="C247" s="5"/>
      <c r="D247" s="47">
        <v>0</v>
      </c>
      <c r="E247" s="5"/>
      <c r="G247" s="22">
        <f>IF(D249&gt;0,D246/D249,0)</f>
        <v>1</v>
      </c>
      <c r="H247" s="50" t="s">
        <v>121</v>
      </c>
      <c r="I247" s="22">
        <f>I243</f>
        <v>0.11698360103631487</v>
      </c>
      <c r="J247" s="60" t="s">
        <v>114</v>
      </c>
      <c r="K247" s="22">
        <f>I247*G247</f>
        <v>0.11698360103631487</v>
      </c>
      <c r="L247" s="55"/>
      <c r="N247" s="5"/>
      <c r="O247" s="5"/>
      <c r="P247" s="4"/>
    </row>
    <row r="248" spans="1:16" ht="16.5" thickBot="1">
      <c r="A248" s="1">
        <v>19</v>
      </c>
      <c r="B248" s="92" t="s">
        <v>122</v>
      </c>
      <c r="C248" s="25"/>
      <c r="D248" s="46">
        <v>0</v>
      </c>
      <c r="E248" s="5"/>
      <c r="F248" s="5"/>
      <c r="G248" s="5" t="s">
        <v>2</v>
      </c>
      <c r="H248" s="5"/>
      <c r="I248" s="5"/>
      <c r="L248" s="56"/>
      <c r="N248" s="5"/>
      <c r="O248" s="5"/>
      <c r="P248" s="4"/>
    </row>
    <row r="249" spans="1:16">
      <c r="A249" s="1">
        <v>20</v>
      </c>
      <c r="B249" s="4" t="s">
        <v>170</v>
      </c>
      <c r="C249" s="5"/>
      <c r="D249" s="5">
        <f>D246+D247+D248</f>
        <v>78831652.076923072</v>
      </c>
      <c r="E249" s="5"/>
      <c r="F249" s="5"/>
      <c r="G249" s="5"/>
      <c r="H249" s="5"/>
      <c r="I249" s="5"/>
      <c r="J249" s="5"/>
      <c r="K249" s="5"/>
      <c r="L249" s="55"/>
      <c r="N249" s="5"/>
      <c r="O249" s="5"/>
      <c r="P249" s="4"/>
    </row>
    <row r="250" spans="1:16">
      <c r="A250" s="1"/>
      <c r="B250" s="4" t="s">
        <v>2</v>
      </c>
      <c r="C250" s="5"/>
      <c r="E250" s="5"/>
      <c r="F250" s="5"/>
      <c r="G250" s="5"/>
      <c r="H250" s="5"/>
      <c r="I250" s="5" t="s">
        <v>2</v>
      </c>
      <c r="J250" s="5"/>
      <c r="K250" s="5"/>
      <c r="L250" s="55"/>
      <c r="N250" s="5"/>
      <c r="O250" s="5"/>
      <c r="P250" s="4"/>
    </row>
    <row r="251" spans="1:16" ht="16.5" thickBot="1">
      <c r="A251" s="1"/>
      <c r="B251" s="2" t="s">
        <v>123</v>
      </c>
      <c r="C251" s="5"/>
      <c r="D251" s="84" t="s">
        <v>109</v>
      </c>
      <c r="E251" s="5"/>
      <c r="F251" s="5"/>
      <c r="G251" s="5"/>
      <c r="H251" s="5"/>
      <c r="J251" s="5" t="s">
        <v>2</v>
      </c>
      <c r="K251" s="5"/>
      <c r="L251" s="55"/>
      <c r="N251" s="5"/>
      <c r="O251" s="5"/>
      <c r="P251" s="4"/>
    </row>
    <row r="252" spans="1:16">
      <c r="A252" s="1">
        <v>21</v>
      </c>
      <c r="B252" s="5" t="s">
        <v>124</v>
      </c>
      <c r="C252" s="11" t="s">
        <v>277</v>
      </c>
      <c r="D252" s="93">
        <f>870000+25000</f>
        <v>895000</v>
      </c>
      <c r="E252" s="5"/>
      <c r="F252" s="5"/>
      <c r="G252" s="5"/>
      <c r="H252" s="5"/>
      <c r="I252" s="5"/>
      <c r="J252" s="5"/>
      <c r="K252" s="5"/>
      <c r="L252" s="56"/>
      <c r="N252" s="5"/>
      <c r="O252" s="5"/>
      <c r="P252" s="4"/>
    </row>
    <row r="253" spans="1:16">
      <c r="A253" s="1"/>
      <c r="B253" s="4"/>
      <c r="D253" s="5"/>
      <c r="E253" s="5"/>
      <c r="F253" s="5"/>
      <c r="G253" s="50" t="s">
        <v>125</v>
      </c>
      <c r="H253" s="5"/>
      <c r="I253" s="5"/>
      <c r="J253" s="5"/>
      <c r="K253" s="5"/>
      <c r="L253" s="55"/>
      <c r="N253" s="5"/>
      <c r="O253" s="5"/>
      <c r="P253" s="4"/>
    </row>
    <row r="254" spans="1:16" ht="16.5" thickBot="1">
      <c r="A254" s="1"/>
      <c r="B254" s="2"/>
      <c r="C254" s="11"/>
      <c r="D254" s="18" t="s">
        <v>109</v>
      </c>
      <c r="E254" s="18" t="s">
        <v>126</v>
      </c>
      <c r="F254" s="5"/>
      <c r="G254" s="18" t="s">
        <v>127</v>
      </c>
      <c r="H254" s="5"/>
      <c r="I254" s="18" t="s">
        <v>128</v>
      </c>
      <c r="J254" s="5"/>
      <c r="K254" s="5"/>
      <c r="L254" s="55"/>
      <c r="N254" s="5"/>
      <c r="O254" s="5"/>
      <c r="P254" s="4"/>
    </row>
    <row r="255" spans="1:16">
      <c r="A255" s="1">
        <v>22</v>
      </c>
      <c r="B255" s="2" t="s">
        <v>129</v>
      </c>
      <c r="C255" s="11" t="s">
        <v>777</v>
      </c>
      <c r="D255" s="47">
        <f>'Capital Structure'!H24-'Capital Structure'!I24</f>
        <v>21904906.461538464</v>
      </c>
      <c r="E255" s="94">
        <f>IF($D$257&gt;0,D255/$D$257,0)</f>
        <v>0.33466971047677457</v>
      </c>
      <c r="F255" s="95"/>
      <c r="G255" s="96">
        <f>IF(D255&gt;0,D252/D255,0)</f>
        <v>4.0858426013892266E-2</v>
      </c>
      <c r="I255" s="95">
        <f>G255*E255</f>
        <v>1.3674077604606039E-2</v>
      </c>
      <c r="J255" s="98" t="s">
        <v>130</v>
      </c>
      <c r="K255" s="5"/>
      <c r="L255" s="56"/>
      <c r="N255" s="5"/>
      <c r="O255" s="5"/>
      <c r="P255" s="4"/>
    </row>
    <row r="256" spans="1:16" ht="16.5" thickBot="1">
      <c r="A256" s="1">
        <v>23</v>
      </c>
      <c r="B256" s="2" t="s">
        <v>131</v>
      </c>
      <c r="C256" s="11" t="s">
        <v>776</v>
      </c>
      <c r="D256" s="46">
        <f>'Capital Structure'!J24</f>
        <v>43547406</v>
      </c>
      <c r="E256" s="120">
        <f>IF($D$257&gt;0,D256/$D$257,0)</f>
        <v>0.66533028952322537</v>
      </c>
      <c r="F256" s="95"/>
      <c r="G256" s="95">
        <f>I259</f>
        <v>0.12379999999999999</v>
      </c>
      <c r="I256" s="97">
        <f>G256*E256</f>
        <v>8.23678898429753E-2</v>
      </c>
      <c r="L256" s="56"/>
      <c r="N256" s="5"/>
      <c r="O256" s="5"/>
      <c r="P256" s="4"/>
    </row>
    <row r="257" spans="1:16">
      <c r="A257" s="1">
        <v>24</v>
      </c>
      <c r="B257" s="2" t="s">
        <v>171</v>
      </c>
      <c r="C257" s="11"/>
      <c r="D257" s="5">
        <f>SUM(D255:D256)</f>
        <v>65452312.461538464</v>
      </c>
      <c r="E257" s="300">
        <f>SUM(E255+E256)</f>
        <v>1</v>
      </c>
      <c r="F257" s="95"/>
      <c r="G257" s="95"/>
      <c r="I257" s="95">
        <f>SUM(I255:I256)</f>
        <v>9.6041967447581339E-2</v>
      </c>
      <c r="J257" s="98" t="s">
        <v>132</v>
      </c>
      <c r="L257" s="55"/>
      <c r="N257" s="5"/>
      <c r="O257" s="5"/>
      <c r="P257" s="4"/>
    </row>
    <row r="258" spans="1:16">
      <c r="A258" s="1" t="s">
        <v>2</v>
      </c>
      <c r="B258" s="4"/>
      <c r="D258" s="5"/>
      <c r="E258" s="5" t="s">
        <v>2</v>
      </c>
      <c r="F258" s="5"/>
      <c r="G258" s="5"/>
      <c r="H258" s="5"/>
      <c r="I258" s="95"/>
      <c r="L258" s="55"/>
      <c r="N258" s="5"/>
      <c r="O258" s="5"/>
      <c r="P258" s="4"/>
    </row>
    <row r="259" spans="1:16">
      <c r="A259" s="1">
        <v>25</v>
      </c>
      <c r="E259" s="5"/>
      <c r="F259" s="5"/>
      <c r="G259" s="5"/>
      <c r="H259" s="53" t="s">
        <v>215</v>
      </c>
      <c r="I259" s="99">
        <v>0.12379999999999999</v>
      </c>
      <c r="L259" s="55"/>
      <c r="N259" s="5"/>
      <c r="O259" s="5"/>
      <c r="P259" s="4"/>
    </row>
    <row r="260" spans="1:16">
      <c r="A260" s="1">
        <v>26</v>
      </c>
      <c r="H260" s="71" t="s">
        <v>216</v>
      </c>
      <c r="I260" s="86">
        <f>IF(G255&gt;0,I257/G255,0)</f>
        <v>2.3506037020350741</v>
      </c>
      <c r="L260" s="55"/>
      <c r="N260" s="5"/>
      <c r="O260" s="5"/>
      <c r="P260" s="4"/>
    </row>
    <row r="261" spans="1:16">
      <c r="A261" s="1"/>
      <c r="B261" s="2" t="s">
        <v>133</v>
      </c>
      <c r="C261" s="11"/>
      <c r="D261" s="11"/>
      <c r="E261" s="11"/>
      <c r="F261" s="11"/>
      <c r="G261" s="11"/>
      <c r="H261" s="11"/>
      <c r="I261" s="11"/>
      <c r="K261" s="5"/>
      <c r="L261" s="55"/>
      <c r="N261" s="5"/>
      <c r="O261" s="5"/>
      <c r="P261" s="4"/>
    </row>
    <row r="262" spans="1:16" ht="16.5" thickBot="1">
      <c r="A262" s="1"/>
      <c r="B262" s="2"/>
      <c r="C262" s="2"/>
      <c r="D262" s="2"/>
      <c r="E262" s="2"/>
      <c r="F262" s="2"/>
      <c r="G262" s="2"/>
      <c r="H262" s="2"/>
      <c r="I262" s="18" t="s">
        <v>134</v>
      </c>
      <c r="J262" s="11"/>
      <c r="K262" s="11"/>
      <c r="L262" s="55"/>
      <c r="N262" s="5"/>
      <c r="O262" s="5"/>
      <c r="P262" s="4"/>
    </row>
    <row r="263" spans="1:16">
      <c r="A263" s="1"/>
      <c r="B263" s="2" t="s">
        <v>135</v>
      </c>
      <c r="C263" s="11"/>
      <c r="D263" s="11"/>
      <c r="E263" s="11"/>
      <c r="F263" s="11"/>
      <c r="G263" s="100" t="s">
        <v>2</v>
      </c>
      <c r="H263" s="67"/>
      <c r="I263" s="101"/>
      <c r="J263" s="2"/>
      <c r="K263" s="2"/>
      <c r="L263" s="55"/>
      <c r="N263" s="5"/>
      <c r="O263" s="5"/>
      <c r="P263" s="4"/>
    </row>
    <row r="264" spans="1:16">
      <c r="A264" s="1">
        <v>27</v>
      </c>
      <c r="B264" s="3" t="s">
        <v>136</v>
      </c>
      <c r="C264" s="11"/>
      <c r="D264" s="11"/>
      <c r="E264" s="11" t="s">
        <v>137</v>
      </c>
      <c r="F264" s="11"/>
      <c r="H264" s="67"/>
      <c r="I264" s="47">
        <v>0</v>
      </c>
      <c r="J264" s="2"/>
      <c r="K264" s="2"/>
      <c r="L264" s="55"/>
      <c r="N264" s="50"/>
      <c r="O264" s="5"/>
      <c r="P264" s="4"/>
    </row>
    <row r="265" spans="1:16" ht="16.5" thickBot="1">
      <c r="A265" s="1">
        <v>28</v>
      </c>
      <c r="B265" s="51" t="s">
        <v>172</v>
      </c>
      <c r="C265" s="74"/>
      <c r="D265" s="76"/>
      <c r="E265" s="107"/>
      <c r="F265" s="107"/>
      <c r="G265" s="107"/>
      <c r="H265" s="11"/>
      <c r="I265" s="46">
        <v>0</v>
      </c>
      <c r="J265" s="2"/>
      <c r="K265" s="2"/>
      <c r="L265" s="55"/>
      <c r="N265" s="2"/>
      <c r="O265" s="5"/>
      <c r="P265" s="4"/>
    </row>
    <row r="266" spans="1:16">
      <c r="A266" s="1">
        <v>29</v>
      </c>
      <c r="B266" s="3" t="s">
        <v>138</v>
      </c>
      <c r="C266" s="12"/>
      <c r="D266" s="76"/>
      <c r="E266" s="107"/>
      <c r="F266" s="107"/>
      <c r="G266" s="107"/>
      <c r="H266" s="11"/>
      <c r="I266" s="47">
        <f>+I264-I265</f>
        <v>0</v>
      </c>
      <c r="J266" s="2"/>
      <c r="K266" s="2"/>
      <c r="L266" s="55"/>
      <c r="N266" s="2"/>
      <c r="O266" s="5"/>
      <c r="P266" s="4"/>
    </row>
    <row r="267" spans="1:16">
      <c r="A267" s="1"/>
      <c r="B267" s="3" t="s">
        <v>2</v>
      </c>
      <c r="C267" s="12"/>
      <c r="D267" s="76"/>
      <c r="E267" s="107"/>
      <c r="F267" s="107"/>
      <c r="G267" s="121"/>
      <c r="H267" s="11"/>
      <c r="I267" s="102" t="s">
        <v>2</v>
      </c>
      <c r="J267" s="2"/>
      <c r="K267" s="2"/>
      <c r="L267" s="55"/>
      <c r="N267" s="2"/>
      <c r="O267" s="5"/>
      <c r="P267" s="4"/>
    </row>
    <row r="268" spans="1:16">
      <c r="A268" s="1">
        <v>30</v>
      </c>
      <c r="B268" s="2" t="s">
        <v>255</v>
      </c>
      <c r="C268" s="12"/>
      <c r="D268" s="76"/>
      <c r="E268" s="107"/>
      <c r="F268" s="107"/>
      <c r="G268" s="121"/>
      <c r="H268" s="11"/>
      <c r="I268" s="103">
        <f>'Account 454'!B14</f>
        <v>0</v>
      </c>
      <c r="J268" s="2"/>
      <c r="K268" s="2"/>
      <c r="L268" s="56"/>
      <c r="N268" s="2"/>
      <c r="O268" s="5"/>
      <c r="P268" s="4"/>
    </row>
    <row r="269" spans="1:16">
      <c r="A269" s="1"/>
      <c r="C269" s="11"/>
      <c r="D269" s="107"/>
      <c r="E269" s="107"/>
      <c r="F269" s="107"/>
      <c r="G269" s="107"/>
      <c r="H269" s="11"/>
      <c r="I269" s="102"/>
      <c r="J269" s="2"/>
      <c r="K269" s="2"/>
      <c r="L269" s="56"/>
      <c r="N269" s="2"/>
      <c r="O269" s="5"/>
      <c r="P269" s="4"/>
    </row>
    <row r="270" spans="1:16">
      <c r="B270" s="2" t="s">
        <v>207</v>
      </c>
      <c r="C270" s="11"/>
      <c r="D270" s="107"/>
      <c r="E270" s="107"/>
      <c r="F270" s="107"/>
      <c r="G270" s="107"/>
      <c r="H270" s="11"/>
      <c r="J270" s="2"/>
      <c r="K270" s="2"/>
      <c r="L270" s="56"/>
      <c r="N270" s="2"/>
      <c r="O270" s="5"/>
      <c r="P270" s="4"/>
    </row>
    <row r="271" spans="1:16">
      <c r="A271" s="1">
        <v>31</v>
      </c>
      <c r="B271" s="2" t="s">
        <v>139</v>
      </c>
      <c r="C271" s="5"/>
      <c r="D271" s="6"/>
      <c r="E271" s="6"/>
      <c r="F271" s="6"/>
      <c r="G271" s="6"/>
      <c r="H271" s="5"/>
      <c r="I271" s="105">
        <f>'Account 456.1'!C20</f>
        <v>0</v>
      </c>
      <c r="J271" s="2"/>
      <c r="K271" s="2"/>
      <c r="L271" s="383"/>
      <c r="N271" s="2"/>
      <c r="O271" s="5"/>
      <c r="P271" s="4"/>
    </row>
    <row r="272" spans="1:16">
      <c r="A272" s="1">
        <v>32</v>
      </c>
      <c r="B272" s="106" t="s">
        <v>173</v>
      </c>
      <c r="C272" s="107"/>
      <c r="D272" s="107"/>
      <c r="E272" s="107"/>
      <c r="F272" s="107"/>
      <c r="G272" s="107"/>
      <c r="H272" s="11"/>
      <c r="I272" s="105">
        <f>'Account 456.1'!C21</f>
        <v>0</v>
      </c>
      <c r="J272" s="2"/>
      <c r="K272" s="2"/>
      <c r="L272" s="384"/>
      <c r="N272" s="2"/>
      <c r="O272" s="5"/>
      <c r="P272" s="4"/>
    </row>
    <row r="273" spans="1:17">
      <c r="A273" s="1" t="s">
        <v>209</v>
      </c>
      <c r="B273" s="151" t="s">
        <v>309</v>
      </c>
      <c r="C273" s="152"/>
      <c r="D273" s="107"/>
      <c r="E273" s="107"/>
      <c r="F273" s="107"/>
      <c r="G273" s="107"/>
      <c r="H273" s="11"/>
      <c r="I273" s="105">
        <f>'Account 456.1'!C22</f>
        <v>0</v>
      </c>
      <c r="J273" s="2"/>
      <c r="K273" s="2"/>
      <c r="L273" s="50"/>
      <c r="N273" s="2"/>
      <c r="O273" s="5"/>
      <c r="P273" s="4"/>
    </row>
    <row r="274" spans="1:17" ht="16.5" thickBot="1">
      <c r="A274" s="1" t="s">
        <v>288</v>
      </c>
      <c r="B274" s="153" t="s">
        <v>310</v>
      </c>
      <c r="C274" s="154"/>
      <c r="D274" s="107"/>
      <c r="E274" s="107"/>
      <c r="F274" s="107"/>
      <c r="G274" s="107"/>
      <c r="H274" s="11"/>
      <c r="I274" s="136">
        <f>'Account 456.1'!C23</f>
        <v>0</v>
      </c>
      <c r="J274" s="2"/>
      <c r="K274" s="2"/>
      <c r="L274" s="50"/>
      <c r="N274" s="2"/>
      <c r="O274" s="5"/>
      <c r="P274" s="4"/>
    </row>
    <row r="275" spans="1:17" s="67" customFormat="1">
      <c r="A275" s="1">
        <v>33</v>
      </c>
      <c r="B275" s="3" t="s">
        <v>289</v>
      </c>
      <c r="C275" s="1"/>
      <c r="D275" s="6"/>
      <c r="E275" s="6"/>
      <c r="F275" s="6"/>
      <c r="G275" s="6"/>
      <c r="H275" s="11"/>
      <c r="I275" s="109">
        <f>+I271-I272-I273-I274</f>
        <v>0</v>
      </c>
      <c r="J275" s="2"/>
      <c r="K275" s="2"/>
      <c r="L275" s="104" t="s">
        <v>191</v>
      </c>
      <c r="M275" s="3"/>
      <c r="N275" s="2"/>
      <c r="O275" s="12"/>
      <c r="P275" s="4"/>
      <c r="Q275" s="3"/>
    </row>
    <row r="276" spans="1:17">
      <c r="A276" s="1"/>
      <c r="B276" s="111"/>
      <c r="C276" s="1"/>
      <c r="D276" s="6"/>
      <c r="E276" s="6"/>
      <c r="F276" s="6"/>
      <c r="G276" s="6"/>
      <c r="H276" s="11"/>
      <c r="I276" s="109"/>
      <c r="J276" s="2"/>
      <c r="K276" s="2"/>
      <c r="L276" s="104" t="s">
        <v>192</v>
      </c>
      <c r="M276" s="67"/>
      <c r="N276" s="108"/>
      <c r="O276" s="69"/>
      <c r="P276" s="110"/>
      <c r="Q276" s="67"/>
    </row>
    <row r="277" spans="1:17">
      <c r="A277" s="1"/>
      <c r="B277" s="111"/>
      <c r="C277" s="1"/>
      <c r="D277" s="6"/>
      <c r="E277" s="6"/>
      <c r="F277" s="6"/>
      <c r="G277" s="6"/>
      <c r="H277" s="11"/>
      <c r="I277" s="109"/>
      <c r="J277" s="2"/>
      <c r="K277" s="2"/>
      <c r="L277" s="104"/>
      <c r="N277" s="2"/>
      <c r="O277" s="12"/>
      <c r="P277" s="4"/>
    </row>
    <row r="278" spans="1:17">
      <c r="A278" s="1"/>
      <c r="B278" s="111"/>
      <c r="C278" s="1"/>
      <c r="D278" s="6"/>
      <c r="E278" s="6"/>
      <c r="F278" s="6"/>
      <c r="G278" s="6"/>
      <c r="H278" s="11"/>
      <c r="I278" s="109"/>
      <c r="J278" s="2"/>
      <c r="K278" s="2"/>
      <c r="L278" s="104"/>
      <c r="N278" s="2"/>
      <c r="O278" s="12"/>
      <c r="P278" s="4"/>
    </row>
    <row r="279" spans="1:17">
      <c r="A279" s="1"/>
      <c r="B279" s="111"/>
      <c r="C279" s="1"/>
      <c r="D279" s="6"/>
      <c r="E279" s="6"/>
      <c r="F279" s="6"/>
      <c r="G279" s="6"/>
      <c r="H279" s="11"/>
      <c r="I279" s="109"/>
      <c r="J279" s="2"/>
      <c r="K279" s="2"/>
      <c r="L279" s="104"/>
      <c r="N279" s="2"/>
      <c r="O279" s="12"/>
      <c r="P279" s="4"/>
    </row>
    <row r="280" spans="1:17">
      <c r="B280" s="2"/>
      <c r="C280" s="2"/>
      <c r="E280" s="2"/>
      <c r="F280" s="2"/>
      <c r="G280" s="2"/>
      <c r="H280" s="11"/>
      <c r="I280" s="11"/>
      <c r="K280" s="13" t="s">
        <v>187</v>
      </c>
      <c r="L280" s="12"/>
      <c r="N280" s="12"/>
      <c r="O280" s="12"/>
      <c r="P280" s="12"/>
    </row>
    <row r="281" spans="1:17">
      <c r="A281" s="1"/>
      <c r="B281" s="111" t="str">
        <f>B3</f>
        <v xml:space="preserve">Formula Rate - Non-Levelized </v>
      </c>
      <c r="C281" s="536" t="str">
        <f>D3</f>
        <v xml:space="preserve">   Rate Formula Template</v>
      </c>
      <c r="D281" s="536"/>
      <c r="E281" s="5"/>
      <c r="F281" s="5"/>
      <c r="G281" s="5"/>
      <c r="H281" s="112"/>
      <c r="J281" s="12"/>
      <c r="K281" s="113" t="str">
        <f>K3</f>
        <v>For the 12 months ended 12/31/15</v>
      </c>
      <c r="L281" s="12"/>
      <c r="N281" s="12"/>
      <c r="O281" s="12"/>
      <c r="P281" s="12"/>
    </row>
    <row r="282" spans="1:17">
      <c r="A282" s="1"/>
      <c r="B282" s="111"/>
      <c r="C282" s="1"/>
      <c r="D282" s="5" t="str">
        <f>D4</f>
        <v>Utilizing EIA Form 412 Data</v>
      </c>
      <c r="E282" s="5"/>
      <c r="F282" s="5"/>
      <c r="G282" s="5"/>
      <c r="H282" s="11"/>
      <c r="I282" s="114"/>
      <c r="J282" s="101"/>
      <c r="K282" s="115"/>
      <c r="L282" s="12"/>
      <c r="N282" s="12"/>
      <c r="O282" s="12"/>
      <c r="P282" s="12"/>
    </row>
    <row r="283" spans="1:17">
      <c r="A283" s="1"/>
      <c r="B283" s="111"/>
      <c r="C283" s="1"/>
      <c r="D283" s="5" t="str">
        <f>D6</f>
        <v xml:space="preserve">Marshall (Minnesota) Municipal Utilities </v>
      </c>
      <c r="E283" s="5"/>
      <c r="F283" s="5"/>
      <c r="G283" s="5"/>
      <c r="H283" s="11"/>
      <c r="I283" s="114"/>
      <c r="J283" s="101"/>
      <c r="K283" s="115"/>
      <c r="L283" s="12"/>
      <c r="N283" s="12"/>
      <c r="O283" s="12"/>
      <c r="P283" s="12"/>
    </row>
    <row r="284" spans="1:17">
      <c r="A284" s="1"/>
      <c r="B284" s="2" t="s">
        <v>140</v>
      </c>
      <c r="C284" s="1"/>
      <c r="D284" s="5"/>
      <c r="E284" s="5"/>
      <c r="F284" s="5"/>
      <c r="G284" s="5"/>
      <c r="H284" s="11"/>
      <c r="I284" s="5"/>
      <c r="J284" s="101"/>
      <c r="K284" s="115"/>
      <c r="L284" s="12"/>
      <c r="N284" s="1"/>
      <c r="O284" s="12"/>
      <c r="P284" s="4"/>
    </row>
    <row r="285" spans="1:17">
      <c r="A285" s="1"/>
      <c r="B285" s="119" t="s">
        <v>221</v>
      </c>
      <c r="C285" s="1"/>
      <c r="D285" s="5"/>
      <c r="E285" s="5"/>
      <c r="F285" s="5"/>
      <c r="G285" s="5"/>
      <c r="H285" s="11"/>
      <c r="I285" s="5"/>
      <c r="J285" s="11"/>
      <c r="K285" s="5"/>
      <c r="L285" s="12"/>
      <c r="N285" s="1"/>
      <c r="O285" s="12"/>
      <c r="P285" s="4"/>
    </row>
    <row r="286" spans="1:17">
      <c r="B286" s="119" t="s">
        <v>220</v>
      </c>
      <c r="C286" s="1"/>
      <c r="D286" s="5"/>
      <c r="E286" s="5"/>
      <c r="F286" s="5"/>
      <c r="G286" s="5"/>
      <c r="H286" s="11"/>
      <c r="I286" s="5"/>
      <c r="J286" s="11"/>
      <c r="K286" s="5"/>
      <c r="L286" s="12"/>
      <c r="N286" s="1"/>
      <c r="O286" s="12"/>
      <c r="P286" s="12"/>
    </row>
    <row r="287" spans="1:17">
      <c r="A287" s="1" t="s">
        <v>141</v>
      </c>
      <c r="B287" s="2" t="s">
        <v>219</v>
      </c>
      <c r="C287" s="11"/>
      <c r="D287" s="5"/>
      <c r="E287" s="5"/>
      <c r="F287" s="5"/>
      <c r="G287" s="26"/>
      <c r="H287" s="11"/>
      <c r="I287" s="5"/>
      <c r="J287" s="11"/>
      <c r="K287" s="5"/>
      <c r="L287" s="12"/>
      <c r="N287" s="1"/>
      <c r="O287" s="12"/>
      <c r="P287" s="12"/>
    </row>
    <row r="288" spans="1:17" ht="16.5" thickBot="1">
      <c r="A288" s="18" t="s">
        <v>142</v>
      </c>
      <c r="C288" s="11"/>
      <c r="D288" s="5"/>
      <c r="E288" s="5"/>
      <c r="F288" s="5"/>
      <c r="G288" s="5"/>
      <c r="H288" s="11"/>
      <c r="I288" s="5"/>
      <c r="J288" s="11"/>
      <c r="K288" s="5"/>
      <c r="L288" s="12"/>
      <c r="N288" s="1"/>
      <c r="O288" s="12"/>
      <c r="P288" s="12"/>
    </row>
    <row r="289" spans="1:16" ht="32.25" customHeight="1">
      <c r="A289" s="126" t="s">
        <v>143</v>
      </c>
      <c r="B289" s="532" t="s">
        <v>282</v>
      </c>
      <c r="C289" s="532"/>
      <c r="D289" s="532"/>
      <c r="E289" s="532"/>
      <c r="F289" s="532"/>
      <c r="G289" s="532"/>
      <c r="H289" s="532"/>
      <c r="I289" s="532"/>
      <c r="J289" s="532"/>
      <c r="K289" s="532"/>
      <c r="L289" s="12"/>
      <c r="N289" s="1"/>
      <c r="O289" s="12"/>
      <c r="P289" s="12"/>
    </row>
    <row r="290" spans="1:16" ht="63" customHeight="1">
      <c r="A290" s="126" t="s">
        <v>144</v>
      </c>
      <c r="B290" s="532" t="s">
        <v>283</v>
      </c>
      <c r="C290" s="532"/>
      <c r="D290" s="532"/>
      <c r="E290" s="532"/>
      <c r="F290" s="532"/>
      <c r="G290" s="532"/>
      <c r="H290" s="532"/>
      <c r="I290" s="532"/>
      <c r="J290" s="532"/>
      <c r="K290" s="532"/>
      <c r="L290" s="12"/>
      <c r="N290" s="1"/>
      <c r="O290" s="12"/>
      <c r="P290" s="12"/>
    </row>
    <row r="291" spans="1:16">
      <c r="A291" s="126" t="s">
        <v>145</v>
      </c>
      <c r="B291" s="532" t="s">
        <v>284</v>
      </c>
      <c r="C291" s="532"/>
      <c r="D291" s="532"/>
      <c r="E291" s="532"/>
      <c r="F291" s="532"/>
      <c r="G291" s="532"/>
      <c r="H291" s="532"/>
      <c r="I291" s="532"/>
      <c r="J291" s="532"/>
      <c r="K291" s="532"/>
      <c r="L291" s="12"/>
      <c r="N291" s="1"/>
      <c r="O291" s="12"/>
      <c r="P291" s="12"/>
    </row>
    <row r="292" spans="1:16">
      <c r="A292" s="126" t="s">
        <v>146</v>
      </c>
      <c r="B292" s="532" t="s">
        <v>284</v>
      </c>
      <c r="C292" s="532"/>
      <c r="D292" s="532"/>
      <c r="E292" s="532"/>
      <c r="F292" s="532"/>
      <c r="G292" s="532"/>
      <c r="H292" s="532"/>
      <c r="I292" s="532"/>
      <c r="J292" s="532"/>
      <c r="K292" s="532"/>
      <c r="L292" s="12"/>
      <c r="N292" s="1"/>
      <c r="O292" s="12"/>
      <c r="P292" s="12"/>
    </row>
    <row r="293" spans="1:16">
      <c r="A293" s="126" t="s">
        <v>147</v>
      </c>
      <c r="B293" s="532" t="s">
        <v>297</v>
      </c>
      <c r="C293" s="532"/>
      <c r="D293" s="532"/>
      <c r="E293" s="532"/>
      <c r="F293" s="532"/>
      <c r="G293" s="532"/>
      <c r="H293" s="532"/>
      <c r="I293" s="532"/>
      <c r="J293" s="532"/>
      <c r="K293" s="532"/>
      <c r="L293" s="12"/>
      <c r="N293" s="1"/>
      <c r="O293" s="12"/>
      <c r="P293" s="12"/>
    </row>
    <row r="294" spans="1:16" ht="48" customHeight="1">
      <c r="A294" s="126" t="s">
        <v>148</v>
      </c>
      <c r="B294" s="531" t="s">
        <v>257</v>
      </c>
      <c r="C294" s="531"/>
      <c r="D294" s="531"/>
      <c r="E294" s="531"/>
      <c r="F294" s="531"/>
      <c r="G294" s="531"/>
      <c r="H294" s="531"/>
      <c r="I294" s="531"/>
      <c r="J294" s="531"/>
      <c r="K294" s="531"/>
      <c r="L294" s="12"/>
      <c r="N294" s="1"/>
      <c r="O294" s="12"/>
      <c r="P294" s="12"/>
    </row>
    <row r="295" spans="1:16">
      <c r="A295" s="126" t="s">
        <v>149</v>
      </c>
      <c r="B295" s="531" t="s">
        <v>179</v>
      </c>
      <c r="C295" s="531"/>
      <c r="D295" s="531"/>
      <c r="E295" s="531"/>
      <c r="F295" s="531"/>
      <c r="G295" s="531"/>
      <c r="H295" s="531"/>
      <c r="I295" s="531"/>
      <c r="J295" s="531"/>
      <c r="K295" s="531"/>
      <c r="L295" s="12"/>
      <c r="N295" s="1"/>
      <c r="O295" s="12"/>
      <c r="P295" s="12"/>
    </row>
    <row r="296" spans="1:16" ht="32.25" customHeight="1">
      <c r="A296" s="126" t="s">
        <v>150</v>
      </c>
      <c r="B296" s="531" t="s">
        <v>258</v>
      </c>
      <c r="C296" s="531"/>
      <c r="D296" s="531"/>
      <c r="E296" s="531"/>
      <c r="F296" s="531"/>
      <c r="G296" s="531"/>
      <c r="H296" s="531"/>
      <c r="I296" s="531"/>
      <c r="J296" s="531"/>
      <c r="K296" s="531"/>
      <c r="L296" s="12"/>
      <c r="N296" s="1"/>
      <c r="O296" s="12"/>
      <c r="P296" s="12"/>
    </row>
    <row r="297" spans="1:16" ht="32.25" customHeight="1">
      <c r="A297" s="126" t="s">
        <v>151</v>
      </c>
      <c r="B297" s="532" t="s">
        <v>259</v>
      </c>
      <c r="C297" s="532"/>
      <c r="D297" s="532"/>
      <c r="E297" s="532"/>
      <c r="F297" s="532"/>
      <c r="G297" s="532"/>
      <c r="H297" s="532"/>
      <c r="I297" s="532"/>
      <c r="J297" s="532"/>
      <c r="K297" s="532"/>
      <c r="L297" s="12"/>
      <c r="N297" s="1"/>
      <c r="O297" s="12"/>
      <c r="P297" s="12"/>
    </row>
    <row r="298" spans="1:16" ht="32.25" customHeight="1">
      <c r="A298" s="126" t="s">
        <v>152</v>
      </c>
      <c r="B298" s="531" t="s">
        <v>260</v>
      </c>
      <c r="C298" s="531"/>
      <c r="D298" s="531"/>
      <c r="E298" s="531"/>
      <c r="F298" s="531"/>
      <c r="G298" s="531"/>
      <c r="H298" s="531"/>
      <c r="I298" s="531"/>
      <c r="J298" s="531"/>
      <c r="K298" s="531"/>
      <c r="L298" s="12"/>
      <c r="N298" s="1"/>
      <c r="O298" s="36"/>
      <c r="P298" s="12"/>
    </row>
    <row r="299" spans="1:16" ht="69" customHeight="1">
      <c r="A299" s="126" t="s">
        <v>153</v>
      </c>
      <c r="B299" s="531" t="s">
        <v>261</v>
      </c>
      <c r="C299" s="531"/>
      <c r="D299" s="531"/>
      <c r="E299" s="531"/>
      <c r="F299" s="531"/>
      <c r="G299" s="531"/>
      <c r="H299" s="531"/>
      <c r="I299" s="531"/>
      <c r="J299" s="531"/>
      <c r="K299" s="531"/>
      <c r="L299" s="12"/>
      <c r="N299" s="1"/>
      <c r="O299" s="12"/>
      <c r="P299" s="12"/>
    </row>
    <row r="300" spans="1:16">
      <c r="A300" s="126" t="s">
        <v>2</v>
      </c>
      <c r="B300" s="135" t="s">
        <v>256</v>
      </c>
      <c r="C300" s="129" t="s">
        <v>154</v>
      </c>
      <c r="D300" s="130">
        <v>0</v>
      </c>
      <c r="E300" s="129"/>
      <c r="F300" s="128"/>
      <c r="G300" s="128"/>
      <c r="H300" s="127"/>
      <c r="I300" s="128"/>
      <c r="J300" s="127"/>
      <c r="K300" s="128"/>
      <c r="L300" s="12"/>
      <c r="N300" s="1"/>
      <c r="O300" s="12"/>
      <c r="P300" s="12"/>
    </row>
    <row r="301" spans="1:16">
      <c r="A301" s="126"/>
      <c r="B301" s="129"/>
      <c r="C301" s="129" t="s">
        <v>155</v>
      </c>
      <c r="D301" s="130">
        <v>0</v>
      </c>
      <c r="E301" s="531" t="s">
        <v>156</v>
      </c>
      <c r="F301" s="531"/>
      <c r="G301" s="531"/>
      <c r="H301" s="531"/>
      <c r="I301" s="531"/>
      <c r="J301" s="531"/>
      <c r="K301" s="531"/>
      <c r="N301" s="1"/>
      <c r="O301" s="12"/>
      <c r="P301" s="12"/>
    </row>
    <row r="302" spans="1:16">
      <c r="A302" s="126"/>
      <c r="B302" s="129"/>
      <c r="C302" s="129" t="s">
        <v>157</v>
      </c>
      <c r="D302" s="130">
        <v>0</v>
      </c>
      <c r="E302" s="531" t="s">
        <v>158</v>
      </c>
      <c r="F302" s="531"/>
      <c r="G302" s="531"/>
      <c r="H302" s="531"/>
      <c r="I302" s="531"/>
      <c r="J302" s="531"/>
      <c r="K302" s="531"/>
      <c r="L302" s="12"/>
      <c r="N302" s="1"/>
      <c r="O302" s="12"/>
      <c r="P302" s="12"/>
    </row>
    <row r="303" spans="1:16">
      <c r="A303" s="126" t="s">
        <v>159</v>
      </c>
      <c r="B303" s="531" t="s">
        <v>208</v>
      </c>
      <c r="C303" s="531"/>
      <c r="D303" s="531"/>
      <c r="E303" s="531"/>
      <c r="F303" s="531"/>
      <c r="G303" s="531"/>
      <c r="H303" s="531"/>
      <c r="I303" s="531"/>
      <c r="J303" s="531"/>
      <c r="K303" s="531"/>
      <c r="L303" s="12"/>
      <c r="N303" s="1"/>
      <c r="O303" s="12"/>
      <c r="P303" s="12"/>
    </row>
    <row r="304" spans="1:16" ht="32.25" customHeight="1">
      <c r="A304" s="126" t="s">
        <v>160</v>
      </c>
      <c r="B304" s="531" t="s">
        <v>292</v>
      </c>
      <c r="C304" s="531"/>
      <c r="D304" s="531"/>
      <c r="E304" s="531"/>
      <c r="F304" s="531"/>
      <c r="G304" s="531"/>
      <c r="H304" s="531"/>
      <c r="I304" s="531"/>
      <c r="J304" s="531"/>
      <c r="K304" s="531"/>
      <c r="L304" s="116" t="s">
        <v>190</v>
      </c>
      <c r="N304" s="1"/>
      <c r="O304" s="12"/>
      <c r="P304" s="12"/>
    </row>
    <row r="305" spans="1:16" ht="48" customHeight="1">
      <c r="A305" s="126" t="s">
        <v>161</v>
      </c>
      <c r="B305" s="531" t="s">
        <v>279</v>
      </c>
      <c r="C305" s="531"/>
      <c r="D305" s="531"/>
      <c r="E305" s="531"/>
      <c r="F305" s="531"/>
      <c r="G305" s="531"/>
      <c r="H305" s="531"/>
      <c r="I305" s="531"/>
      <c r="J305" s="531"/>
      <c r="K305" s="531"/>
      <c r="L305" s="12"/>
      <c r="N305" s="1"/>
      <c r="O305" s="12"/>
      <c r="P305" s="12"/>
    </row>
    <row r="306" spans="1:16">
      <c r="A306" s="126" t="s">
        <v>162</v>
      </c>
      <c r="B306" s="531" t="s">
        <v>180</v>
      </c>
      <c r="C306" s="531"/>
      <c r="D306" s="531"/>
      <c r="E306" s="531"/>
      <c r="F306" s="531"/>
      <c r="G306" s="531"/>
      <c r="H306" s="531"/>
      <c r="I306" s="531"/>
      <c r="J306" s="531"/>
      <c r="K306" s="531"/>
      <c r="L306" s="12"/>
      <c r="N306" s="1"/>
      <c r="O306" s="36"/>
      <c r="P306" s="12"/>
    </row>
    <row r="307" spans="1:16" ht="34.5" customHeight="1">
      <c r="A307" s="126" t="s">
        <v>163</v>
      </c>
      <c r="B307" s="532" t="s">
        <v>262</v>
      </c>
      <c r="C307" s="532"/>
      <c r="D307" s="532"/>
      <c r="E307" s="532"/>
      <c r="F307" s="532"/>
      <c r="G307" s="532"/>
      <c r="H307" s="532"/>
      <c r="I307" s="532"/>
      <c r="J307" s="532"/>
      <c r="K307" s="532"/>
      <c r="L307" s="12"/>
      <c r="N307" s="1"/>
      <c r="O307" s="36"/>
      <c r="P307" s="12"/>
    </row>
    <row r="308" spans="1:16" ht="32.25" customHeight="1">
      <c r="A308" s="126" t="s">
        <v>164</v>
      </c>
      <c r="B308" s="531" t="s">
        <v>263</v>
      </c>
      <c r="C308" s="531"/>
      <c r="D308" s="531"/>
      <c r="E308" s="531"/>
      <c r="F308" s="531"/>
      <c r="G308" s="531"/>
      <c r="H308" s="531"/>
      <c r="I308" s="531"/>
      <c r="J308" s="531"/>
      <c r="K308" s="531"/>
      <c r="L308" s="12"/>
      <c r="N308" s="1"/>
      <c r="O308" s="12"/>
      <c r="P308" s="12"/>
    </row>
    <row r="309" spans="1:16">
      <c r="A309" s="126" t="s">
        <v>165</v>
      </c>
      <c r="B309" s="531" t="s">
        <v>166</v>
      </c>
      <c r="C309" s="531"/>
      <c r="D309" s="531"/>
      <c r="E309" s="531"/>
      <c r="F309" s="531"/>
      <c r="G309" s="531"/>
      <c r="H309" s="531"/>
      <c r="I309" s="531"/>
      <c r="J309" s="531"/>
      <c r="K309" s="531"/>
      <c r="L309" s="12"/>
      <c r="N309" s="1"/>
      <c r="O309" s="12"/>
      <c r="P309" s="12"/>
    </row>
    <row r="310" spans="1:16" ht="48" customHeight="1">
      <c r="A310" s="126" t="s">
        <v>181</v>
      </c>
      <c r="B310" s="531" t="s">
        <v>264</v>
      </c>
      <c r="C310" s="531"/>
      <c r="D310" s="531"/>
      <c r="E310" s="531"/>
      <c r="F310" s="531"/>
      <c r="G310" s="531"/>
      <c r="H310" s="531"/>
      <c r="I310" s="531"/>
      <c r="J310" s="531"/>
      <c r="K310" s="531"/>
      <c r="L310" s="12"/>
      <c r="N310" s="1"/>
      <c r="O310" s="12"/>
      <c r="P310" s="12"/>
    </row>
    <row r="311" spans="1:16" ht="65.25" customHeight="1">
      <c r="A311" s="132" t="s">
        <v>182</v>
      </c>
      <c r="B311" s="530" t="s">
        <v>278</v>
      </c>
      <c r="C311" s="530"/>
      <c r="D311" s="530"/>
      <c r="E311" s="530"/>
      <c r="F311" s="530"/>
      <c r="G311" s="530"/>
      <c r="H311" s="530"/>
      <c r="I311" s="530"/>
      <c r="J311" s="530"/>
      <c r="K311" s="530"/>
      <c r="L311" s="12"/>
      <c r="N311" s="1"/>
      <c r="O311" s="12"/>
      <c r="P311" s="12"/>
    </row>
    <row r="312" spans="1:16">
      <c r="A312" s="132" t="s">
        <v>201</v>
      </c>
      <c r="B312" s="530" t="s">
        <v>305</v>
      </c>
      <c r="C312" s="530"/>
      <c r="D312" s="530"/>
      <c r="E312" s="530"/>
      <c r="F312" s="530"/>
      <c r="G312" s="530"/>
      <c r="H312" s="530"/>
      <c r="I312" s="530"/>
      <c r="J312" s="530"/>
      <c r="K312" s="530"/>
      <c r="L312" s="12"/>
      <c r="N312" s="1"/>
      <c r="O312" s="12"/>
      <c r="P312" s="12"/>
    </row>
    <row r="313" spans="1:16">
      <c r="A313" s="133" t="s">
        <v>205</v>
      </c>
      <c r="B313" s="530" t="s">
        <v>306</v>
      </c>
      <c r="C313" s="530"/>
      <c r="D313" s="530"/>
      <c r="E313" s="530"/>
      <c r="F313" s="530"/>
      <c r="G313" s="530"/>
      <c r="H313" s="530"/>
      <c r="I313" s="530"/>
      <c r="J313" s="530"/>
      <c r="K313" s="530"/>
      <c r="L313" s="12"/>
      <c r="N313" s="50"/>
      <c r="O313" s="12"/>
      <c r="P313" s="12"/>
    </row>
    <row r="314" spans="1:16">
      <c r="A314" s="133" t="s">
        <v>210</v>
      </c>
      <c r="B314" s="530" t="s">
        <v>311</v>
      </c>
      <c r="C314" s="530"/>
      <c r="D314" s="530"/>
      <c r="E314" s="530"/>
      <c r="F314" s="530"/>
      <c r="G314" s="530"/>
      <c r="H314" s="530"/>
      <c r="I314" s="530"/>
      <c r="J314" s="530"/>
      <c r="K314" s="530"/>
      <c r="L314" s="12"/>
      <c r="N314" s="50"/>
      <c r="O314" s="12"/>
      <c r="P314" s="12"/>
    </row>
    <row r="315" spans="1:16" s="56" customFormat="1" ht="32.25" customHeight="1">
      <c r="A315" s="132" t="s">
        <v>211</v>
      </c>
      <c r="B315" s="530" t="s">
        <v>312</v>
      </c>
      <c r="C315" s="530"/>
      <c r="D315" s="530"/>
      <c r="E315" s="530"/>
      <c r="F315" s="530"/>
      <c r="G315" s="530"/>
      <c r="H315" s="530"/>
      <c r="I315" s="530"/>
      <c r="J315" s="530"/>
      <c r="K315" s="530"/>
      <c r="L315" s="137"/>
      <c r="N315" s="54"/>
      <c r="O315" s="137"/>
      <c r="P315" s="137"/>
    </row>
    <row r="316" spans="1:16" s="67" customFormat="1">
      <c r="A316" s="133" t="s">
        <v>290</v>
      </c>
      <c r="B316" s="530" t="s">
        <v>313</v>
      </c>
      <c r="C316" s="530"/>
      <c r="D316" s="530"/>
      <c r="E316" s="530"/>
      <c r="F316" s="530"/>
      <c r="G316" s="530"/>
      <c r="H316" s="530"/>
      <c r="I316" s="530"/>
      <c r="J316" s="530"/>
      <c r="K316" s="530"/>
      <c r="L316" s="69"/>
      <c r="N316" s="66"/>
      <c r="O316" s="69"/>
      <c r="P316" s="69"/>
    </row>
    <row r="317" spans="1:16" s="67" customFormat="1" ht="33" customHeight="1">
      <c r="A317" s="132" t="s">
        <v>291</v>
      </c>
      <c r="B317" s="530" t="s">
        <v>314</v>
      </c>
      <c r="C317" s="530"/>
      <c r="D317" s="530"/>
      <c r="E317" s="530"/>
      <c r="F317" s="530"/>
      <c r="G317" s="530"/>
      <c r="H317" s="530"/>
      <c r="I317" s="530"/>
      <c r="J317" s="530"/>
      <c r="K317" s="530"/>
      <c r="L317" s="69"/>
      <c r="N317" s="66"/>
      <c r="O317" s="69"/>
      <c r="P317" s="69"/>
    </row>
    <row r="318" spans="1:16" s="67" customFormat="1" ht="15" customHeight="1">
      <c r="A318" s="132" t="s">
        <v>293</v>
      </c>
      <c r="B318" s="149" t="s">
        <v>294</v>
      </c>
      <c r="C318" s="134"/>
      <c r="D318" s="134"/>
      <c r="E318" s="134"/>
      <c r="F318" s="134"/>
      <c r="G318" s="134"/>
      <c r="H318" s="134"/>
      <c r="I318" s="134"/>
      <c r="J318" s="134"/>
      <c r="K318" s="134"/>
      <c r="L318" s="69"/>
      <c r="N318" s="66"/>
      <c r="O318" s="69"/>
      <c r="P318" s="69"/>
    </row>
    <row r="319" spans="1:16" s="67" customFormat="1" ht="15" customHeight="1">
      <c r="A319" s="132" t="s">
        <v>295</v>
      </c>
      <c r="B319" s="150" t="s">
        <v>296</v>
      </c>
      <c r="C319" s="134"/>
      <c r="D319" s="134"/>
      <c r="E319" s="134"/>
      <c r="F319" s="134"/>
      <c r="G319" s="134"/>
      <c r="H319" s="134"/>
      <c r="I319" s="134"/>
      <c r="J319" s="134"/>
      <c r="K319" s="134"/>
      <c r="L319" s="69"/>
      <c r="N319" s="66"/>
      <c r="O319" s="69"/>
      <c r="P319" s="69"/>
    </row>
    <row r="320" spans="1:16" s="67" customFormat="1" ht="15" customHeight="1">
      <c r="A320" s="132" t="s">
        <v>774</v>
      </c>
      <c r="B320" s="150" t="s">
        <v>775</v>
      </c>
      <c r="C320" s="134"/>
      <c r="D320" s="134"/>
      <c r="E320" s="134"/>
      <c r="F320" s="134"/>
      <c r="G320" s="134"/>
      <c r="H320" s="134"/>
      <c r="I320" s="134"/>
      <c r="J320" s="134"/>
      <c r="K320" s="134"/>
      <c r="L320" s="69"/>
      <c r="N320" s="66"/>
      <c r="O320" s="69"/>
      <c r="P320" s="69"/>
    </row>
    <row r="321" spans="1:16" s="67" customFormat="1" ht="15" customHeight="1">
      <c r="A321" s="132"/>
      <c r="B321" s="131"/>
      <c r="C321" s="127"/>
      <c r="D321" s="127"/>
      <c r="E321" s="127"/>
      <c r="F321" s="127"/>
      <c r="G321" s="127"/>
      <c r="H321" s="127"/>
      <c r="I321" s="127"/>
      <c r="J321" s="127"/>
      <c r="K321" s="127"/>
      <c r="L321" s="69"/>
      <c r="N321" s="66"/>
      <c r="O321" s="69"/>
      <c r="P321" s="69"/>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A326" s="1"/>
      <c r="B326" s="11"/>
      <c r="C326" s="11"/>
      <c r="D326" s="11"/>
      <c r="E326" s="11"/>
      <c r="F326" s="11"/>
      <c r="G326" s="11"/>
      <c r="H326" s="11"/>
      <c r="I326" s="11"/>
      <c r="J326" s="11"/>
      <c r="K326" s="11"/>
      <c r="N326" s="1"/>
      <c r="O326" s="12"/>
      <c r="P326" s="12"/>
    </row>
    <row r="327" spans="1:16">
      <c r="A327" s="1"/>
      <c r="B327" s="11"/>
      <c r="C327" s="11"/>
      <c r="D327" s="11"/>
      <c r="E327" s="11"/>
      <c r="F327" s="11"/>
      <c r="G327" s="11"/>
      <c r="H327" s="11"/>
      <c r="I327" s="11"/>
      <c r="J327" s="11"/>
      <c r="K327" s="11"/>
      <c r="N327" s="1"/>
      <c r="O327" s="12"/>
      <c r="P327" s="12"/>
    </row>
    <row r="328" spans="1:16">
      <c r="A328" s="1"/>
      <c r="B328" s="11"/>
      <c r="C328" s="11"/>
      <c r="D328" s="11"/>
      <c r="E328" s="11"/>
      <c r="F328" s="11"/>
      <c r="G328" s="11"/>
      <c r="H328" s="11"/>
      <c r="I328" s="11"/>
      <c r="J328" s="11"/>
      <c r="K328" s="11"/>
      <c r="N328" s="1"/>
      <c r="O328" s="12"/>
      <c r="P328" s="12"/>
    </row>
    <row r="329" spans="1:16">
      <c r="A329" s="1"/>
      <c r="B329" s="11"/>
      <c r="C329" s="11"/>
      <c r="D329" s="11"/>
      <c r="E329" s="11"/>
      <c r="F329" s="11"/>
      <c r="G329" s="11"/>
      <c r="H329" s="11"/>
      <c r="I329" s="11"/>
      <c r="J329" s="11"/>
      <c r="K329" s="11"/>
      <c r="N329" s="1"/>
      <c r="O329" s="12"/>
      <c r="P329" s="12"/>
    </row>
    <row r="330" spans="1:16">
      <c r="A330" s="1"/>
      <c r="B330" s="11"/>
      <c r="C330" s="11"/>
      <c r="D330" s="11"/>
      <c r="E330" s="11"/>
      <c r="F330" s="11"/>
      <c r="G330" s="11"/>
      <c r="H330" s="11"/>
      <c r="I330" s="11"/>
      <c r="J330" s="11"/>
      <c r="K330" s="11"/>
      <c r="N330" s="1"/>
      <c r="O330" s="12"/>
      <c r="P330" s="12"/>
    </row>
    <row r="331" spans="1:16">
      <c r="A331" s="1"/>
      <c r="B331" s="11"/>
      <c r="C331" s="11"/>
      <c r="D331" s="11"/>
      <c r="E331" s="11"/>
      <c r="F331" s="11"/>
      <c r="G331" s="11"/>
      <c r="H331" s="11"/>
      <c r="I331" s="11"/>
      <c r="J331" s="11"/>
      <c r="K331" s="11"/>
      <c r="N331" s="1"/>
      <c r="O331" s="12"/>
      <c r="P331" s="12"/>
    </row>
    <row r="332" spans="1:16">
      <c r="A332" s="1"/>
      <c r="B332" s="11"/>
      <c r="C332" s="11"/>
      <c r="D332" s="11"/>
      <c r="E332" s="11"/>
      <c r="F332" s="11"/>
      <c r="G332" s="11"/>
      <c r="H332" s="11"/>
      <c r="I332" s="11"/>
      <c r="J332" s="11"/>
      <c r="K332" s="11"/>
      <c r="N332" s="1"/>
      <c r="O332" s="12"/>
      <c r="P332" s="12"/>
    </row>
    <row r="333" spans="1:16">
      <c r="A333" s="1"/>
      <c r="B333" s="11"/>
      <c r="C333" s="11"/>
      <c r="D333" s="11"/>
      <c r="E333" s="11"/>
      <c r="F333" s="11"/>
      <c r="G333" s="11"/>
      <c r="H333" s="11"/>
      <c r="I333" s="11"/>
      <c r="J333" s="11"/>
      <c r="K333" s="11"/>
      <c r="N333" s="1"/>
      <c r="O333" s="12"/>
      <c r="P333" s="12"/>
    </row>
    <row r="334" spans="1:16">
      <c r="A334" s="1"/>
      <c r="B334" s="11"/>
      <c r="C334" s="11"/>
      <c r="D334" s="11"/>
      <c r="E334" s="11"/>
      <c r="F334" s="11"/>
      <c r="G334" s="11"/>
      <c r="H334" s="11"/>
      <c r="I334" s="11"/>
      <c r="J334" s="11"/>
      <c r="K334" s="11"/>
      <c r="N334" s="1"/>
      <c r="O334" s="12"/>
      <c r="P334" s="12"/>
    </row>
    <row r="335" spans="1:16">
      <c r="A335" s="1"/>
      <c r="B335" s="11"/>
      <c r="C335" s="11"/>
      <c r="D335" s="11"/>
      <c r="E335" s="11"/>
      <c r="F335" s="11"/>
      <c r="G335" s="11"/>
      <c r="H335" s="11"/>
      <c r="I335" s="11"/>
      <c r="J335" s="11"/>
      <c r="K335" s="11"/>
      <c r="N335" s="1"/>
      <c r="O335" s="12"/>
      <c r="P335" s="12"/>
    </row>
    <row r="336" spans="1:16">
      <c r="A336" s="1"/>
      <c r="B336" s="11"/>
      <c r="C336" s="11"/>
      <c r="D336" s="11"/>
      <c r="E336" s="11"/>
      <c r="F336" s="11"/>
      <c r="G336" s="11"/>
      <c r="H336" s="11"/>
      <c r="I336" s="11"/>
      <c r="J336" s="11"/>
      <c r="K336" s="11"/>
      <c r="N336" s="1"/>
      <c r="O336" s="12"/>
      <c r="P336" s="12"/>
    </row>
    <row r="337" spans="2:16">
      <c r="B337" s="12"/>
      <c r="C337" s="12"/>
      <c r="D337" s="12"/>
      <c r="E337" s="12"/>
      <c r="F337" s="12"/>
      <c r="G337" s="12"/>
      <c r="H337" s="12"/>
      <c r="I337" s="12"/>
      <c r="J337" s="11"/>
      <c r="K337" s="11"/>
      <c r="N337" s="1"/>
      <c r="O337" s="12"/>
      <c r="P337" s="12"/>
    </row>
    <row r="338" spans="2:16">
      <c r="B338" s="12"/>
      <c r="C338" s="12"/>
      <c r="D338" s="12"/>
      <c r="E338" s="12"/>
      <c r="F338" s="12"/>
      <c r="G338" s="12"/>
      <c r="H338" s="12"/>
      <c r="I338" s="12"/>
      <c r="J338" s="12"/>
      <c r="K338" s="12"/>
      <c r="N338" s="1"/>
      <c r="O338" s="12"/>
      <c r="P338" s="12"/>
    </row>
    <row r="339" spans="2:16">
      <c r="B339" s="12"/>
      <c r="C339" s="12"/>
      <c r="D339" s="12"/>
      <c r="E339" s="12"/>
      <c r="F339" s="12"/>
      <c r="G339" s="12"/>
      <c r="H339" s="12"/>
      <c r="I339" s="12"/>
      <c r="J339" s="12"/>
      <c r="K339" s="12"/>
      <c r="N339" s="1"/>
      <c r="O339" s="12"/>
      <c r="P339" s="12"/>
    </row>
    <row r="340" spans="2:16">
      <c r="B340" s="12"/>
      <c r="C340" s="12"/>
      <c r="D340" s="12"/>
      <c r="E340" s="12"/>
      <c r="F340" s="12"/>
      <c r="G340" s="12"/>
      <c r="H340" s="12"/>
      <c r="I340" s="12"/>
      <c r="J340" s="12"/>
      <c r="K340" s="12"/>
      <c r="N340" s="12"/>
      <c r="O340" s="12"/>
      <c r="P340" s="12"/>
    </row>
    <row r="341" spans="2:16">
      <c r="B341" s="12"/>
      <c r="C341" s="12"/>
      <c r="D341" s="12"/>
      <c r="E341" s="12"/>
      <c r="F341" s="12"/>
      <c r="G341" s="12"/>
      <c r="H341" s="12"/>
      <c r="I341" s="12"/>
      <c r="J341" s="12"/>
      <c r="K341" s="12"/>
      <c r="N341" s="12"/>
      <c r="O341" s="12"/>
      <c r="P341" s="12"/>
    </row>
    <row r="342" spans="2:16">
      <c r="B342" s="12"/>
      <c r="C342" s="12"/>
      <c r="D342" s="12"/>
      <c r="E342" s="12"/>
      <c r="F342" s="12"/>
      <c r="G342" s="12"/>
      <c r="H342" s="12"/>
      <c r="I342" s="12"/>
      <c r="J342" s="12"/>
      <c r="K342" s="12"/>
      <c r="N342" s="12"/>
      <c r="O342" s="12"/>
      <c r="P342" s="12"/>
    </row>
    <row r="343" spans="2:16">
      <c r="B343" s="12"/>
      <c r="C343" s="12"/>
      <c r="D343" s="12"/>
      <c r="E343" s="12"/>
      <c r="F343" s="12"/>
      <c r="G343" s="12"/>
      <c r="H343" s="12"/>
      <c r="I343" s="12"/>
      <c r="J343" s="12"/>
      <c r="K343" s="12"/>
      <c r="N343" s="12"/>
      <c r="O343" s="12"/>
      <c r="P343" s="12"/>
    </row>
    <row r="344" spans="2:16">
      <c r="B344" s="12"/>
      <c r="C344" s="12"/>
      <c r="D344" s="12"/>
      <c r="E344" s="12"/>
      <c r="F344" s="12"/>
      <c r="G344" s="12"/>
      <c r="H344" s="12"/>
      <c r="I344" s="12"/>
      <c r="J344" s="12"/>
      <c r="K344" s="12"/>
      <c r="N344" s="12"/>
      <c r="O344" s="12"/>
      <c r="P344" s="12"/>
    </row>
    <row r="345" spans="2:16">
      <c r="B345" s="12"/>
      <c r="C345" s="12"/>
      <c r="D345" s="12"/>
      <c r="E345" s="12"/>
      <c r="F345" s="12"/>
      <c r="G345" s="12"/>
      <c r="H345" s="12"/>
      <c r="I345" s="12"/>
      <c r="J345" s="12"/>
      <c r="K345" s="12"/>
      <c r="N345" s="12"/>
      <c r="O345" s="12"/>
      <c r="P345" s="12"/>
    </row>
    <row r="346" spans="2:16">
      <c r="J346" s="12"/>
      <c r="K346" s="12"/>
      <c r="N346" s="12"/>
      <c r="O346" s="12"/>
      <c r="P346" s="12"/>
    </row>
    <row r="347" spans="2:16">
      <c r="N347" s="12"/>
      <c r="O347" s="12"/>
      <c r="P347" s="12"/>
    </row>
    <row r="348" spans="2:16">
      <c r="N348" s="12"/>
      <c r="O348" s="12"/>
      <c r="P348" s="12"/>
    </row>
  </sheetData>
  <mergeCells count="30">
    <mergeCell ref="L230:Q230"/>
    <mergeCell ref="B291:K291"/>
    <mergeCell ref="C281:D281"/>
    <mergeCell ref="B290:K290"/>
    <mergeCell ref="B289:K289"/>
    <mergeCell ref="B293:K293"/>
    <mergeCell ref="B292:K292"/>
    <mergeCell ref="E302:K302"/>
    <mergeCell ref="E301:K301"/>
    <mergeCell ref="B308:K308"/>
    <mergeCell ref="B307:K307"/>
    <mergeCell ref="B306:K306"/>
    <mergeCell ref="B305:K305"/>
    <mergeCell ref="B304:K304"/>
    <mergeCell ref="B303:K303"/>
    <mergeCell ref="B299:K299"/>
    <mergeCell ref="B298:K298"/>
    <mergeCell ref="B297:K297"/>
    <mergeCell ref="B296:K296"/>
    <mergeCell ref="B295:K295"/>
    <mergeCell ref="B294:K294"/>
    <mergeCell ref="B316:K316"/>
    <mergeCell ref="B317:K317"/>
    <mergeCell ref="B311:K311"/>
    <mergeCell ref="B310:K310"/>
    <mergeCell ref="B309:K309"/>
    <mergeCell ref="B315:K315"/>
    <mergeCell ref="B313:K313"/>
    <mergeCell ref="B314:K314"/>
    <mergeCell ref="B312:K312"/>
  </mergeCells>
  <phoneticPr fontId="0" type="noConversion"/>
  <pageMargins left="0.5" right="0.5" top="0.75" bottom="0.75" header="0.09" footer="0.5"/>
  <pageSetup scale="63" fitToHeight="5" orientation="portrait" r:id="rId1"/>
  <headerFooter alignWithMargins="0">
    <oddHeader>&amp;L&amp;"Arial MT,Bold"Marshall Municipal Utilities
2015 Attachment O-MMU&amp;R&amp;"Arial MT,Bold"Exhibit MMU-5
&amp;P of &amp;N</oddHeader>
    <oddFooter>&amp;L&amp;8&amp;Z&amp;F&amp;A&amp;R&amp;8&amp;D</oddFooter>
  </headerFooter>
  <rowBreaks count="4" manualBreakCount="4">
    <brk id="79" max="10" man="1"/>
    <brk id="145" max="10" man="1"/>
    <brk id="212" max="10" man="1"/>
    <brk id="279" max="10" man="1"/>
  </rowBreaks>
  <ignoredErrors>
    <ignoredError sqref="I31 I271:I274"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zoomScaleSheetLayoutView="100" workbookViewId="0">
      <selection activeCell="C11" sqref="C11"/>
    </sheetView>
  </sheetViews>
  <sheetFormatPr defaultRowHeight="15"/>
  <cols>
    <col min="1" max="1" width="44.21875" style="401" customWidth="1"/>
    <col min="2" max="2" width="6.33203125" style="401" bestFit="1" customWidth="1"/>
    <col min="3" max="3" width="8.88671875" style="401"/>
    <col min="4" max="4" width="57.21875" style="401" bestFit="1" customWidth="1"/>
    <col min="5" max="5" width="8.88671875" style="401"/>
    <col min="6" max="6" width="5.6640625" style="401" customWidth="1"/>
    <col min="7" max="16384" width="8.88671875" style="401"/>
  </cols>
  <sheetData>
    <row r="1" spans="1:9" ht="18.75">
      <c r="A1" s="469" t="str">
        <f>'EPRI Reg Comm Non Safety'!A1</f>
        <v>Marshall (Minnesota) Municipal Utilities</v>
      </c>
      <c r="B1" s="436"/>
      <c r="C1" s="436"/>
      <c r="D1" s="436"/>
      <c r="E1" s="436"/>
      <c r="F1" s="436"/>
      <c r="G1" s="436"/>
      <c r="H1" s="436"/>
    </row>
    <row r="2" spans="1:9" ht="18.75">
      <c r="A2" s="469" t="str">
        <f>'EPRI Reg Comm Non Safety'!A2</f>
        <v>Forecasted 12 Months Ended December 31,</v>
      </c>
      <c r="B2" s="474">
        <f>'Taxes other than inc tax'!D2</f>
        <v>2015</v>
      </c>
      <c r="C2" s="480"/>
      <c r="D2" s="480"/>
      <c r="E2" s="480"/>
      <c r="F2" s="480"/>
      <c r="G2" s="480"/>
    </row>
    <row r="3" spans="1:9">
      <c r="A3" s="463"/>
      <c r="B3" s="436"/>
      <c r="C3" s="436"/>
      <c r="D3" s="436" t="s">
        <v>700</v>
      </c>
      <c r="E3" s="436"/>
    </row>
    <row r="5" spans="1:9" ht="18.75">
      <c r="A5" s="464" t="s">
        <v>701</v>
      </c>
      <c r="B5" s="444"/>
      <c r="C5" s="444"/>
    </row>
    <row r="8" spans="1:9">
      <c r="A8" s="465" t="s">
        <v>702</v>
      </c>
      <c r="B8" s="434" t="s">
        <v>7</v>
      </c>
    </row>
    <row r="10" spans="1:9" ht="15.75">
      <c r="A10" s="401" t="s">
        <v>703</v>
      </c>
      <c r="B10" s="455">
        <v>0</v>
      </c>
    </row>
    <row r="11" spans="1:9" ht="15.75">
      <c r="A11" s="401" t="s">
        <v>703</v>
      </c>
      <c r="B11" s="462">
        <v>0</v>
      </c>
    </row>
    <row r="12" spans="1:9" ht="15.75">
      <c r="A12" s="401" t="s">
        <v>703</v>
      </c>
      <c r="B12" s="456">
        <v>0</v>
      </c>
    </row>
    <row r="13" spans="1:9">
      <c r="A13" s="401" t="s">
        <v>703</v>
      </c>
      <c r="B13" s="466">
        <v>0</v>
      </c>
    </row>
    <row r="14" spans="1:9">
      <c r="A14" s="401" t="s">
        <v>704</v>
      </c>
      <c r="B14" s="467">
        <f>SUM(B10:B13)</f>
        <v>0</v>
      </c>
      <c r="D14" s="515" t="s">
        <v>705</v>
      </c>
    </row>
    <row r="15" spans="1:9" ht="16.5" customHeight="1">
      <c r="D15" s="555" t="s">
        <v>706</v>
      </c>
      <c r="E15" s="555"/>
      <c r="F15" s="555" t="s">
        <v>707</v>
      </c>
      <c r="G15" s="555"/>
      <c r="H15" s="555"/>
      <c r="I15" s="555"/>
    </row>
    <row r="16" spans="1:9">
      <c r="D16" s="401" t="s">
        <v>708</v>
      </c>
    </row>
    <row r="17" spans="4:6" ht="15" customHeight="1">
      <c r="D17" s="401" t="s">
        <v>709</v>
      </c>
      <c r="F17" s="468"/>
    </row>
    <row r="18" spans="4:6">
      <c r="D18" s="401" t="s">
        <v>710</v>
      </c>
    </row>
    <row r="19" spans="4:6">
      <c r="D19" s="401" t="s">
        <v>711</v>
      </c>
    </row>
    <row r="21" spans="4:6" ht="256.5" customHeight="1"/>
  </sheetData>
  <mergeCells count="1">
    <mergeCell ref="D15:I15"/>
  </mergeCells>
  <pageMargins left="0.7" right="0.7" top="0.75" bottom="0.75" header="0.3" footer="0.3"/>
  <pageSetup scale="50" orientation="landscape" r:id="rId1"/>
  <headerFooter>
    <oddHeader>&amp;L&amp;"Arial MT,Bold"Marshall Municipal Utilities
2015 MMU Workpapers&amp;R&amp;"Arial MT,Bold"Exhibit MMU-4
Page 18 of 19</oddHeader>
  </headerFooter>
  <colBreaks count="1" manualBreakCount="1">
    <brk id="6" min="1" max="1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4" zoomScaleNormal="100" zoomScaleSheetLayoutView="100" workbookViewId="0">
      <selection activeCell="B37" sqref="B37"/>
    </sheetView>
  </sheetViews>
  <sheetFormatPr defaultRowHeight="15"/>
  <cols>
    <col min="1" max="1" width="15.77734375" style="401" customWidth="1"/>
    <col min="2" max="2" width="61" style="401" customWidth="1"/>
    <col min="3" max="3" width="28.77734375" style="401" bestFit="1" customWidth="1"/>
    <col min="4" max="4" width="8.88671875" style="401"/>
    <col min="5" max="5" width="21.21875" style="401" bestFit="1" customWidth="1"/>
    <col min="6" max="16384" width="8.88671875" style="401"/>
  </cols>
  <sheetData>
    <row r="1" spans="1:8" ht="20.25" customHeight="1">
      <c r="B1" s="473" t="str">
        <f>'Account 454'!A1</f>
        <v>Marshall (Minnesota) Municipal Utilities</v>
      </c>
      <c r="C1" s="436"/>
      <c r="D1" s="436"/>
      <c r="E1" s="436"/>
      <c r="F1" s="436"/>
      <c r="G1" s="436"/>
      <c r="H1" s="436"/>
    </row>
    <row r="2" spans="1:8" ht="15.75">
      <c r="B2" s="473" t="str">
        <f>'Account 454'!A2</f>
        <v>Forecasted 12 Months Ended December 31,</v>
      </c>
      <c r="C2" s="474">
        <f>'Account 454'!B2</f>
        <v>2015</v>
      </c>
      <c r="D2" s="480"/>
      <c r="E2" s="480"/>
      <c r="F2" s="480"/>
      <c r="G2" s="480"/>
    </row>
    <row r="3" spans="1:8">
      <c r="A3" s="463"/>
      <c r="B3" s="472"/>
      <c r="C3" s="436" t="s">
        <v>712</v>
      </c>
      <c r="D3" s="436"/>
      <c r="E3" s="436"/>
    </row>
    <row r="4" spans="1:8">
      <c r="A4" s="436"/>
      <c r="B4" s="436"/>
      <c r="C4" s="436"/>
      <c r="D4" s="436"/>
      <c r="E4" s="436"/>
      <c r="F4" s="436"/>
      <c r="G4" s="436"/>
    </row>
    <row r="5" spans="1:8" ht="15.75">
      <c r="A5" s="436"/>
      <c r="B5" s="481" t="s">
        <v>713</v>
      </c>
      <c r="C5" s="482" t="s">
        <v>713</v>
      </c>
      <c r="D5" s="436"/>
      <c r="E5" s="436"/>
      <c r="F5" s="436"/>
      <c r="G5" s="436"/>
    </row>
    <row r="6" spans="1:8" ht="15.75">
      <c r="A6" s="436"/>
      <c r="B6" s="436"/>
      <c r="D6" s="483" t="s">
        <v>714</v>
      </c>
      <c r="E6" s="436"/>
      <c r="F6" s="436"/>
      <c r="G6" s="436"/>
    </row>
    <row r="7" spans="1:8">
      <c r="A7" s="436"/>
      <c r="B7" s="436"/>
      <c r="C7" s="436"/>
      <c r="D7" s="436"/>
      <c r="E7" s="436"/>
      <c r="F7" s="436"/>
      <c r="G7" s="436"/>
    </row>
    <row r="8" spans="1:8" ht="15.75">
      <c r="A8" s="436"/>
      <c r="B8" s="436" t="s">
        <v>715</v>
      </c>
      <c r="C8" s="484">
        <v>0</v>
      </c>
      <c r="D8" s="436"/>
      <c r="E8" s="436"/>
      <c r="F8" s="436"/>
      <c r="G8" s="436"/>
    </row>
    <row r="9" spans="1:8" ht="15.75">
      <c r="A9" s="436"/>
      <c r="B9" s="436" t="s">
        <v>716</v>
      </c>
      <c r="C9" s="484">
        <v>0</v>
      </c>
      <c r="D9" s="436"/>
      <c r="E9" s="436"/>
      <c r="F9" s="436"/>
      <c r="G9" s="436"/>
    </row>
    <row r="10" spans="1:8" ht="15.75">
      <c r="A10" s="436"/>
      <c r="B10" s="436" t="s">
        <v>717</v>
      </c>
      <c r="C10" s="484">
        <v>0</v>
      </c>
      <c r="D10" s="436"/>
      <c r="E10" s="436"/>
      <c r="F10" s="436"/>
      <c r="G10" s="436"/>
    </row>
    <row r="11" spans="1:8" ht="15.75">
      <c r="A11" s="436"/>
      <c r="B11" s="436" t="s">
        <v>718</v>
      </c>
      <c r="C11" s="484">
        <v>0</v>
      </c>
      <c r="D11" s="436"/>
      <c r="E11" s="436"/>
      <c r="F11" s="436"/>
      <c r="G11" s="436"/>
    </row>
    <row r="12" spans="1:8" ht="15.75">
      <c r="A12" s="436"/>
      <c r="B12" s="436" t="s">
        <v>719</v>
      </c>
      <c r="C12" s="484">
        <v>0</v>
      </c>
      <c r="D12" s="436"/>
      <c r="E12" s="436"/>
      <c r="F12" s="436"/>
      <c r="G12" s="436"/>
    </row>
    <row r="13" spans="1:8" ht="15.75">
      <c r="A13" s="436"/>
      <c r="B13" s="436" t="s">
        <v>720</v>
      </c>
      <c r="C13" s="484">
        <v>0</v>
      </c>
      <c r="D13" s="436"/>
      <c r="E13" s="436"/>
      <c r="F13" s="436"/>
      <c r="G13" s="436"/>
    </row>
    <row r="14" spans="1:8" ht="15.75">
      <c r="A14" s="436"/>
      <c r="B14" s="436" t="s">
        <v>721</v>
      </c>
      <c r="C14" s="484">
        <v>0</v>
      </c>
      <c r="D14" s="436"/>
      <c r="E14" s="485"/>
      <c r="F14" s="436"/>
      <c r="G14" s="436"/>
    </row>
    <row r="15" spans="1:8" ht="15.75">
      <c r="A15" s="436"/>
      <c r="B15" s="436" t="s">
        <v>722</v>
      </c>
      <c r="C15" s="484">
        <v>0</v>
      </c>
      <c r="D15" s="436"/>
      <c r="E15" s="485"/>
      <c r="F15" s="436"/>
      <c r="G15" s="436"/>
    </row>
    <row r="16" spans="1:8" ht="15.75">
      <c r="A16" s="436"/>
      <c r="B16" s="436" t="s">
        <v>722</v>
      </c>
      <c r="C16" s="484">
        <v>0</v>
      </c>
      <c r="D16" s="436"/>
      <c r="E16" s="485"/>
      <c r="F16" s="436"/>
      <c r="G16" s="436"/>
    </row>
    <row r="17" spans="1:7" ht="15.75">
      <c r="A17" s="436"/>
      <c r="B17" s="436" t="s">
        <v>723</v>
      </c>
      <c r="C17" s="486">
        <f>SUM(C8:C16)</f>
        <v>0</v>
      </c>
      <c r="D17" s="436"/>
      <c r="E17" s="485"/>
      <c r="F17" s="436"/>
      <c r="G17" s="436"/>
    </row>
    <row r="18" spans="1:7" ht="15.75">
      <c r="A18" s="436"/>
      <c r="B18" s="436"/>
      <c r="C18" s="487"/>
      <c r="D18" s="436"/>
      <c r="E18" s="485"/>
      <c r="F18" s="436"/>
      <c r="G18" s="436"/>
    </row>
    <row r="19" spans="1:7" ht="15.75">
      <c r="A19" s="436"/>
      <c r="B19" s="436"/>
      <c r="C19" s="488"/>
      <c r="D19" s="436"/>
      <c r="E19" s="485"/>
      <c r="F19" s="436"/>
      <c r="G19" s="436"/>
    </row>
    <row r="20" spans="1:7" ht="15.75">
      <c r="A20" s="489"/>
      <c r="B20" s="490" t="s">
        <v>139</v>
      </c>
      <c r="C20" s="488">
        <f>C17</f>
        <v>0</v>
      </c>
      <c r="D20" s="436"/>
      <c r="E20" s="485" t="s">
        <v>724</v>
      </c>
      <c r="F20" s="436"/>
      <c r="G20" s="436"/>
    </row>
    <row r="21" spans="1:7" ht="12.75" customHeight="1">
      <c r="A21" s="489"/>
      <c r="B21" s="491" t="s">
        <v>725</v>
      </c>
      <c r="C21" s="488">
        <f>C10+C11+C9+C12</f>
        <v>0</v>
      </c>
      <c r="D21" s="436"/>
      <c r="E21" s="485" t="s">
        <v>726</v>
      </c>
      <c r="F21" s="436"/>
      <c r="G21" s="436"/>
    </row>
    <row r="22" spans="1:7" ht="15.75">
      <c r="A22" s="492"/>
      <c r="B22" s="493" t="s">
        <v>309</v>
      </c>
      <c r="C22" s="488">
        <f>C13</f>
        <v>0</v>
      </c>
      <c r="D22" s="436"/>
      <c r="E22" s="485" t="s">
        <v>727</v>
      </c>
      <c r="F22" s="436"/>
      <c r="G22" s="436"/>
    </row>
    <row r="23" spans="1:7" ht="15.75">
      <c r="A23" s="492"/>
      <c r="B23" s="493" t="s">
        <v>310</v>
      </c>
      <c r="C23" s="488">
        <f>C14</f>
        <v>0</v>
      </c>
      <c r="D23" s="436"/>
      <c r="E23" s="485" t="s">
        <v>728</v>
      </c>
      <c r="F23" s="436"/>
      <c r="G23" s="436"/>
    </row>
    <row r="24" spans="1:7" ht="15.75">
      <c r="A24" s="489"/>
      <c r="B24" s="493" t="s">
        <v>729</v>
      </c>
      <c r="C24" s="494">
        <f>C20-C21-C22-C23</f>
        <v>0</v>
      </c>
      <c r="D24" s="436"/>
      <c r="E24" s="485" t="s">
        <v>730</v>
      </c>
      <c r="F24" s="436"/>
      <c r="G24" s="436"/>
    </row>
  </sheetData>
  <pageMargins left="0.7" right="0.7" top="0.75" bottom="0.75" header="0.3" footer="0.3"/>
  <pageSetup scale="57" orientation="landscape" r:id="rId1"/>
  <headerFooter>
    <oddHeader>&amp;L&amp;"Arial MT,Bold"Marshall Municipal Utilities
2015 MMU Workpapers&amp;R&amp;"Arial MT,Bold"Exhibit MMU-4
Page 19 of 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topLeftCell="A13" zoomScale="80" workbookViewId="0">
      <selection activeCell="C43" sqref="C43"/>
    </sheetView>
  </sheetViews>
  <sheetFormatPr defaultRowHeight="12.75"/>
  <cols>
    <col min="1" max="1" width="5.21875" style="156" customWidth="1"/>
    <col min="2" max="2" width="30.88671875" style="156" customWidth="1"/>
    <col min="3" max="3" width="13" style="156" customWidth="1"/>
    <col min="4" max="4" width="5.21875" style="156" customWidth="1"/>
    <col min="5" max="5" width="30.88671875" style="156" customWidth="1"/>
    <col min="6" max="6" width="13" style="155" customWidth="1"/>
    <col min="7" max="16384" width="8.88671875" style="156"/>
  </cols>
  <sheetData>
    <row r="1" spans="1:6" s="155" customFormat="1" ht="15.75">
      <c r="A1" s="537" t="str">
        <f>Coversheet!D3</f>
        <v>Marshall (Minnesota) Municipal Utilities</v>
      </c>
      <c r="B1" s="537"/>
      <c r="C1" s="537"/>
      <c r="D1" s="537"/>
      <c r="E1" s="537"/>
      <c r="F1" s="537"/>
    </row>
    <row r="2" spans="1:6" s="155" customFormat="1" ht="15">
      <c r="A2" s="538" t="s">
        <v>315</v>
      </c>
      <c r="B2" s="538"/>
      <c r="C2" s="538"/>
      <c r="D2" s="538"/>
      <c r="E2" s="538"/>
      <c r="F2" s="538"/>
    </row>
    <row r="3" spans="1:6" s="155" customFormat="1" ht="15">
      <c r="A3" s="538" t="s">
        <v>316</v>
      </c>
      <c r="B3" s="538"/>
      <c r="C3" s="538"/>
      <c r="D3" s="538"/>
      <c r="E3" s="538"/>
      <c r="F3" s="538"/>
    </row>
    <row r="4" spans="1:6" s="155" customFormat="1" ht="15.75">
      <c r="A4" s="539">
        <v>42369</v>
      </c>
      <c r="B4" s="539"/>
      <c r="C4" s="539"/>
      <c r="D4" s="539"/>
      <c r="E4" s="539"/>
      <c r="F4" s="539"/>
    </row>
    <row r="6" spans="1:6" ht="15">
      <c r="A6" s="540" t="s">
        <v>317</v>
      </c>
      <c r="B6" s="540"/>
      <c r="C6" s="540"/>
      <c r="D6" s="540"/>
      <c r="E6" s="540"/>
      <c r="F6" s="540"/>
    </row>
    <row r="7" spans="1:6">
      <c r="A7" s="157" t="s">
        <v>4</v>
      </c>
      <c r="B7" s="158"/>
      <c r="C7" s="159" t="s">
        <v>318</v>
      </c>
      <c r="D7" s="159" t="s">
        <v>4</v>
      </c>
      <c r="E7" s="158"/>
      <c r="F7" s="284" t="s">
        <v>318</v>
      </c>
    </row>
    <row r="8" spans="1:6">
      <c r="A8" s="160" t="s">
        <v>6</v>
      </c>
      <c r="B8" s="161" t="s">
        <v>319</v>
      </c>
      <c r="C8" s="162" t="s">
        <v>320</v>
      </c>
      <c r="D8" s="162" t="s">
        <v>321</v>
      </c>
      <c r="E8" s="162" t="s">
        <v>322</v>
      </c>
      <c r="F8" s="289" t="s">
        <v>320</v>
      </c>
    </row>
    <row r="9" spans="1:6" ht="15">
      <c r="A9" s="163"/>
      <c r="B9" s="164" t="s">
        <v>323</v>
      </c>
      <c r="C9" s="165"/>
      <c r="D9" s="166"/>
      <c r="E9" s="167" t="s">
        <v>324</v>
      </c>
      <c r="F9" s="290"/>
    </row>
    <row r="10" spans="1:6" ht="15">
      <c r="A10" s="163">
        <v>1</v>
      </c>
      <c r="B10" s="168" t="s">
        <v>325</v>
      </c>
      <c r="C10" s="169"/>
      <c r="D10" s="170"/>
      <c r="E10" s="171"/>
      <c r="F10" s="291"/>
    </row>
    <row r="11" spans="1:6">
      <c r="A11" s="160"/>
      <c r="B11" s="172" t="s">
        <v>326</v>
      </c>
      <c r="C11" s="173">
        <f>'Plant Sched 4'!G28-1980824</f>
        <v>80143757</v>
      </c>
      <c r="D11" s="174">
        <v>29</v>
      </c>
      <c r="E11" s="175" t="s">
        <v>327</v>
      </c>
      <c r="F11" s="173">
        <v>0</v>
      </c>
    </row>
    <row r="12" spans="1:6">
      <c r="A12" s="176">
        <v>2</v>
      </c>
      <c r="B12" s="177" t="s">
        <v>328</v>
      </c>
      <c r="C12" s="301">
        <v>1980824</v>
      </c>
      <c r="D12" s="178">
        <v>30</v>
      </c>
      <c r="E12" s="179" t="s">
        <v>329</v>
      </c>
      <c r="F12" s="292">
        <v>0</v>
      </c>
    </row>
    <row r="13" spans="1:6" ht="15">
      <c r="A13" s="163">
        <v>3</v>
      </c>
      <c r="B13" s="168" t="s">
        <v>330</v>
      </c>
      <c r="C13" s="169"/>
      <c r="D13" s="170"/>
      <c r="E13" s="171"/>
      <c r="F13" s="291"/>
    </row>
    <row r="14" spans="1:6" ht="15">
      <c r="A14" s="163"/>
      <c r="B14" s="180" t="s">
        <v>331</v>
      </c>
      <c r="C14" s="169"/>
      <c r="D14" s="170">
        <v>31</v>
      </c>
      <c r="E14" s="171" t="s">
        <v>332</v>
      </c>
      <c r="F14" s="291"/>
    </row>
    <row r="15" spans="1:6" ht="13.5" thickBot="1">
      <c r="A15" s="160"/>
      <c r="B15" s="172" t="s">
        <v>333</v>
      </c>
      <c r="C15" s="181">
        <f>'Plant Sched 4'!I28</f>
        <v>36909462</v>
      </c>
      <c r="D15" s="174"/>
      <c r="E15" s="182" t="s">
        <v>334</v>
      </c>
      <c r="F15" s="181">
        <f>'Capital Structure'!J22</f>
        <v>45191190</v>
      </c>
    </row>
    <row r="16" spans="1:6" ht="13.5" thickBot="1">
      <c r="A16" s="176">
        <v>4</v>
      </c>
      <c r="B16" s="183" t="s">
        <v>335</v>
      </c>
      <c r="C16" s="184">
        <f>+C11+C12-C15</f>
        <v>45215119</v>
      </c>
      <c r="D16" s="185">
        <v>32</v>
      </c>
      <c r="E16" s="186" t="s">
        <v>336</v>
      </c>
      <c r="F16" s="184">
        <f>+F15+F11+F12</f>
        <v>45191190</v>
      </c>
    </row>
    <row r="17" spans="1:6">
      <c r="A17" s="166">
        <v>5</v>
      </c>
      <c r="B17" s="171" t="s">
        <v>337</v>
      </c>
      <c r="C17" s="187">
        <v>0</v>
      </c>
      <c r="D17" s="170"/>
      <c r="E17" s="188" t="s">
        <v>338</v>
      </c>
      <c r="F17" s="291"/>
    </row>
    <row r="18" spans="1:6" ht="15">
      <c r="A18" s="170">
        <v>6</v>
      </c>
      <c r="B18" s="189" t="s">
        <v>330</v>
      </c>
      <c r="C18" s="169"/>
      <c r="D18" s="190"/>
      <c r="E18" s="171"/>
      <c r="F18" s="291"/>
    </row>
    <row r="19" spans="1:6" ht="15">
      <c r="A19" s="163"/>
      <c r="B19" s="180" t="s">
        <v>339</v>
      </c>
      <c r="C19" s="169"/>
      <c r="D19" s="170"/>
      <c r="E19" s="171"/>
      <c r="F19" s="291"/>
    </row>
    <row r="20" spans="1:6">
      <c r="A20" s="163"/>
      <c r="B20" s="180" t="s">
        <v>340</v>
      </c>
      <c r="C20" s="181">
        <v>0</v>
      </c>
      <c r="D20" s="174">
        <v>33</v>
      </c>
      <c r="E20" s="175" t="s">
        <v>341</v>
      </c>
      <c r="F20" s="302">
        <f>'Capital Structure'!H22</f>
        <v>20275250</v>
      </c>
    </row>
    <row r="21" spans="1:6" ht="13.5" thickBot="1">
      <c r="A21" s="191">
        <v>7</v>
      </c>
      <c r="B21" s="192" t="s">
        <v>342</v>
      </c>
      <c r="C21" s="193"/>
      <c r="D21" s="190">
        <v>34</v>
      </c>
      <c r="E21" s="171" t="s">
        <v>343</v>
      </c>
      <c r="F21" s="291"/>
    </row>
    <row r="22" spans="1:6" ht="13.5" thickBot="1">
      <c r="A22" s="160"/>
      <c r="B22" s="194" t="s">
        <v>344</v>
      </c>
      <c r="C22" s="184">
        <f>+C16+C17-C20</f>
        <v>45215119</v>
      </c>
      <c r="D22" s="162"/>
      <c r="E22" s="182" t="s">
        <v>345</v>
      </c>
      <c r="F22" s="303"/>
    </row>
    <row r="23" spans="1:6" ht="15">
      <c r="A23" s="163"/>
      <c r="B23" s="195" t="s">
        <v>346</v>
      </c>
      <c r="C23" s="169"/>
      <c r="D23" s="170">
        <v>35</v>
      </c>
      <c r="E23" s="171" t="s">
        <v>347</v>
      </c>
      <c r="F23" s="291"/>
    </row>
    <row r="24" spans="1:6">
      <c r="A24" s="160">
        <v>8</v>
      </c>
      <c r="B24" s="196" t="s">
        <v>348</v>
      </c>
      <c r="C24" s="197">
        <v>0</v>
      </c>
      <c r="D24" s="174"/>
      <c r="E24" s="182" t="s">
        <v>349</v>
      </c>
      <c r="F24" s="197">
        <v>0</v>
      </c>
    </row>
    <row r="25" spans="1:6" ht="15">
      <c r="A25" s="163">
        <v>9</v>
      </c>
      <c r="B25" s="168" t="s">
        <v>330</v>
      </c>
      <c r="C25" s="198"/>
      <c r="D25" s="170">
        <v>36</v>
      </c>
      <c r="E25" s="171" t="s">
        <v>350</v>
      </c>
      <c r="F25" s="293"/>
    </row>
    <row r="26" spans="1:6">
      <c r="A26" s="160"/>
      <c r="B26" s="172" t="s">
        <v>351</v>
      </c>
      <c r="C26" s="197">
        <v>0</v>
      </c>
      <c r="D26" s="174"/>
      <c r="E26" s="182" t="s">
        <v>352</v>
      </c>
      <c r="F26" s="197">
        <f>'Capital Structure'!I22</f>
        <v>0</v>
      </c>
    </row>
    <row r="27" spans="1:6" ht="15.75" thickBot="1">
      <c r="A27" s="163">
        <v>10</v>
      </c>
      <c r="B27" s="168" t="s">
        <v>353</v>
      </c>
      <c r="C27" s="198"/>
      <c r="D27" s="170"/>
      <c r="E27" s="171"/>
      <c r="F27" s="293"/>
    </row>
    <row r="28" spans="1:6" ht="13.5" thickBot="1">
      <c r="A28" s="160"/>
      <c r="B28" s="172" t="s">
        <v>354</v>
      </c>
      <c r="C28" s="197">
        <v>0</v>
      </c>
      <c r="D28" s="174">
        <v>37</v>
      </c>
      <c r="E28" s="199" t="s">
        <v>355</v>
      </c>
      <c r="F28" s="200">
        <f>+F20+F22+F24-F26</f>
        <v>20275250</v>
      </c>
    </row>
    <row r="29" spans="1:6" ht="13.5" thickBot="1">
      <c r="A29" s="176">
        <v>11</v>
      </c>
      <c r="B29" s="177" t="s">
        <v>356</v>
      </c>
      <c r="C29" s="201">
        <v>4919525</v>
      </c>
      <c r="D29" s="174"/>
      <c r="E29" s="175"/>
      <c r="F29" s="294"/>
    </row>
    <row r="30" spans="1:6" ht="13.5" thickBot="1">
      <c r="A30" s="176">
        <v>12</v>
      </c>
      <c r="B30" s="202" t="s">
        <v>357</v>
      </c>
      <c r="C30" s="200">
        <f>+C24+C26+C28+C29</f>
        <v>4919525</v>
      </c>
      <c r="D30" s="162"/>
      <c r="E30" s="203" t="s">
        <v>358</v>
      </c>
      <c r="F30" s="294"/>
    </row>
    <row r="31" spans="1:6" ht="15">
      <c r="A31" s="163"/>
      <c r="B31" s="195" t="s">
        <v>359</v>
      </c>
      <c r="C31" s="198"/>
      <c r="D31" s="178">
        <v>38</v>
      </c>
      <c r="E31" s="179" t="s">
        <v>360</v>
      </c>
      <c r="F31" s="204">
        <v>0</v>
      </c>
    </row>
    <row r="32" spans="1:6" ht="15.75" thickBot="1">
      <c r="A32" s="163">
        <v>13</v>
      </c>
      <c r="B32" s="168" t="s">
        <v>361</v>
      </c>
      <c r="C32" s="198"/>
      <c r="D32" s="178">
        <v>39</v>
      </c>
      <c r="E32" s="179" t="s">
        <v>362</v>
      </c>
      <c r="F32" s="201">
        <v>0</v>
      </c>
    </row>
    <row r="33" spans="1:8" ht="13.5" thickBot="1">
      <c r="A33" s="160"/>
      <c r="B33" s="172" t="s">
        <v>363</v>
      </c>
      <c r="C33" s="197">
        <f>385420+14513984+1</f>
        <v>14899405</v>
      </c>
      <c r="D33" s="174">
        <v>40</v>
      </c>
      <c r="E33" s="199" t="s">
        <v>364</v>
      </c>
      <c r="F33" s="200">
        <f>SUM(F31:F32)</f>
        <v>0</v>
      </c>
    </row>
    <row r="34" spans="1:8" ht="15">
      <c r="A34" s="163">
        <v>14</v>
      </c>
      <c r="B34" s="168" t="s">
        <v>365</v>
      </c>
      <c r="C34" s="198"/>
      <c r="D34" s="170"/>
      <c r="E34" s="171"/>
      <c r="F34" s="293"/>
    </row>
    <row r="35" spans="1:8">
      <c r="A35" s="160"/>
      <c r="B35" s="172" t="s">
        <v>366</v>
      </c>
      <c r="C35" s="197"/>
      <c r="D35" s="174"/>
      <c r="E35" s="203" t="s">
        <v>367</v>
      </c>
      <c r="F35" s="294"/>
      <c r="H35" s="205"/>
    </row>
    <row r="36" spans="1:8">
      <c r="A36" s="176">
        <v>15</v>
      </c>
      <c r="B36" s="177" t="s">
        <v>368</v>
      </c>
      <c r="C36" s="204">
        <v>4163806</v>
      </c>
      <c r="D36" s="174">
        <v>41</v>
      </c>
      <c r="E36" s="175" t="s">
        <v>369</v>
      </c>
      <c r="F36" s="197">
        <v>0</v>
      </c>
      <c r="H36" s="205"/>
    </row>
    <row r="37" spans="1:8" ht="15">
      <c r="A37" s="163">
        <v>16</v>
      </c>
      <c r="B37" s="168" t="s">
        <v>330</v>
      </c>
      <c r="C37" s="198"/>
      <c r="D37" s="170"/>
      <c r="E37" s="171"/>
      <c r="F37" s="293"/>
      <c r="H37" s="205"/>
    </row>
    <row r="38" spans="1:8">
      <c r="A38" s="160"/>
      <c r="B38" s="172" t="s">
        <v>370</v>
      </c>
      <c r="C38" s="197"/>
      <c r="D38" s="174">
        <v>42</v>
      </c>
      <c r="E38" s="175" t="s">
        <v>371</v>
      </c>
      <c r="F38" s="197">
        <v>3803614</v>
      </c>
    </row>
    <row r="39" spans="1:8" ht="15">
      <c r="A39" s="163">
        <v>17</v>
      </c>
      <c r="B39" s="168" t="s">
        <v>372</v>
      </c>
      <c r="C39" s="198"/>
      <c r="D39" s="170">
        <v>43</v>
      </c>
      <c r="E39" s="171" t="s">
        <v>373</v>
      </c>
      <c r="F39" s="293"/>
    </row>
    <row r="40" spans="1:8">
      <c r="A40" s="160"/>
      <c r="B40" s="172" t="s">
        <v>374</v>
      </c>
      <c r="C40" s="197"/>
      <c r="D40" s="174"/>
      <c r="E40" s="182" t="s">
        <v>375</v>
      </c>
      <c r="F40" s="197"/>
    </row>
    <row r="41" spans="1:8">
      <c r="A41" s="176">
        <v>18</v>
      </c>
      <c r="B41" s="177" t="s">
        <v>376</v>
      </c>
      <c r="C41" s="204">
        <v>776464</v>
      </c>
      <c r="D41" s="174">
        <v>44</v>
      </c>
      <c r="E41" s="175" t="s">
        <v>377</v>
      </c>
      <c r="F41" s="197">
        <v>50655</v>
      </c>
    </row>
    <row r="42" spans="1:8">
      <c r="A42" s="176">
        <v>19</v>
      </c>
      <c r="B42" s="177" t="s">
        <v>378</v>
      </c>
      <c r="C42" s="204"/>
      <c r="D42" s="174">
        <v>45</v>
      </c>
      <c r="E42" s="175" t="s">
        <v>379</v>
      </c>
      <c r="F42" s="197"/>
    </row>
    <row r="43" spans="1:8">
      <c r="A43" s="176">
        <v>20</v>
      </c>
      <c r="B43" s="177" t="s">
        <v>380</v>
      </c>
      <c r="C43" s="204">
        <f>'Materials and Prepayments'!F20</f>
        <v>118249</v>
      </c>
      <c r="D43" s="174">
        <v>46</v>
      </c>
      <c r="E43" s="175" t="s">
        <v>381</v>
      </c>
      <c r="F43" s="197">
        <v>377104</v>
      </c>
    </row>
    <row r="44" spans="1:8" ht="13.5" thickBot="1">
      <c r="A44" s="178">
        <v>21</v>
      </c>
      <c r="B44" s="177" t="s">
        <v>382</v>
      </c>
      <c r="C44" s="204">
        <v>114975</v>
      </c>
      <c r="D44" s="174">
        <v>47</v>
      </c>
      <c r="E44" s="175" t="s">
        <v>383</v>
      </c>
      <c r="F44" s="206">
        <v>170655</v>
      </c>
    </row>
    <row r="45" spans="1:8" ht="13.5" thickBot="1">
      <c r="A45" s="178">
        <v>22</v>
      </c>
      <c r="B45" s="177" t="s">
        <v>384</v>
      </c>
      <c r="C45" s="201">
        <v>0</v>
      </c>
      <c r="D45" s="174">
        <v>48</v>
      </c>
      <c r="E45" s="199" t="s">
        <v>385</v>
      </c>
      <c r="F45" s="200">
        <f>+F44+F43+F42+F41+F40+F38+F36</f>
        <v>4402028</v>
      </c>
    </row>
    <row r="46" spans="1:8" ht="13.5" thickBot="1">
      <c r="A46" s="178">
        <v>23</v>
      </c>
      <c r="B46" s="202" t="s">
        <v>386</v>
      </c>
      <c r="C46" s="200">
        <f>+C33+C35+C36-C38+C40+C42+C43+C44+C45+C41</f>
        <v>20072899</v>
      </c>
      <c r="D46" s="162"/>
      <c r="E46" s="203" t="s">
        <v>387</v>
      </c>
      <c r="F46" s="294"/>
    </row>
    <row r="47" spans="1:8" ht="15">
      <c r="A47" s="168"/>
      <c r="B47" s="195" t="s">
        <v>388</v>
      </c>
      <c r="C47" s="198"/>
      <c r="D47" s="170">
        <v>49</v>
      </c>
      <c r="E47" s="171" t="s">
        <v>389</v>
      </c>
      <c r="F47" s="293"/>
    </row>
    <row r="48" spans="1:8">
      <c r="A48" s="174">
        <v>24</v>
      </c>
      <c r="B48" s="196" t="s">
        <v>390</v>
      </c>
      <c r="C48" s="197">
        <f>326647-205048</f>
        <v>121599</v>
      </c>
      <c r="D48" s="174"/>
      <c r="E48" s="207" t="s">
        <v>391</v>
      </c>
      <c r="F48" s="197">
        <v>159000</v>
      </c>
    </row>
    <row r="49" spans="1:6" ht="15">
      <c r="A49" s="170">
        <v>25</v>
      </c>
      <c r="B49" s="168" t="s">
        <v>392</v>
      </c>
      <c r="C49" s="198"/>
      <c r="D49" s="170">
        <v>50</v>
      </c>
      <c r="E49" s="171" t="s">
        <v>393</v>
      </c>
      <c r="F49" s="293"/>
    </row>
    <row r="50" spans="1:6">
      <c r="A50" s="196"/>
      <c r="B50" s="172" t="s">
        <v>394</v>
      </c>
      <c r="C50" s="197">
        <v>159000</v>
      </c>
      <c r="D50" s="174"/>
      <c r="E50" s="182" t="s">
        <v>395</v>
      </c>
      <c r="F50" s="197">
        <f>371944+88730</f>
        <v>460674</v>
      </c>
    </row>
    <row r="51" spans="1:6" ht="15">
      <c r="A51" s="170">
        <v>26</v>
      </c>
      <c r="B51" s="168" t="s">
        <v>396</v>
      </c>
      <c r="C51" s="198"/>
      <c r="D51" s="170"/>
      <c r="E51" s="171"/>
      <c r="F51" s="293"/>
    </row>
    <row r="52" spans="1:6" ht="15">
      <c r="A52" s="163"/>
      <c r="B52" s="180" t="s">
        <v>397</v>
      </c>
      <c r="C52" s="198"/>
      <c r="D52" s="170">
        <v>51</v>
      </c>
      <c r="E52" s="171" t="s">
        <v>398</v>
      </c>
      <c r="F52" s="293"/>
    </row>
    <row r="53" spans="1:6" ht="13.5" thickBot="1">
      <c r="A53" s="160"/>
      <c r="B53" s="172" t="s">
        <v>399</v>
      </c>
      <c r="C53" s="206"/>
      <c r="D53" s="174"/>
      <c r="E53" s="207" t="s">
        <v>400</v>
      </c>
      <c r="F53" s="206">
        <v>0</v>
      </c>
    </row>
    <row r="54" spans="1:6" ht="13.5" thickBot="1">
      <c r="A54" s="176">
        <v>27</v>
      </c>
      <c r="B54" s="202" t="s">
        <v>401</v>
      </c>
      <c r="C54" s="200">
        <f>C48+C50+C53</f>
        <v>280599</v>
      </c>
      <c r="D54" s="162">
        <v>52</v>
      </c>
      <c r="E54" s="199" t="s">
        <v>402</v>
      </c>
      <c r="F54" s="200">
        <f>+F53+F50+F48</f>
        <v>619674</v>
      </c>
    </row>
    <row r="55" spans="1:6" ht="13.5" thickBot="1">
      <c r="A55" s="163"/>
      <c r="B55" s="208"/>
      <c r="C55" s="209"/>
      <c r="D55" s="170"/>
      <c r="E55" s="171"/>
      <c r="F55" s="293"/>
    </row>
    <row r="56" spans="1:6" ht="13.5" thickBot="1">
      <c r="A56" s="210">
        <v>28</v>
      </c>
      <c r="B56" s="211" t="s">
        <v>403</v>
      </c>
      <c r="C56" s="212">
        <f>+C54+C46+C21+C22+C30</f>
        <v>70488142</v>
      </c>
      <c r="D56" s="213">
        <v>53</v>
      </c>
      <c r="E56" s="214" t="s">
        <v>404</v>
      </c>
      <c r="F56" s="212">
        <f>+F54+F45+F28+F16+F33</f>
        <v>70488142</v>
      </c>
    </row>
    <row r="57" spans="1:6" ht="15">
      <c r="A57" s="215"/>
      <c r="B57" s="215"/>
      <c r="C57" s="216"/>
      <c r="D57" s="217"/>
      <c r="E57" s="217"/>
      <c r="F57" s="295">
        <v>0</v>
      </c>
    </row>
    <row r="58" spans="1:6" ht="15">
      <c r="A58" s="215"/>
      <c r="B58" s="217"/>
      <c r="C58" s="216"/>
      <c r="D58" s="217"/>
      <c r="E58" s="217"/>
      <c r="F58" s="296"/>
    </row>
    <row r="59" spans="1:6">
      <c r="A59" s="215"/>
      <c r="B59" s="215"/>
      <c r="C59" s="218"/>
      <c r="D59" s="217"/>
      <c r="E59" s="217"/>
      <c r="F59" s="296"/>
    </row>
    <row r="60" spans="1:6">
      <c r="A60" s="215"/>
      <c r="B60" s="215"/>
      <c r="C60" s="219"/>
      <c r="D60" s="215"/>
      <c r="E60" s="215"/>
      <c r="F60" s="297"/>
    </row>
    <row r="61" spans="1:6">
      <c r="A61" s="215"/>
      <c r="B61" s="215"/>
      <c r="C61" s="219"/>
      <c r="D61" s="215"/>
      <c r="E61" s="215"/>
      <c r="F61" s="297"/>
    </row>
    <row r="62" spans="1:6">
      <c r="A62" s="215"/>
      <c r="B62" s="215"/>
      <c r="C62" s="219"/>
      <c r="D62" s="215"/>
      <c r="E62" s="215"/>
      <c r="F62" s="298"/>
    </row>
    <row r="63" spans="1:6">
      <c r="A63" s="215"/>
      <c r="B63" s="215"/>
      <c r="C63" s="219"/>
      <c r="D63" s="215"/>
      <c r="E63" s="215"/>
      <c r="F63" s="298"/>
    </row>
    <row r="64" spans="1:6">
      <c r="A64" s="215"/>
      <c r="B64" s="215"/>
      <c r="C64" s="219"/>
      <c r="D64" s="215"/>
      <c r="E64" s="215"/>
      <c r="F64" s="263"/>
    </row>
    <row r="65" spans="1:6">
      <c r="A65" s="215"/>
      <c r="B65" s="215"/>
      <c r="C65" s="219"/>
      <c r="D65" s="215"/>
      <c r="E65" s="215"/>
      <c r="F65" s="299"/>
    </row>
    <row r="66" spans="1:6">
      <c r="A66" s="215"/>
      <c r="B66" s="215"/>
      <c r="C66" s="219"/>
      <c r="D66" s="215"/>
      <c r="E66" s="215"/>
      <c r="F66" s="263"/>
    </row>
    <row r="67" spans="1:6">
      <c r="A67" s="215"/>
      <c r="B67" s="215"/>
      <c r="C67" s="219"/>
      <c r="D67" s="215"/>
      <c r="E67" s="215"/>
      <c r="F67" s="263"/>
    </row>
    <row r="68" spans="1:6">
      <c r="A68" s="215"/>
      <c r="B68" s="215"/>
      <c r="C68" s="219"/>
      <c r="D68" s="215"/>
      <c r="E68" s="215"/>
      <c r="F68" s="263"/>
    </row>
    <row r="69" spans="1:6">
      <c r="A69" s="215"/>
      <c r="B69" s="215"/>
      <c r="C69" s="215"/>
      <c r="D69" s="215"/>
      <c r="E69" s="215"/>
      <c r="F69" s="263"/>
    </row>
    <row r="70" spans="1:6">
      <c r="A70" s="215"/>
      <c r="B70" s="215"/>
      <c r="C70" s="215"/>
      <c r="D70" s="215"/>
      <c r="E70" s="215"/>
      <c r="F70" s="263"/>
    </row>
    <row r="71" spans="1:6">
      <c r="A71" s="215"/>
      <c r="B71" s="215"/>
      <c r="C71" s="215"/>
      <c r="D71" s="215"/>
      <c r="E71" s="215"/>
      <c r="F71" s="263"/>
    </row>
    <row r="72" spans="1:6">
      <c r="A72" s="215"/>
      <c r="B72" s="215"/>
      <c r="C72" s="215"/>
      <c r="D72" s="215"/>
      <c r="E72" s="215"/>
      <c r="F72" s="263"/>
    </row>
    <row r="73" spans="1:6">
      <c r="A73" s="215"/>
      <c r="B73" s="215"/>
      <c r="C73" s="215"/>
      <c r="D73" s="215"/>
      <c r="E73" s="215"/>
      <c r="F73" s="263"/>
    </row>
    <row r="74" spans="1:6">
      <c r="A74" s="215"/>
      <c r="B74" s="215"/>
      <c r="C74" s="215"/>
      <c r="D74" s="215"/>
      <c r="E74" s="215"/>
      <c r="F74" s="263"/>
    </row>
    <row r="75" spans="1:6">
      <c r="A75" s="215"/>
      <c r="B75" s="215"/>
      <c r="C75" s="215"/>
      <c r="D75" s="215"/>
      <c r="E75" s="215"/>
      <c r="F75" s="263"/>
    </row>
    <row r="76" spans="1:6">
      <c r="A76" s="215"/>
      <c r="B76" s="215"/>
      <c r="C76" s="215"/>
      <c r="D76" s="215"/>
      <c r="E76" s="215"/>
      <c r="F76" s="263"/>
    </row>
  </sheetData>
  <mergeCells count="5">
    <mergeCell ref="A1:F1"/>
    <mergeCell ref="A2:F2"/>
    <mergeCell ref="A3:F3"/>
    <mergeCell ref="A4:F4"/>
    <mergeCell ref="A6:F6"/>
  </mergeCells>
  <pageMargins left="0.47" right="0.45" top="1" bottom="0.5" header="0.5" footer="0.5"/>
  <pageSetup scale="82" orientation="portrait" r:id="rId1"/>
  <headerFooter alignWithMargins="0">
    <oddHeader xml:space="preserve">&amp;L&amp;"Arial MT,Bold"Marshall Municipal Utilities
2015 MMU Workpapers&amp;R&amp;"Arial MT,Bold"Exhibit MMU-4
Page 1 of 19 </oddHeader>
    <oddFooter>&amp;L&amp;8&amp;Z&amp;F&amp;A&amp;R&amp;8&amp;D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90" zoomScaleNormal="90" workbookViewId="0">
      <selection activeCell="C19" sqref="C19"/>
    </sheetView>
  </sheetViews>
  <sheetFormatPr defaultRowHeight="12.75"/>
  <cols>
    <col min="1" max="1" width="5.21875" style="156" customWidth="1"/>
    <col min="2" max="2" width="60" style="156" customWidth="1"/>
    <col min="3" max="3" width="13" style="156" customWidth="1"/>
    <col min="4" max="4" width="8.88671875" style="156"/>
    <col min="5" max="5" width="16.88671875" style="156" customWidth="1"/>
    <col min="6" max="6" width="10.77734375" style="156" bestFit="1" customWidth="1"/>
    <col min="7" max="7" width="3.6640625" style="156" customWidth="1"/>
    <col min="8" max="8" width="10.77734375" style="156" bestFit="1" customWidth="1"/>
    <col min="9" max="9" width="9" style="156" bestFit="1" customWidth="1"/>
    <col min="10" max="16384" width="8.88671875" style="156"/>
  </cols>
  <sheetData>
    <row r="1" spans="1:9" s="155" customFormat="1" ht="15.75">
      <c r="A1" s="537" t="str">
        <f>Coversheet!D3</f>
        <v>Marshall (Minnesota) Municipal Utilities</v>
      </c>
      <c r="B1" s="537"/>
      <c r="C1" s="537"/>
      <c r="D1" s="220"/>
      <c r="E1" s="220"/>
      <c r="F1" s="220"/>
    </row>
    <row r="2" spans="1:9" s="155" customFormat="1" ht="15">
      <c r="A2" s="538" t="s">
        <v>315</v>
      </c>
      <c r="B2" s="538"/>
      <c r="C2" s="538"/>
      <c r="D2" s="220"/>
      <c r="E2" s="220"/>
      <c r="F2" s="220"/>
    </row>
    <row r="3" spans="1:9" s="155" customFormat="1" ht="15">
      <c r="A3" s="538" t="s">
        <v>405</v>
      </c>
      <c r="B3" s="538"/>
      <c r="C3" s="538"/>
      <c r="D3" s="220"/>
      <c r="E3" s="220"/>
      <c r="F3" s="220"/>
    </row>
    <row r="4" spans="1:9" s="155" customFormat="1" ht="15.75">
      <c r="A4" s="539">
        <f>+'Balance sheet Sched 2'!A4:F4</f>
        <v>42369</v>
      </c>
      <c r="B4" s="539"/>
      <c r="C4" s="539"/>
      <c r="D4" s="221"/>
      <c r="E4" s="221"/>
      <c r="F4" s="221"/>
    </row>
    <row r="5" spans="1:9" s="155" customFormat="1" ht="15">
      <c r="A5" s="222"/>
      <c r="B5" s="222"/>
      <c r="C5" s="222"/>
      <c r="D5" s="387"/>
      <c r="E5" s="387"/>
      <c r="F5" s="222"/>
    </row>
    <row r="6" spans="1:9" ht="15">
      <c r="A6" s="541" t="s">
        <v>406</v>
      </c>
      <c r="B6" s="541"/>
      <c r="C6" s="541"/>
      <c r="D6" s="386"/>
      <c r="E6" s="386"/>
      <c r="F6" s="223"/>
    </row>
    <row r="7" spans="1:9" ht="15">
      <c r="A7" s="224" t="s">
        <v>4</v>
      </c>
      <c r="B7" s="225"/>
      <c r="C7" s="226" t="s">
        <v>7</v>
      </c>
      <c r="D7" s="388"/>
      <c r="E7" s="388"/>
    </row>
    <row r="8" spans="1:9" ht="15">
      <c r="A8" s="175" t="s">
        <v>6</v>
      </c>
      <c r="B8" s="227"/>
      <c r="C8" s="162" t="s">
        <v>320</v>
      </c>
      <c r="D8" s="388"/>
      <c r="E8" s="388"/>
    </row>
    <row r="9" spans="1:9" ht="15">
      <c r="A9" s="174"/>
      <c r="B9" s="227" t="s">
        <v>407</v>
      </c>
      <c r="C9" s="304">
        <v>49580707</v>
      </c>
      <c r="D9" s="388"/>
      <c r="E9" s="388"/>
    </row>
    <row r="10" spans="1:9" ht="15">
      <c r="A10" s="174">
        <v>2</v>
      </c>
      <c r="B10" s="227" t="s">
        <v>408</v>
      </c>
      <c r="C10" s="228">
        <f>'Op &amp; Maint Sched 7'!D31</f>
        <v>44470755</v>
      </c>
      <c r="D10" s="388"/>
      <c r="E10" s="388"/>
    </row>
    <row r="11" spans="1:9" ht="15">
      <c r="A11" s="174">
        <v>3</v>
      </c>
      <c r="B11" s="227" t="s">
        <v>409</v>
      </c>
      <c r="C11" s="228">
        <f>'Op &amp; Maint Sched 7'!E31</f>
        <v>1625521</v>
      </c>
      <c r="D11" s="388"/>
      <c r="E11" s="388"/>
      <c r="F11" s="346"/>
      <c r="G11" s="346"/>
      <c r="H11" s="346"/>
      <c r="I11" s="346"/>
    </row>
    <row r="12" spans="1:9" ht="15">
      <c r="A12" s="178">
        <v>4</v>
      </c>
      <c r="B12" s="229" t="s">
        <v>410</v>
      </c>
      <c r="C12" s="230">
        <v>3030308</v>
      </c>
      <c r="D12" s="388"/>
      <c r="E12" s="388"/>
      <c r="F12" s="346"/>
      <c r="G12" s="346"/>
      <c r="H12" s="346"/>
      <c r="I12" s="346"/>
    </row>
    <row r="13" spans="1:9" ht="15">
      <c r="A13" s="174">
        <v>5</v>
      </c>
      <c r="B13" s="227" t="s">
        <v>411</v>
      </c>
      <c r="C13" s="228">
        <v>0</v>
      </c>
      <c r="D13" s="388"/>
      <c r="E13" s="388"/>
      <c r="F13" s="346"/>
      <c r="G13" s="346"/>
      <c r="H13" s="346"/>
      <c r="I13" s="346"/>
    </row>
    <row r="14" spans="1:9" ht="15.75" thickBot="1">
      <c r="A14" s="170">
        <v>6</v>
      </c>
      <c r="B14" s="231" t="s">
        <v>412</v>
      </c>
      <c r="C14" s="232">
        <f>'Taxes other than inc tax'!E12</f>
        <v>1346433</v>
      </c>
      <c r="D14" s="388"/>
      <c r="E14" s="388"/>
      <c r="F14" s="346"/>
      <c r="G14" s="346"/>
      <c r="H14" s="346"/>
      <c r="I14" s="346"/>
    </row>
    <row r="15" spans="1:9" ht="15.75" thickBot="1">
      <c r="A15" s="233">
        <v>7</v>
      </c>
      <c r="B15" s="234" t="s">
        <v>413</v>
      </c>
      <c r="C15" s="235">
        <f>SUM(C10:C14)</f>
        <v>50473017</v>
      </c>
      <c r="D15" s="388"/>
      <c r="E15" s="388"/>
      <c r="F15" s="346"/>
      <c r="G15" s="346"/>
      <c r="H15" s="346"/>
      <c r="I15" s="346"/>
    </row>
    <row r="16" spans="1:9" ht="15.75" thickBot="1">
      <c r="A16" s="233">
        <v>8</v>
      </c>
      <c r="B16" s="236" t="s">
        <v>414</v>
      </c>
      <c r="C16" s="235">
        <f>+C9-C15</f>
        <v>-892310</v>
      </c>
      <c r="D16" s="388"/>
      <c r="E16" s="388"/>
      <c r="F16" s="346"/>
      <c r="G16" s="346"/>
      <c r="H16" s="346"/>
      <c r="I16" s="346"/>
    </row>
    <row r="17" spans="1:5" ht="15.75" thickBot="1">
      <c r="A17" s="170">
        <v>9</v>
      </c>
      <c r="B17" s="231" t="s">
        <v>415</v>
      </c>
      <c r="C17" s="232">
        <v>399000</v>
      </c>
      <c r="D17" s="388"/>
      <c r="E17" s="388"/>
    </row>
    <row r="18" spans="1:5" ht="15.75" thickBot="1">
      <c r="A18" s="237">
        <v>10</v>
      </c>
      <c r="B18" s="238" t="s">
        <v>416</v>
      </c>
      <c r="C18" s="235">
        <f>+C17+C16</f>
        <v>-493310</v>
      </c>
      <c r="D18" s="388"/>
      <c r="E18" s="388"/>
    </row>
    <row r="19" spans="1:5" ht="15">
      <c r="A19" s="174">
        <v>11</v>
      </c>
      <c r="B19" s="227" t="s">
        <v>417</v>
      </c>
      <c r="C19" s="228">
        <f>350000+30000+44360+64890+279300+400</f>
        <v>768950</v>
      </c>
      <c r="D19" s="388"/>
      <c r="E19" s="388"/>
    </row>
    <row r="20" spans="1:5" ht="15">
      <c r="A20" s="174">
        <v>12</v>
      </c>
      <c r="B20" s="227" t="s">
        <v>418</v>
      </c>
      <c r="C20" s="228">
        <v>0</v>
      </c>
      <c r="D20" s="388"/>
      <c r="E20" s="388"/>
    </row>
    <row r="21" spans="1:5" ht="15">
      <c r="A21" s="174">
        <v>13</v>
      </c>
      <c r="B21" s="227" t="s">
        <v>419</v>
      </c>
      <c r="C21" s="228"/>
      <c r="D21" s="388"/>
      <c r="E21" s="388"/>
    </row>
    <row r="22" spans="1:5" ht="15.75" thickBot="1">
      <c r="A22" s="170">
        <v>14</v>
      </c>
      <c r="B22" s="231" t="s">
        <v>420</v>
      </c>
      <c r="C22" s="232">
        <v>0</v>
      </c>
      <c r="D22" s="388"/>
      <c r="E22" s="388"/>
    </row>
    <row r="23" spans="1:5" ht="15.75" thickBot="1">
      <c r="A23" s="233">
        <v>15</v>
      </c>
      <c r="B23" s="234" t="s">
        <v>421</v>
      </c>
      <c r="C23" s="235">
        <f>+C18+C19-C20-C21-C22</f>
        <v>275640</v>
      </c>
      <c r="D23" s="388"/>
      <c r="E23" s="388"/>
    </row>
    <row r="24" spans="1:5" ht="15">
      <c r="A24" s="174">
        <v>16</v>
      </c>
      <c r="B24" s="227" t="s">
        <v>422</v>
      </c>
      <c r="C24" s="228">
        <v>870000</v>
      </c>
      <c r="D24" s="388"/>
      <c r="E24" s="388"/>
    </row>
    <row r="25" spans="1:5" ht="15">
      <c r="A25" s="174">
        <v>17</v>
      </c>
      <c r="B25" s="227" t="s">
        <v>423</v>
      </c>
      <c r="C25" s="228">
        <v>25000</v>
      </c>
      <c r="D25" s="388"/>
      <c r="E25" s="388"/>
    </row>
    <row r="26" spans="1:5" ht="15.75" thickBot="1">
      <c r="A26" s="170">
        <v>18</v>
      </c>
      <c r="B26" s="231" t="s">
        <v>424</v>
      </c>
      <c r="C26" s="232">
        <v>0</v>
      </c>
      <c r="D26" s="388"/>
      <c r="E26" s="388"/>
    </row>
    <row r="27" spans="1:5" ht="15.75" thickBot="1">
      <c r="A27" s="233">
        <v>19</v>
      </c>
      <c r="B27" s="234" t="s">
        <v>425</v>
      </c>
      <c r="C27" s="235">
        <f>SUM(C24:C26)</f>
        <v>895000</v>
      </c>
      <c r="D27" s="388"/>
      <c r="E27" s="388"/>
    </row>
    <row r="28" spans="1:5" ht="15.75" thickBot="1">
      <c r="A28" s="233">
        <v>20</v>
      </c>
      <c r="B28" s="234" t="s">
        <v>426</v>
      </c>
      <c r="C28" s="235">
        <f>+C23-C27</f>
        <v>-619360</v>
      </c>
      <c r="D28" s="388"/>
      <c r="E28" s="388"/>
    </row>
    <row r="29" spans="1:5" ht="15">
      <c r="A29" s="174">
        <v>21</v>
      </c>
      <c r="B29" s="227" t="s">
        <v>427</v>
      </c>
      <c r="C29" s="228">
        <v>0</v>
      </c>
      <c r="D29" s="388"/>
      <c r="E29" s="389"/>
    </row>
    <row r="30" spans="1:5" ht="15.75" thickBot="1">
      <c r="A30" s="170">
        <v>22</v>
      </c>
      <c r="B30" s="231" t="s">
        <v>428</v>
      </c>
      <c r="C30" s="232">
        <v>0</v>
      </c>
      <c r="D30" s="388"/>
      <c r="E30" s="388"/>
    </row>
    <row r="31" spans="1:5" ht="15.75" thickBot="1">
      <c r="A31" s="233">
        <v>23</v>
      </c>
      <c r="B31" s="236" t="s">
        <v>429</v>
      </c>
      <c r="C31" s="239">
        <f>SUM(C28:C30)</f>
        <v>-619360</v>
      </c>
      <c r="D31" s="388"/>
      <c r="E31" s="388"/>
    </row>
    <row r="32" spans="1:5" ht="15">
      <c r="A32" s="215"/>
      <c r="B32" s="215"/>
      <c r="C32" s="219"/>
      <c r="D32" s="388"/>
      <c r="E32" s="388"/>
    </row>
    <row r="33" spans="1:5" ht="15">
      <c r="A33" s="390"/>
      <c r="B33" s="390"/>
      <c r="C33" s="391"/>
      <c r="D33" s="390"/>
      <c r="E33" s="388"/>
    </row>
    <row r="34" spans="1:5" ht="15">
      <c r="A34" s="390"/>
      <c r="B34" s="390" t="s">
        <v>542</v>
      </c>
      <c r="C34" s="392">
        <v>0</v>
      </c>
      <c r="D34" s="390"/>
      <c r="E34" s="388"/>
    </row>
    <row r="35" spans="1:5" ht="15">
      <c r="A35" s="390"/>
      <c r="B35" s="390"/>
      <c r="C35" s="391"/>
      <c r="D35" s="390"/>
      <c r="E35" s="388"/>
    </row>
    <row r="36" spans="1:5" ht="15">
      <c r="A36" s="390"/>
      <c r="B36" s="390" t="s">
        <v>544</v>
      </c>
      <c r="C36" s="393">
        <f>+C31+C34</f>
        <v>-619360</v>
      </c>
      <c r="D36" s="390"/>
      <c r="E36" s="388"/>
    </row>
    <row r="37" spans="1:5" ht="15">
      <c r="A37" s="390"/>
      <c r="B37" s="390"/>
      <c r="C37" s="392"/>
      <c r="D37" s="390"/>
      <c r="E37" s="388"/>
    </row>
    <row r="38" spans="1:5" ht="15">
      <c r="A38" s="390"/>
      <c r="B38" s="390" t="s">
        <v>543</v>
      </c>
      <c r="C38" s="392">
        <v>0</v>
      </c>
      <c r="D38" s="390"/>
      <c r="E38" s="388"/>
    </row>
    <row r="39" spans="1:5" ht="15">
      <c r="A39" s="390"/>
      <c r="B39" s="390"/>
      <c r="C39" s="391"/>
      <c r="D39" s="390"/>
      <c r="E39" s="388"/>
    </row>
    <row r="40" spans="1:5" ht="15">
      <c r="A40" s="390"/>
      <c r="B40" s="390"/>
      <c r="C40" s="391"/>
      <c r="D40" s="390"/>
      <c r="E40" s="388"/>
    </row>
    <row r="41" spans="1:5">
      <c r="A41" s="215"/>
      <c r="B41" s="215"/>
      <c r="C41" s="219"/>
      <c r="D41" s="215"/>
    </row>
    <row r="42" spans="1:5">
      <c r="A42" s="215"/>
      <c r="B42" s="215"/>
      <c r="C42" s="219"/>
      <c r="D42" s="215"/>
    </row>
    <row r="43" spans="1:5">
      <c r="A43" s="215"/>
      <c r="B43" s="215"/>
      <c r="C43" s="219"/>
      <c r="D43" s="215"/>
    </row>
    <row r="44" spans="1:5">
      <c r="A44" s="215"/>
      <c r="B44" s="215"/>
      <c r="C44" s="219"/>
      <c r="D44" s="215"/>
    </row>
    <row r="45" spans="1:5">
      <c r="C45" s="240"/>
    </row>
    <row r="46" spans="1:5">
      <c r="C46" s="240"/>
    </row>
    <row r="47" spans="1:5">
      <c r="C47" s="240"/>
    </row>
    <row r="48" spans="1:5">
      <c r="C48" s="240"/>
    </row>
    <row r="49" spans="3:3">
      <c r="C49" s="240"/>
    </row>
    <row r="50" spans="3:3">
      <c r="C50" s="240"/>
    </row>
    <row r="51" spans="3:3">
      <c r="C51" s="240"/>
    </row>
    <row r="52" spans="3:3">
      <c r="C52" s="240"/>
    </row>
    <row r="53" spans="3:3">
      <c r="C53" s="240"/>
    </row>
    <row r="54" spans="3:3">
      <c r="C54" s="240"/>
    </row>
  </sheetData>
  <mergeCells count="5">
    <mergeCell ref="A1:C1"/>
    <mergeCell ref="A2:C2"/>
    <mergeCell ref="A3:C3"/>
    <mergeCell ref="A4:C4"/>
    <mergeCell ref="A6:C6"/>
  </mergeCells>
  <pageMargins left="0.75" right="0.75" top="1" bottom="1" header="0.5" footer="0.5"/>
  <pageSetup scale="85" orientation="landscape" r:id="rId1"/>
  <headerFooter alignWithMargins="0">
    <oddHeader>&amp;L&amp;"Arial MT,Bold"Marshall Municipal Utilities
2015 MMU Workpapers&amp;R&amp;"Arial MT,Bold"Exhibit MMU-4
Page 2 of 19</oddHeader>
    <oddFooter>&amp;L&amp;Z&amp;F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opLeftCell="A16" zoomScale="90" workbookViewId="0">
      <selection activeCell="A38" sqref="A38:XFD38"/>
    </sheetView>
  </sheetViews>
  <sheetFormatPr defaultRowHeight="12.75"/>
  <cols>
    <col min="1" max="1" width="5.21875" style="348" customWidth="1"/>
    <col min="2" max="2" width="24.77734375" style="348" customWidth="1"/>
    <col min="3" max="7" width="12.21875" style="348" customWidth="1"/>
    <col min="8" max="8" width="0.77734375" style="348" customWidth="1"/>
    <col min="9" max="9" width="12.77734375" style="348" customWidth="1"/>
    <col min="10" max="10" width="0.77734375" style="348" customWidth="1"/>
    <col min="11" max="11" width="13.44140625" style="348" customWidth="1"/>
    <col min="12" max="12" width="0.77734375" style="348" customWidth="1"/>
    <col min="13" max="13" width="8.88671875" style="348"/>
    <col min="14" max="14" width="10.33203125" style="348" bestFit="1" customWidth="1"/>
    <col min="15" max="16" width="11.5546875" style="348" bestFit="1" customWidth="1"/>
    <col min="17" max="17" width="10.77734375" style="348" bestFit="1" customWidth="1"/>
    <col min="18" max="16384" width="8.88671875" style="348"/>
  </cols>
  <sheetData>
    <row r="1" spans="1:12" ht="15.75">
      <c r="A1" s="542" t="str">
        <f>+'Income Sched 3'!A1:C1</f>
        <v>Marshall (Minnesota) Municipal Utilities</v>
      </c>
      <c r="B1" s="542"/>
      <c r="C1" s="542"/>
      <c r="D1" s="542"/>
      <c r="E1" s="542"/>
      <c r="F1" s="542"/>
      <c r="G1" s="542"/>
    </row>
    <row r="2" spans="1:12" ht="15.75">
      <c r="A2" s="543" t="s">
        <v>315</v>
      </c>
      <c r="B2" s="543"/>
      <c r="C2" s="543"/>
      <c r="D2" s="543"/>
      <c r="E2" s="543"/>
      <c r="F2" s="543"/>
      <c r="G2" s="543"/>
    </row>
    <row r="3" spans="1:12" ht="15.75">
      <c r="A3" s="543" t="s">
        <v>430</v>
      </c>
      <c r="B3" s="543"/>
      <c r="C3" s="543"/>
      <c r="D3" s="543"/>
      <c r="E3" s="543"/>
      <c r="F3" s="543"/>
      <c r="G3" s="543"/>
    </row>
    <row r="4" spans="1:12" ht="15.75">
      <c r="A4" s="544">
        <f>+'Income Sched 3'!A4:C4</f>
        <v>42369</v>
      </c>
      <c r="B4" s="544"/>
      <c r="C4" s="544"/>
      <c r="D4" s="544"/>
      <c r="E4" s="544"/>
      <c r="F4" s="544"/>
      <c r="G4" s="544"/>
    </row>
    <row r="5" spans="1:12">
      <c r="A5" s="349"/>
      <c r="B5" s="349"/>
      <c r="C5" s="349"/>
    </row>
    <row r="6" spans="1:12" ht="15">
      <c r="A6" s="545" t="s">
        <v>323</v>
      </c>
      <c r="B6" s="545"/>
      <c r="C6" s="545"/>
      <c r="D6" s="545"/>
      <c r="E6" s="545"/>
      <c r="F6" s="545"/>
      <c r="G6" s="545"/>
    </row>
    <row r="7" spans="1:12">
      <c r="A7" s="350" t="s">
        <v>4</v>
      </c>
      <c r="B7" s="351"/>
      <c r="C7" s="351" t="s">
        <v>431</v>
      </c>
      <c r="D7" s="351"/>
      <c r="E7" s="351"/>
      <c r="F7" s="351"/>
      <c r="G7" s="351" t="s">
        <v>432</v>
      </c>
      <c r="I7" s="350" t="s">
        <v>433</v>
      </c>
      <c r="K7" s="350" t="s">
        <v>637</v>
      </c>
    </row>
    <row r="8" spans="1:12">
      <c r="A8" s="352" t="s">
        <v>6</v>
      </c>
      <c r="B8" s="353"/>
      <c r="C8" s="353" t="s">
        <v>434</v>
      </c>
      <c r="D8" s="353" t="s">
        <v>435</v>
      </c>
      <c r="E8" s="353" t="s">
        <v>436</v>
      </c>
      <c r="F8" s="353" t="s">
        <v>437</v>
      </c>
      <c r="G8" s="353" t="s">
        <v>434</v>
      </c>
      <c r="I8" s="354" t="s">
        <v>438</v>
      </c>
      <c r="K8" s="354" t="s">
        <v>439</v>
      </c>
    </row>
    <row r="9" spans="1:12" ht="20.100000000000001" customHeight="1">
      <c r="A9" s="355">
        <v>1</v>
      </c>
      <c r="B9" s="356" t="s">
        <v>440</v>
      </c>
      <c r="C9" s="357">
        <v>0</v>
      </c>
      <c r="D9" s="357">
        <v>0</v>
      </c>
      <c r="E9" s="357">
        <v>0</v>
      </c>
      <c r="F9" s="357">
        <v>0</v>
      </c>
      <c r="G9" s="358">
        <f t="shared" ref="G9:G18" si="0">+C9+D9-E9-F9</f>
        <v>0</v>
      </c>
      <c r="I9" s="359">
        <v>0</v>
      </c>
      <c r="K9" s="359">
        <v>0</v>
      </c>
    </row>
    <row r="10" spans="1:12" ht="12.75" customHeight="1">
      <c r="A10" s="355"/>
      <c r="B10" s="356"/>
      <c r="C10" s="360"/>
      <c r="D10" s="360"/>
      <c r="E10" s="360"/>
      <c r="F10" s="360"/>
      <c r="G10" s="358"/>
      <c r="I10" s="359"/>
      <c r="K10" s="359"/>
    </row>
    <row r="11" spans="1:12" ht="20.100000000000001" customHeight="1">
      <c r="A11" s="355">
        <v>2</v>
      </c>
      <c r="B11" s="356" t="s">
        <v>441</v>
      </c>
      <c r="C11" s="361">
        <v>0</v>
      </c>
      <c r="D11" s="361">
        <v>0</v>
      </c>
      <c r="E11" s="361">
        <v>0</v>
      </c>
      <c r="F11" s="361"/>
      <c r="G11" s="362">
        <f t="shared" si="0"/>
        <v>0</v>
      </c>
      <c r="I11" s="359">
        <v>0</v>
      </c>
      <c r="K11" s="359">
        <v>0</v>
      </c>
    </row>
    <row r="12" spans="1:12" ht="20.100000000000001" customHeight="1">
      <c r="A12" s="355">
        <v>3</v>
      </c>
      <c r="B12" s="356" t="s">
        <v>442</v>
      </c>
      <c r="C12" s="363">
        <v>0</v>
      </c>
      <c r="D12" s="363">
        <v>0</v>
      </c>
      <c r="E12" s="363">
        <v>0</v>
      </c>
      <c r="F12" s="363">
        <v>0</v>
      </c>
      <c r="G12" s="364">
        <f t="shared" si="0"/>
        <v>0</v>
      </c>
      <c r="H12" s="365"/>
      <c r="I12" s="366">
        <v>0</v>
      </c>
      <c r="J12" s="365"/>
      <c r="K12" s="366">
        <v>0</v>
      </c>
      <c r="L12" s="365"/>
    </row>
    <row r="13" spans="1:12" ht="20.100000000000001" customHeight="1">
      <c r="A13" s="355">
        <v>4</v>
      </c>
      <c r="B13" s="356" t="s">
        <v>443</v>
      </c>
      <c r="C13" s="363">
        <v>0</v>
      </c>
      <c r="D13" s="363">
        <v>0</v>
      </c>
      <c r="E13" s="363">
        <v>0</v>
      </c>
      <c r="F13" s="363">
        <v>0</v>
      </c>
      <c r="G13" s="364">
        <f t="shared" si="0"/>
        <v>0</v>
      </c>
      <c r="H13" s="365"/>
      <c r="I13" s="366">
        <v>0</v>
      </c>
      <c r="J13" s="365"/>
      <c r="K13" s="366">
        <v>0</v>
      </c>
      <c r="L13" s="365"/>
    </row>
    <row r="14" spans="1:12" ht="20.100000000000001" customHeight="1" thickBot="1">
      <c r="A14" s="355">
        <v>5</v>
      </c>
      <c r="B14" s="356" t="s">
        <v>444</v>
      </c>
      <c r="C14" s="367">
        <v>2809519</v>
      </c>
      <c r="D14" s="367">
        <v>0</v>
      </c>
      <c r="E14" s="367"/>
      <c r="F14" s="367"/>
      <c r="G14" s="368">
        <f t="shared" si="0"/>
        <v>2809519</v>
      </c>
      <c r="H14" s="365"/>
      <c r="I14" s="369">
        <v>2471349</v>
      </c>
      <c r="J14" s="365"/>
      <c r="K14" s="394">
        <v>49417</v>
      </c>
      <c r="L14" s="365"/>
    </row>
    <row r="15" spans="1:12" ht="20.100000000000001" customHeight="1" thickBot="1">
      <c r="A15" s="355">
        <v>6</v>
      </c>
      <c r="B15" s="370" t="s">
        <v>445</v>
      </c>
      <c r="C15" s="371">
        <f>SUM(C11:C14)</f>
        <v>2809519</v>
      </c>
      <c r="D15" s="372">
        <f>SUM(D11:D14)</f>
        <v>0</v>
      </c>
      <c r="E15" s="372">
        <f>SUM(E11:E14)</f>
        <v>0</v>
      </c>
      <c r="F15" s="372">
        <f>SUM(F11:F14)</f>
        <v>0</v>
      </c>
      <c r="G15" s="373">
        <f t="shared" si="0"/>
        <v>2809519</v>
      </c>
      <c r="H15" s="365"/>
      <c r="I15" s="374">
        <f>SUM(I11:I14)</f>
        <v>2471349</v>
      </c>
      <c r="J15" s="365"/>
      <c r="K15" s="395">
        <f>SUM(K11:K14)</f>
        <v>49417</v>
      </c>
      <c r="L15" s="365"/>
    </row>
    <row r="16" spans="1:12" ht="12" customHeight="1">
      <c r="A16" s="355"/>
      <c r="B16" s="375"/>
      <c r="C16" s="376"/>
      <c r="D16" s="376"/>
      <c r="E16" s="376"/>
      <c r="F16" s="376"/>
      <c r="G16" s="376"/>
      <c r="H16" s="365"/>
      <c r="I16" s="377"/>
      <c r="J16" s="365"/>
      <c r="K16" s="396"/>
      <c r="L16" s="365"/>
    </row>
    <row r="17" spans="1:17" ht="20.100000000000001" customHeight="1">
      <c r="A17" s="355">
        <v>7</v>
      </c>
      <c r="B17" s="356" t="s">
        <v>446</v>
      </c>
      <c r="C17" s="363">
        <v>16250246</v>
      </c>
      <c r="D17" s="363">
        <v>0</v>
      </c>
      <c r="E17" s="363">
        <v>0</v>
      </c>
      <c r="F17" s="363">
        <v>0</v>
      </c>
      <c r="G17" s="364">
        <f t="shared" si="0"/>
        <v>16250246</v>
      </c>
      <c r="H17" s="365"/>
      <c r="I17" s="366">
        <v>8437201</v>
      </c>
      <c r="J17" s="365"/>
      <c r="K17" s="397">
        <v>516532</v>
      </c>
      <c r="L17" s="365"/>
    </row>
    <row r="18" spans="1:17" ht="20.100000000000001" customHeight="1">
      <c r="A18" s="355">
        <v>8</v>
      </c>
      <c r="B18" s="356" t="s">
        <v>447</v>
      </c>
      <c r="C18" s="363">
        <v>52675047</v>
      </c>
      <c r="D18" s="363">
        <v>1004700</v>
      </c>
      <c r="E18" s="363">
        <v>0</v>
      </c>
      <c r="F18" s="363">
        <v>0</v>
      </c>
      <c r="G18" s="364">
        <f t="shared" si="0"/>
        <v>53679747</v>
      </c>
      <c r="H18" s="365">
        <v>0</v>
      </c>
      <c r="I18" s="366">
        <v>20731613</v>
      </c>
      <c r="J18" s="365">
        <v>0</v>
      </c>
      <c r="K18" s="397">
        <v>2112291</v>
      </c>
      <c r="L18" s="365"/>
      <c r="O18" s="347"/>
      <c r="P18" s="347"/>
      <c r="Q18" s="347"/>
    </row>
    <row r="19" spans="1:17" ht="20.100000000000001" customHeight="1" thickBot="1">
      <c r="A19" s="355">
        <v>9</v>
      </c>
      <c r="B19" s="356" t="s">
        <v>448</v>
      </c>
      <c r="C19" s="367">
        <v>6987498</v>
      </c>
      <c r="D19" s="367">
        <v>416747</v>
      </c>
      <c r="E19" s="367">
        <v>0</v>
      </c>
      <c r="F19" s="367">
        <v>0</v>
      </c>
      <c r="G19" s="368">
        <f>+C19+D19-E19-F19</f>
        <v>7404245</v>
      </c>
      <c r="H19" s="365"/>
      <c r="I19" s="369">
        <v>5269299</v>
      </c>
      <c r="J19" s="365"/>
      <c r="K19" s="394">
        <v>352067</v>
      </c>
      <c r="L19" s="365"/>
    </row>
    <row r="20" spans="1:17" ht="20.100000000000001" customHeight="1" thickBot="1">
      <c r="A20" s="355">
        <v>10</v>
      </c>
      <c r="B20" s="370" t="s">
        <v>449</v>
      </c>
      <c r="C20" s="371">
        <f>SUM(C15:C19)</f>
        <v>78722310</v>
      </c>
      <c r="D20" s="372">
        <f>SUM(D15:D19)</f>
        <v>1421447</v>
      </c>
      <c r="E20" s="372">
        <f>SUM(E15:E19)</f>
        <v>0</v>
      </c>
      <c r="F20" s="372">
        <f>SUM(F15:F19)</f>
        <v>0</v>
      </c>
      <c r="G20" s="373">
        <f>+C20+D20-E20-F20</f>
        <v>80143757</v>
      </c>
      <c r="H20" s="365"/>
      <c r="I20" s="374">
        <f>SUM(I15:I19)</f>
        <v>36909462</v>
      </c>
      <c r="J20" s="365"/>
      <c r="K20" s="395">
        <f>SUM(K15:K19)</f>
        <v>3030307</v>
      </c>
      <c r="L20" s="365"/>
      <c r="N20" s="378"/>
    </row>
    <row r="21" spans="1:17" ht="11.25" customHeight="1">
      <c r="A21" s="355"/>
      <c r="B21" s="375"/>
      <c r="C21" s="376"/>
      <c r="D21" s="376"/>
      <c r="E21" s="376"/>
      <c r="F21" s="376"/>
      <c r="G21" s="376"/>
      <c r="H21" s="365"/>
      <c r="I21" s="379"/>
      <c r="J21" s="365"/>
      <c r="K21" s="398"/>
      <c r="L21" s="365"/>
    </row>
    <row r="22" spans="1:17" ht="20.100000000000001" customHeight="1">
      <c r="A22" s="355">
        <v>11</v>
      </c>
      <c r="B22" s="356" t="s">
        <v>450</v>
      </c>
      <c r="C22" s="363">
        <v>0</v>
      </c>
      <c r="D22" s="363">
        <v>0</v>
      </c>
      <c r="E22" s="363">
        <v>0</v>
      </c>
      <c r="F22" s="363">
        <v>0</v>
      </c>
      <c r="G22" s="363">
        <f>+C22+D22+E22+F22</f>
        <v>0</v>
      </c>
      <c r="H22" s="365"/>
      <c r="I22" s="366">
        <v>0</v>
      </c>
      <c r="J22" s="365"/>
      <c r="K22" s="397">
        <v>0</v>
      </c>
      <c r="L22" s="365"/>
    </row>
    <row r="23" spans="1:17" ht="20.100000000000001" customHeight="1">
      <c r="A23" s="355">
        <v>12</v>
      </c>
      <c r="B23" s="356" t="s">
        <v>451</v>
      </c>
      <c r="C23" s="363">
        <v>0</v>
      </c>
      <c r="D23" s="363">
        <v>0</v>
      </c>
      <c r="E23" s="363">
        <v>0</v>
      </c>
      <c r="F23" s="363">
        <v>0</v>
      </c>
      <c r="G23" s="363">
        <f>+C23+D23+E23+F23</f>
        <v>0</v>
      </c>
      <c r="H23" s="365"/>
      <c r="I23" s="366">
        <v>0</v>
      </c>
      <c r="J23" s="365"/>
      <c r="K23" s="397">
        <v>0</v>
      </c>
      <c r="L23" s="365"/>
    </row>
    <row r="24" spans="1:17" ht="20.100000000000001" customHeight="1" thickBot="1">
      <c r="A24" s="355">
        <v>13</v>
      </c>
      <c r="B24" s="356" t="s">
        <v>452</v>
      </c>
      <c r="C24" s="367">
        <v>0</v>
      </c>
      <c r="D24" s="367">
        <v>0</v>
      </c>
      <c r="E24" s="367">
        <v>0</v>
      </c>
      <c r="F24" s="367">
        <v>0</v>
      </c>
      <c r="G24" s="367">
        <f>+C24+D24+E24+F24</f>
        <v>0</v>
      </c>
      <c r="H24" s="365"/>
      <c r="I24" s="369">
        <v>0</v>
      </c>
      <c r="J24" s="365"/>
      <c r="K24" s="394">
        <v>0</v>
      </c>
      <c r="L24" s="365"/>
    </row>
    <row r="25" spans="1:17" ht="20.100000000000001" customHeight="1" thickBot="1">
      <c r="A25" s="355">
        <v>14</v>
      </c>
      <c r="B25" s="370" t="s">
        <v>325</v>
      </c>
      <c r="C25" s="371">
        <f>SUM(C20:C24)</f>
        <v>78722310</v>
      </c>
      <c r="D25" s="372">
        <f>SUM(D20:D24)</f>
        <v>1421447</v>
      </c>
      <c r="E25" s="372">
        <f>SUM(E20:E24)</f>
        <v>0</v>
      </c>
      <c r="F25" s="372">
        <f>SUM(F20:F24)</f>
        <v>0</v>
      </c>
      <c r="G25" s="373">
        <f>+C25+D25-E25+F25</f>
        <v>80143757</v>
      </c>
      <c r="H25" s="365"/>
      <c r="I25" s="374">
        <f>SUM(I20:I24)</f>
        <v>36909462</v>
      </c>
      <c r="J25" s="365"/>
      <c r="K25" s="395">
        <f>SUM(K20:K24)</f>
        <v>3030307</v>
      </c>
      <c r="L25" s="365"/>
    </row>
    <row r="26" spans="1:17" ht="11.25" customHeight="1">
      <c r="A26" s="355"/>
      <c r="B26" s="375"/>
      <c r="C26" s="380"/>
      <c r="D26" s="380"/>
      <c r="E26" s="380"/>
      <c r="F26" s="380"/>
      <c r="G26" s="380"/>
      <c r="H26" s="365"/>
      <c r="I26" s="379"/>
      <c r="J26" s="365"/>
      <c r="K26" s="398"/>
      <c r="L26" s="365"/>
    </row>
    <row r="27" spans="1:17" ht="20.100000000000001" customHeight="1" thickBot="1">
      <c r="A27" s="355">
        <v>15</v>
      </c>
      <c r="B27" s="356" t="s">
        <v>453</v>
      </c>
      <c r="C27" s="367">
        <v>2385223</v>
      </c>
      <c r="D27" s="367">
        <v>0</v>
      </c>
      <c r="E27" s="367">
        <v>404399</v>
      </c>
      <c r="F27" s="367">
        <v>0</v>
      </c>
      <c r="G27" s="368">
        <f>+C27+D27-E27-F27</f>
        <v>1980824</v>
      </c>
      <c r="H27" s="365"/>
      <c r="I27" s="369">
        <v>0</v>
      </c>
      <c r="J27" s="365"/>
      <c r="K27" s="394">
        <v>0</v>
      </c>
      <c r="L27" s="365"/>
    </row>
    <row r="28" spans="1:17" ht="20.100000000000001" customHeight="1" thickBot="1">
      <c r="A28" s="355">
        <v>16</v>
      </c>
      <c r="B28" s="370" t="s">
        <v>454</v>
      </c>
      <c r="C28" s="371">
        <f>SUM(C25:C27)</f>
        <v>81107533</v>
      </c>
      <c r="D28" s="372">
        <f>SUM(D25:D27)</f>
        <v>1421447</v>
      </c>
      <c r="E28" s="372">
        <f>SUM(E25:E27)</f>
        <v>404399</v>
      </c>
      <c r="F28" s="372">
        <f>SUM(F25:F27)</f>
        <v>0</v>
      </c>
      <c r="G28" s="373">
        <f>+C28+D28-E28-F28</f>
        <v>82124581</v>
      </c>
      <c r="H28" s="365"/>
      <c r="I28" s="374">
        <f>SUM(I25:I27)</f>
        <v>36909462</v>
      </c>
      <c r="J28" s="365"/>
      <c r="K28" s="395">
        <f>SUM(K25:K27)</f>
        <v>3030307</v>
      </c>
      <c r="L28" s="365"/>
      <c r="N28" s="378">
        <f>+G28-I28</f>
        <v>45215119</v>
      </c>
    </row>
    <row r="29" spans="1:17" ht="20.100000000000001" customHeight="1">
      <c r="G29" s="381" t="s">
        <v>2</v>
      </c>
    </row>
  </sheetData>
  <mergeCells count="5">
    <mergeCell ref="A1:G1"/>
    <mergeCell ref="A2:G2"/>
    <mergeCell ref="A3:G3"/>
    <mergeCell ref="A4:G4"/>
    <mergeCell ref="A6:G6"/>
  </mergeCells>
  <pageMargins left="0.5" right="0.5" top="0.75" bottom="0.5" header="0.5" footer="0.5"/>
  <pageSetup scale="77" orientation="landscape" r:id="rId1"/>
  <headerFooter alignWithMargins="0">
    <oddHeader>&amp;L&amp;"Arial MT,Bold"Marshall Municipal Utilities
2015 MMU Workpapers&amp;R&amp;"Arial MT,Bold"Exhibit MMU-4
Page 3 of 19</oddHeader>
    <oddFooter>&amp;L&amp;8&amp;Z&amp;F&amp;A&amp;R&amp;8&amp;D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election activeCell="D28" sqref="D28"/>
    </sheetView>
  </sheetViews>
  <sheetFormatPr defaultRowHeight="12.75"/>
  <cols>
    <col min="1" max="1" width="8.88671875" style="156"/>
    <col min="2" max="2" width="35" style="156" customWidth="1"/>
    <col min="3" max="3" width="9.44140625" style="156" customWidth="1"/>
    <col min="4" max="4" width="12" style="155" customWidth="1"/>
    <col min="5" max="16384" width="8.88671875" style="156"/>
  </cols>
  <sheetData>
    <row r="1" spans="1:8" s="155" customFormat="1" ht="15.75">
      <c r="A1" s="537" t="str">
        <f>+'Op &amp; Maint Sched 7'!A1:F1</f>
        <v>Marshall (Minnesota) Municipal Utilities</v>
      </c>
      <c r="B1" s="537"/>
      <c r="C1" s="537"/>
      <c r="D1" s="537"/>
      <c r="E1" s="537"/>
    </row>
    <row r="2" spans="1:8" s="155" customFormat="1" ht="15">
      <c r="A2" s="538" t="s">
        <v>315</v>
      </c>
      <c r="B2" s="538"/>
      <c r="C2" s="538"/>
      <c r="D2" s="538"/>
      <c r="E2" s="538"/>
      <c r="G2" s="242"/>
    </row>
    <row r="3" spans="1:8" s="155" customFormat="1" ht="15">
      <c r="A3" s="538" t="s">
        <v>497</v>
      </c>
      <c r="B3" s="538"/>
      <c r="C3" s="538"/>
      <c r="D3" s="538"/>
      <c r="E3" s="538"/>
      <c r="H3" s="264"/>
    </row>
    <row r="4" spans="1:8" s="155" customFormat="1" ht="15.75">
      <c r="A4" s="539">
        <f>+'Op &amp; Maint Sched 7'!A4:F4</f>
        <v>42369</v>
      </c>
      <c r="B4" s="539"/>
      <c r="C4" s="539"/>
      <c r="D4" s="539"/>
      <c r="E4" s="539"/>
    </row>
    <row r="5" spans="1:8" s="155" customFormat="1">
      <c r="A5" s="222"/>
      <c r="B5" s="222"/>
      <c r="C5" s="222"/>
    </row>
    <row r="6" spans="1:8">
      <c r="A6" s="156" t="s">
        <v>498</v>
      </c>
      <c r="D6" s="305"/>
      <c r="E6" s="205"/>
    </row>
    <row r="7" spans="1:8">
      <c r="A7" s="156" t="s">
        <v>321</v>
      </c>
      <c r="D7" s="305"/>
      <c r="E7" s="205"/>
    </row>
    <row r="8" spans="1:8">
      <c r="A8" s="156">
        <v>1</v>
      </c>
      <c r="B8" s="156" t="s">
        <v>499</v>
      </c>
      <c r="C8" s="240"/>
      <c r="D8" s="305"/>
      <c r="E8" s="205"/>
    </row>
    <row r="9" spans="1:8">
      <c r="C9" s="240"/>
      <c r="D9" s="305"/>
      <c r="E9" s="205"/>
    </row>
    <row r="10" spans="1:8">
      <c r="B10" s="156" t="s">
        <v>500</v>
      </c>
      <c r="C10" s="240"/>
      <c r="D10" s="511">
        <f>'Taxes other than inc tax'!E6</f>
        <v>0</v>
      </c>
      <c r="E10" s="205"/>
    </row>
    <row r="11" spans="1:8">
      <c r="D11" s="318"/>
      <c r="E11" s="205"/>
    </row>
    <row r="12" spans="1:8">
      <c r="B12" s="156" t="s">
        <v>501</v>
      </c>
      <c r="D12" s="318"/>
      <c r="E12" s="205"/>
    </row>
    <row r="13" spans="1:8">
      <c r="B13" s="156" t="s">
        <v>502</v>
      </c>
      <c r="D13" s="306">
        <f>'Taxes other than inc tax'!E7</f>
        <v>0</v>
      </c>
      <c r="E13" s="205"/>
    </row>
    <row r="14" spans="1:8">
      <c r="B14" s="156" t="s">
        <v>503</v>
      </c>
      <c r="C14" s="265"/>
      <c r="D14" s="306">
        <f>'Taxes other than inc tax'!E8</f>
        <v>0</v>
      </c>
      <c r="E14" s="205"/>
    </row>
    <row r="15" spans="1:8">
      <c r="B15" s="156" t="s">
        <v>504</v>
      </c>
      <c r="D15" s="306">
        <f>'Taxes other than inc tax'!E9</f>
        <v>0</v>
      </c>
      <c r="E15" s="205"/>
    </row>
    <row r="16" spans="1:8">
      <c r="D16" s="318"/>
      <c r="E16" s="205"/>
    </row>
    <row r="17" spans="2:5">
      <c r="B17" s="156" t="s">
        <v>505</v>
      </c>
      <c r="D17" s="512">
        <f>'Taxes other than inc tax'!E10</f>
        <v>1346433</v>
      </c>
      <c r="E17" s="205"/>
    </row>
    <row r="18" spans="2:5">
      <c r="D18" s="305"/>
      <c r="E18" s="205"/>
    </row>
    <row r="19" spans="2:5">
      <c r="D19" s="305"/>
      <c r="E19" s="205"/>
    </row>
    <row r="20" spans="2:5">
      <c r="B20" s="205"/>
      <c r="D20" s="305"/>
      <c r="E20" s="205"/>
    </row>
    <row r="21" spans="2:5">
      <c r="D21" s="305"/>
      <c r="E21" s="205"/>
    </row>
    <row r="22" spans="2:5">
      <c r="D22" s="305"/>
      <c r="E22" s="205"/>
    </row>
    <row r="23" spans="2:5">
      <c r="D23" s="305"/>
      <c r="E23" s="205"/>
    </row>
    <row r="24" spans="2:5">
      <c r="D24" s="305"/>
      <c r="E24" s="205"/>
    </row>
    <row r="25" spans="2:5">
      <c r="D25" s="305"/>
      <c r="E25" s="205"/>
    </row>
    <row r="26" spans="2:5">
      <c r="D26" s="305"/>
      <c r="E26" s="205"/>
    </row>
    <row r="27" spans="2:5">
      <c r="D27" s="305"/>
      <c r="E27" s="205"/>
    </row>
    <row r="28" spans="2:5">
      <c r="D28" s="305"/>
      <c r="E28" s="205"/>
    </row>
    <row r="29" spans="2:5">
      <c r="D29" s="305"/>
      <c r="E29" s="205"/>
    </row>
  </sheetData>
  <mergeCells count="4">
    <mergeCell ref="A1:E1"/>
    <mergeCell ref="A2:E2"/>
    <mergeCell ref="A3:E3"/>
    <mergeCell ref="A4:E4"/>
  </mergeCells>
  <pageMargins left="0.75" right="0.75" top="1" bottom="1" header="0.5" footer="0.5"/>
  <pageSetup scale="90" orientation="portrait" r:id="rId1"/>
  <headerFooter alignWithMargins="0">
    <oddHeader>&amp;L&amp;"Arial MT,Bold"Marshall Municipal Utilities
2015 MMU Workpapers&amp;R&amp;"Arial MT,Bold"Exhibit MMU-4
Page 4 of 19</oddHeader>
    <oddFooter>&amp;L&amp;8&amp;Z&amp;F&amp;A&amp;R&amp;8&amp;D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80" zoomScaleNormal="80" workbookViewId="0">
      <selection activeCell="D28" sqref="D28"/>
    </sheetView>
  </sheetViews>
  <sheetFormatPr defaultRowHeight="12.75"/>
  <cols>
    <col min="1" max="1" width="5.21875" style="156" customWidth="1"/>
    <col min="2" max="2" width="24.5546875" style="156" customWidth="1"/>
    <col min="3" max="5" width="12.21875" style="156" customWidth="1"/>
    <col min="6" max="6" width="12.21875" style="155" customWidth="1"/>
    <col min="7" max="7" width="8.88671875" style="156"/>
    <col min="8" max="8" width="12.44140625" style="156" bestFit="1" customWidth="1"/>
    <col min="9" max="9" width="15.6640625" style="156" bestFit="1" customWidth="1"/>
    <col min="10" max="16384" width="8.88671875" style="156"/>
  </cols>
  <sheetData>
    <row r="1" spans="1:8" s="155" customFormat="1" ht="15.75">
      <c r="A1" s="537" t="str">
        <f>+'Plant Sched 4'!A1:G1</f>
        <v>Marshall (Minnesota) Municipal Utilities</v>
      </c>
      <c r="B1" s="537"/>
      <c r="C1" s="537"/>
      <c r="D1" s="537"/>
      <c r="E1" s="537"/>
      <c r="F1" s="537"/>
      <c r="G1" s="241"/>
    </row>
    <row r="2" spans="1:8" s="155" customFormat="1" ht="15">
      <c r="A2" s="538" t="s">
        <v>315</v>
      </c>
      <c r="B2" s="538"/>
      <c r="C2" s="538"/>
      <c r="D2" s="538"/>
      <c r="E2" s="538"/>
      <c r="F2" s="538"/>
      <c r="G2" s="241"/>
      <c r="H2" s="242"/>
    </row>
    <row r="3" spans="1:8" s="155" customFormat="1" ht="15">
      <c r="A3" s="538" t="s">
        <v>455</v>
      </c>
      <c r="B3" s="538"/>
      <c r="C3" s="538"/>
      <c r="D3" s="538"/>
      <c r="E3" s="538"/>
      <c r="F3" s="538"/>
      <c r="G3" s="241"/>
    </row>
    <row r="4" spans="1:8" s="155" customFormat="1" ht="15.75">
      <c r="A4" s="539">
        <f>+'Plant Sched 4'!A4:G4</f>
        <v>42369</v>
      </c>
      <c r="B4" s="539"/>
      <c r="C4" s="539"/>
      <c r="D4" s="539"/>
      <c r="E4" s="539"/>
      <c r="F4" s="539"/>
      <c r="G4" s="243"/>
    </row>
    <row r="5" spans="1:8" s="155" customFormat="1"/>
    <row r="6" spans="1:8">
      <c r="A6" s="548" t="s">
        <v>456</v>
      </c>
      <c r="B6" s="548"/>
      <c r="C6" s="548"/>
      <c r="D6" s="548"/>
      <c r="E6" s="548"/>
      <c r="F6" s="548"/>
    </row>
    <row r="7" spans="1:8">
      <c r="A7" s="157" t="s">
        <v>4</v>
      </c>
      <c r="B7" s="159"/>
      <c r="C7" s="159"/>
      <c r="D7" s="159"/>
      <c r="E7" s="159"/>
      <c r="F7" s="284"/>
    </row>
    <row r="8" spans="1:8">
      <c r="A8" s="160" t="s">
        <v>321</v>
      </c>
      <c r="B8" s="161"/>
      <c r="C8" s="159" t="s">
        <v>457</v>
      </c>
      <c r="D8" s="161" t="s">
        <v>458</v>
      </c>
      <c r="E8" s="161" t="s">
        <v>459</v>
      </c>
      <c r="F8" s="280" t="s">
        <v>9</v>
      </c>
    </row>
    <row r="9" spans="1:8">
      <c r="A9" s="168">
        <v>1</v>
      </c>
      <c r="B9" s="215" t="s">
        <v>460</v>
      </c>
      <c r="C9" s="244"/>
      <c r="D9" s="245"/>
      <c r="E9" s="245"/>
      <c r="F9" s="285"/>
    </row>
    <row r="10" spans="1:8">
      <c r="A10" s="196"/>
      <c r="B10" s="246" t="s">
        <v>461</v>
      </c>
      <c r="C10" s="247">
        <v>0</v>
      </c>
      <c r="D10" s="248">
        <v>0</v>
      </c>
      <c r="E10" s="248">
        <v>0</v>
      </c>
      <c r="F10" s="286">
        <f>SUM(C10:E10)</f>
        <v>0</v>
      </c>
    </row>
    <row r="11" spans="1:8">
      <c r="A11" s="196">
        <v>2</v>
      </c>
      <c r="B11" s="246" t="s">
        <v>462</v>
      </c>
      <c r="C11" s="249">
        <v>0</v>
      </c>
      <c r="D11" s="250">
        <v>0</v>
      </c>
      <c r="E11" s="250">
        <v>0</v>
      </c>
      <c r="F11" s="287">
        <f>SUM(C11:E11)</f>
        <v>0</v>
      </c>
    </row>
    <row r="12" spans="1:8">
      <c r="A12" s="168">
        <v>3</v>
      </c>
      <c r="B12" s="215" t="s">
        <v>463</v>
      </c>
      <c r="C12" s="251"/>
      <c r="D12" s="252"/>
      <c r="E12" s="252"/>
      <c r="F12" s="288"/>
    </row>
    <row r="13" spans="1:8">
      <c r="A13" s="196"/>
      <c r="B13" s="253" t="s">
        <v>464</v>
      </c>
      <c r="C13" s="197">
        <v>0</v>
      </c>
      <c r="D13" s="228">
        <v>0</v>
      </c>
      <c r="E13" s="228">
        <v>0</v>
      </c>
      <c r="F13" s="307">
        <f>SUM(C13:E13)</f>
        <v>0</v>
      </c>
    </row>
    <row r="14" spans="1:8">
      <c r="A14" s="171">
        <v>4</v>
      </c>
      <c r="B14" s="217" t="s">
        <v>465</v>
      </c>
      <c r="C14" s="206"/>
      <c r="D14" s="232"/>
      <c r="E14" s="232"/>
      <c r="F14" s="308"/>
    </row>
    <row r="15" spans="1:8">
      <c r="A15" s="196"/>
      <c r="B15" s="253" t="s">
        <v>466</v>
      </c>
      <c r="C15" s="197">
        <v>0</v>
      </c>
      <c r="D15" s="228">
        <v>0</v>
      </c>
      <c r="E15" s="228"/>
      <c r="F15" s="307">
        <f>SUM(C15:E15)</f>
        <v>0</v>
      </c>
    </row>
    <row r="16" spans="1:8">
      <c r="A16" s="179">
        <v>5</v>
      </c>
      <c r="B16" s="254" t="s">
        <v>467</v>
      </c>
      <c r="C16" s="204">
        <v>0</v>
      </c>
      <c r="D16" s="230">
        <v>36850000</v>
      </c>
      <c r="E16" s="230">
        <v>0</v>
      </c>
      <c r="F16" s="309">
        <f>+C16+D16+E16</f>
        <v>36850000</v>
      </c>
    </row>
    <row r="17" spans="1:9">
      <c r="A17" s="168">
        <v>6</v>
      </c>
      <c r="B17" s="217" t="s">
        <v>468</v>
      </c>
      <c r="C17" s="206"/>
      <c r="D17" s="232"/>
      <c r="E17" s="232"/>
      <c r="F17" s="308"/>
    </row>
    <row r="18" spans="1:9" ht="13.5" thickBot="1">
      <c r="A18" s="196"/>
      <c r="B18" s="253" t="s">
        <v>469</v>
      </c>
      <c r="C18" s="206">
        <v>40700</v>
      </c>
      <c r="D18" s="232">
        <f>5270+4620+3343</f>
        <v>13233</v>
      </c>
      <c r="E18" s="232">
        <f>3426+32500</f>
        <v>35926</v>
      </c>
      <c r="F18" s="308">
        <f>SUM(C18:E18)</f>
        <v>89859</v>
      </c>
    </row>
    <row r="19" spans="1:9" ht="13.5" thickBot="1">
      <c r="A19" s="177">
        <v>7</v>
      </c>
      <c r="B19" s="254" t="s">
        <v>470</v>
      </c>
      <c r="C19" s="255">
        <f>SUM(C10:C18)</f>
        <v>40700</v>
      </c>
      <c r="D19" s="256">
        <f>SUM(D10:D18)</f>
        <v>36863233</v>
      </c>
      <c r="E19" s="256">
        <f>SUM(E10:E18)</f>
        <v>35926</v>
      </c>
      <c r="F19" s="310">
        <f>SUM(C19:E19)</f>
        <v>36939859</v>
      </c>
    </row>
    <row r="20" spans="1:9">
      <c r="A20" s="168">
        <v>8</v>
      </c>
      <c r="B20" s="231" t="s">
        <v>471</v>
      </c>
      <c r="C20" s="257"/>
      <c r="D20" s="257"/>
      <c r="E20" s="257"/>
      <c r="F20" s="311"/>
    </row>
    <row r="21" spans="1:9">
      <c r="A21" s="196"/>
      <c r="B21" s="312" t="s">
        <v>472</v>
      </c>
      <c r="C21" s="258" t="s">
        <v>473</v>
      </c>
      <c r="D21" s="228">
        <f>'Transmission O&amp;M'!C22</f>
        <v>5174737</v>
      </c>
      <c r="E21" s="228">
        <f>'Transmission O&amp;M'!C34</f>
        <v>314069</v>
      </c>
      <c r="F21" s="313">
        <f>SUM(D21:E21)</f>
        <v>5488806</v>
      </c>
    </row>
    <row r="22" spans="1:9">
      <c r="A22" s="168">
        <v>9</v>
      </c>
      <c r="B22" s="231" t="s">
        <v>474</v>
      </c>
      <c r="C22" s="259"/>
      <c r="D22" s="232"/>
      <c r="E22" s="232"/>
      <c r="F22" s="314"/>
    </row>
    <row r="23" spans="1:9">
      <c r="A23" s="196"/>
      <c r="B23" s="312" t="s">
        <v>475</v>
      </c>
      <c r="C23" s="258" t="s">
        <v>473</v>
      </c>
      <c r="D23" s="228">
        <f>21264+64194+87818+100000</f>
        <v>273276</v>
      </c>
      <c r="E23" s="228">
        <f>53466+98505+233537+44007+82035+28942+50925+8820+94500+8400+21000+525+117285+18900+5250+10500+90090+272824+34965+1050</f>
        <v>1275526</v>
      </c>
      <c r="F23" s="313">
        <f>+D23+E23</f>
        <v>1548802</v>
      </c>
    </row>
    <row r="24" spans="1:9">
      <c r="A24" s="168">
        <v>10</v>
      </c>
      <c r="B24" s="231" t="s">
        <v>476</v>
      </c>
      <c r="C24" s="259"/>
      <c r="D24" s="232"/>
      <c r="E24" s="232"/>
      <c r="F24" s="314"/>
      <c r="I24" s="346"/>
    </row>
    <row r="25" spans="1:9">
      <c r="A25" s="196"/>
      <c r="B25" s="312" t="s">
        <v>477</v>
      </c>
      <c r="C25" s="258" t="s">
        <v>473</v>
      </c>
      <c r="D25" s="228">
        <f>29522+229791+46200</f>
        <v>305513</v>
      </c>
      <c r="E25" s="228">
        <v>0</v>
      </c>
      <c r="F25" s="313">
        <f>+D25+E25</f>
        <v>305513</v>
      </c>
      <c r="I25" s="346"/>
    </row>
    <row r="26" spans="1:9">
      <c r="A26" s="168">
        <v>11</v>
      </c>
      <c r="B26" s="231" t="s">
        <v>478</v>
      </c>
      <c r="C26" s="259"/>
      <c r="D26" s="232"/>
      <c r="E26" s="232"/>
      <c r="F26" s="314"/>
      <c r="I26" s="346"/>
    </row>
    <row r="27" spans="1:9">
      <c r="A27" s="196"/>
      <c r="B27" s="312" t="s">
        <v>479</v>
      </c>
      <c r="C27" s="258" t="s">
        <v>473</v>
      </c>
      <c r="D27" s="228">
        <f>52500+31500+79800+25200+139180+78829+487187-26250</f>
        <v>867946</v>
      </c>
      <c r="E27" s="228">
        <v>0</v>
      </c>
      <c r="F27" s="313">
        <f>+D27+E27</f>
        <v>867946</v>
      </c>
      <c r="G27" s="345"/>
      <c r="H27" s="345"/>
      <c r="I27" s="345"/>
    </row>
    <row r="28" spans="1:9">
      <c r="A28" s="177">
        <v>12</v>
      </c>
      <c r="B28" s="229" t="s">
        <v>480</v>
      </c>
      <c r="C28" s="260" t="s">
        <v>473</v>
      </c>
      <c r="D28" s="230">
        <v>26250</v>
      </c>
      <c r="E28" s="230">
        <v>0</v>
      </c>
      <c r="F28" s="313">
        <f>+D28+E28</f>
        <v>26250</v>
      </c>
      <c r="G28" s="345"/>
      <c r="H28" s="345"/>
      <c r="I28" s="345"/>
    </row>
    <row r="29" spans="1:9">
      <c r="A29" s="177">
        <v>13</v>
      </c>
      <c r="B29" s="229" t="s">
        <v>481</v>
      </c>
      <c r="C29" s="260" t="s">
        <v>473</v>
      </c>
      <c r="D29" s="230">
        <f>'Admin &amp; General'!C44</f>
        <v>959800</v>
      </c>
      <c r="E29" s="230">
        <v>0</v>
      </c>
      <c r="F29" s="313">
        <f>+D29+E29</f>
        <v>959800</v>
      </c>
      <c r="G29" s="345"/>
      <c r="H29" s="345"/>
      <c r="I29" s="345"/>
    </row>
    <row r="30" spans="1:9" ht="13.5" thickBot="1">
      <c r="A30" s="168">
        <v>14</v>
      </c>
      <c r="B30" s="231" t="s">
        <v>482</v>
      </c>
      <c r="C30" s="261"/>
      <c r="D30" s="257"/>
      <c r="E30" s="257"/>
      <c r="F30" s="311"/>
      <c r="G30" s="345"/>
      <c r="H30" s="345"/>
      <c r="I30" s="345"/>
    </row>
    <row r="31" spans="1:9" ht="13.5" thickBot="1">
      <c r="A31" s="196"/>
      <c r="B31" s="253" t="s">
        <v>483</v>
      </c>
      <c r="C31" s="255">
        <f>SUM(C19:C29)</f>
        <v>40700</v>
      </c>
      <c r="D31" s="256">
        <f>SUM(D19:D29)</f>
        <v>44470755</v>
      </c>
      <c r="E31" s="256">
        <f>SUM(E19:E29)</f>
        <v>1625521</v>
      </c>
      <c r="F31" s="310">
        <f>SUM(F19:F30)</f>
        <v>46136976</v>
      </c>
      <c r="G31" s="345"/>
      <c r="H31" s="345"/>
      <c r="I31" s="345"/>
    </row>
    <row r="32" spans="1:9">
      <c r="B32" s="205"/>
      <c r="C32" s="262"/>
      <c r="D32" s="262"/>
      <c r="E32" s="262"/>
      <c r="F32" s="315"/>
      <c r="G32" s="345"/>
      <c r="H32" s="345"/>
      <c r="I32" s="345"/>
    </row>
    <row r="33" spans="2:9">
      <c r="B33" s="546" t="s">
        <v>484</v>
      </c>
      <c r="C33" s="547"/>
      <c r="D33" s="335">
        <v>27</v>
      </c>
      <c r="E33" s="262"/>
      <c r="F33" s="315"/>
      <c r="G33" s="345"/>
      <c r="H33" s="345"/>
      <c r="I33" s="345"/>
    </row>
    <row r="34" spans="2:9">
      <c r="B34" s="316" t="s">
        <v>485</v>
      </c>
      <c r="C34" s="317"/>
      <c r="D34" s="336">
        <v>5</v>
      </c>
      <c r="E34" s="385" t="s">
        <v>527</v>
      </c>
      <c r="F34" s="337"/>
      <c r="G34" s="345"/>
      <c r="H34" s="345"/>
      <c r="I34" s="345"/>
    </row>
    <row r="35" spans="2:9">
      <c r="B35" s="205"/>
      <c r="C35" s="262"/>
      <c r="D35" s="262"/>
      <c r="E35" s="262"/>
      <c r="F35" s="315"/>
      <c r="G35" s="345"/>
      <c r="H35" s="345"/>
      <c r="I35" s="345"/>
    </row>
    <row r="36" spans="2:9">
      <c r="B36" s="205"/>
      <c r="C36" s="205"/>
      <c r="D36" s="205"/>
      <c r="E36" s="205"/>
      <c r="F36" s="305"/>
      <c r="G36" s="345"/>
      <c r="H36" s="345"/>
      <c r="I36" s="345"/>
    </row>
    <row r="37" spans="2:9">
      <c r="B37" s="205"/>
      <c r="C37" s="205"/>
      <c r="D37" s="205"/>
      <c r="E37" s="205"/>
      <c r="F37" s="305"/>
      <c r="G37" s="345"/>
      <c r="H37" s="345"/>
      <c r="I37" s="345"/>
    </row>
    <row r="38" spans="2:9">
      <c r="B38" s="333"/>
      <c r="C38" s="333"/>
      <c r="D38" s="334"/>
      <c r="E38" s="205"/>
      <c r="F38" s="305"/>
      <c r="G38" s="345"/>
      <c r="H38" s="345"/>
      <c r="I38" s="345"/>
    </row>
    <row r="39" spans="2:9">
      <c r="B39" s="333"/>
      <c r="C39" s="333"/>
      <c r="D39" s="333"/>
      <c r="E39" s="205"/>
      <c r="F39" s="305"/>
      <c r="G39" s="345"/>
      <c r="H39" s="345"/>
      <c r="I39" s="345"/>
    </row>
    <row r="40" spans="2:9">
      <c r="B40" s="205"/>
      <c r="C40" s="205"/>
      <c r="D40" s="205"/>
      <c r="E40" s="205"/>
      <c r="F40" s="305"/>
      <c r="G40" s="345"/>
      <c r="H40" s="345"/>
      <c r="I40" s="345"/>
    </row>
    <row r="41" spans="2:9">
      <c r="B41" s="205"/>
      <c r="C41" s="205"/>
      <c r="D41" s="205"/>
      <c r="E41" s="205"/>
      <c r="F41" s="305"/>
      <c r="G41" s="345"/>
      <c r="H41" s="345"/>
      <c r="I41" s="345"/>
    </row>
    <row r="42" spans="2:9">
      <c r="B42" s="205"/>
      <c r="C42" s="205"/>
      <c r="D42" s="205"/>
      <c r="E42" s="205"/>
      <c r="F42" s="305"/>
      <c r="G42" s="345"/>
      <c r="H42" s="345"/>
      <c r="I42" s="345"/>
    </row>
  </sheetData>
  <mergeCells count="6">
    <mergeCell ref="B33:C33"/>
    <mergeCell ref="A1:F1"/>
    <mergeCell ref="A2:F2"/>
    <mergeCell ref="A3:F3"/>
    <mergeCell ref="A4:F4"/>
    <mergeCell ref="A6:F6"/>
  </mergeCells>
  <pageMargins left="0.75" right="0.75" top="1" bottom="1" header="0.5" footer="0.5"/>
  <pageSetup scale="95" orientation="portrait" r:id="rId1"/>
  <headerFooter alignWithMargins="0">
    <oddHeader>&amp;L&amp;"Arial MT,Bold"Marshall Municipal Utilities
2015 MMU Workpapers&amp;R&amp;"Arial MT,Bold"Exhibit MMU-4
Page 5 of 19</oddHeader>
    <oddFooter>&amp;L&amp;8&amp;Z&amp;F&amp;A&amp;R&amp;8&amp;D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90" zoomScaleNormal="90" workbookViewId="0">
      <pane ySplit="8" topLeftCell="A20" activePane="bottomLeft" state="frozen"/>
      <selection activeCell="Q42" sqref="Q42"/>
      <selection pane="bottomLeft" activeCell="E41" sqref="E41:E42"/>
    </sheetView>
  </sheetViews>
  <sheetFormatPr defaultRowHeight="12.75"/>
  <cols>
    <col min="1" max="2" width="2.6640625" style="270" customWidth="1"/>
    <col min="3" max="3" width="26.109375" style="270" customWidth="1"/>
    <col min="4" max="4" width="1.77734375" style="270" customWidth="1"/>
    <col min="5" max="8" width="11.33203125" style="320" customWidth="1"/>
    <col min="9" max="9" width="11.33203125" style="270" customWidth="1"/>
    <col min="10" max="10" width="2.109375" style="270" customWidth="1"/>
    <col min="11" max="11" width="11.33203125" style="270" customWidth="1"/>
    <col min="12" max="12" width="2.6640625" style="270" customWidth="1"/>
    <col min="13" max="13" width="12" style="270" customWidth="1"/>
    <col min="14" max="14" width="9.5546875" style="270" customWidth="1"/>
    <col min="15" max="15" width="3.5546875" style="270" customWidth="1"/>
    <col min="16" max="16384" width="8.88671875" style="270"/>
  </cols>
  <sheetData>
    <row r="1" spans="1:14">
      <c r="A1" s="552" t="str">
        <f>+'Balance sheet Sched 2'!A1:F1</f>
        <v>Marshall (Minnesota) Municipal Utilities</v>
      </c>
      <c r="B1" s="552"/>
      <c r="C1" s="552"/>
      <c r="D1" s="552"/>
      <c r="E1" s="552"/>
      <c r="F1" s="552"/>
      <c r="G1" s="552"/>
      <c r="H1" s="552"/>
      <c r="I1" s="552"/>
      <c r="J1" s="552"/>
      <c r="K1" s="552"/>
      <c r="L1" s="269"/>
      <c r="M1" s="269"/>
    </row>
    <row r="2" spans="1:14">
      <c r="A2" s="553">
        <f>+'Balance sheet Sched 2'!A4:F4</f>
        <v>42369</v>
      </c>
      <c r="B2" s="553"/>
      <c r="C2" s="553"/>
      <c r="D2" s="553"/>
      <c r="E2" s="553"/>
      <c r="F2" s="553"/>
      <c r="G2" s="553"/>
      <c r="H2" s="553"/>
      <c r="I2" s="553"/>
      <c r="J2" s="553"/>
      <c r="K2" s="553"/>
      <c r="L2" s="271"/>
      <c r="M2" s="271"/>
    </row>
    <row r="3" spans="1:14">
      <c r="A3" s="552" t="s">
        <v>487</v>
      </c>
      <c r="B3" s="552"/>
      <c r="C3" s="552"/>
      <c r="D3" s="552"/>
      <c r="E3" s="552"/>
      <c r="F3" s="552"/>
      <c r="G3" s="552"/>
      <c r="H3" s="552"/>
      <c r="I3" s="552"/>
      <c r="J3" s="552"/>
      <c r="K3" s="552"/>
      <c r="L3" s="269"/>
      <c r="M3" s="269"/>
    </row>
    <row r="4" spans="1:14">
      <c r="A4" s="552"/>
      <c r="B4" s="552"/>
      <c r="C4" s="552"/>
      <c r="D4" s="552"/>
      <c r="E4" s="552"/>
      <c r="F4" s="552"/>
      <c r="G4" s="552"/>
      <c r="H4" s="552"/>
      <c r="I4" s="552"/>
      <c r="J4" s="552"/>
      <c r="K4" s="552"/>
      <c r="L4" s="269"/>
      <c r="M4" s="269"/>
    </row>
    <row r="5" spans="1:14">
      <c r="A5" s="552" t="s">
        <v>507</v>
      </c>
      <c r="B5" s="552"/>
      <c r="C5" s="552"/>
      <c r="D5" s="552"/>
      <c r="E5" s="552"/>
      <c r="F5" s="552"/>
      <c r="G5" s="552"/>
      <c r="H5" s="552"/>
      <c r="I5" s="552"/>
      <c r="J5" s="552"/>
      <c r="K5" s="552"/>
      <c r="L5" s="269"/>
      <c r="M5" s="269"/>
    </row>
    <row r="7" spans="1:14">
      <c r="A7" s="273"/>
      <c r="B7" s="274"/>
      <c r="C7" s="275"/>
      <c r="D7" s="272"/>
      <c r="E7" s="554" t="s">
        <v>518</v>
      </c>
      <c r="F7" s="554"/>
      <c r="G7" s="324" t="s">
        <v>524</v>
      </c>
      <c r="H7" s="328" t="s">
        <v>486</v>
      </c>
      <c r="I7" s="330" t="s">
        <v>488</v>
      </c>
      <c r="J7" s="277"/>
      <c r="K7" s="276"/>
      <c r="L7" s="277"/>
      <c r="M7" s="277"/>
    </row>
    <row r="8" spans="1:14">
      <c r="A8" s="549" t="s">
        <v>489</v>
      </c>
      <c r="B8" s="550"/>
      <c r="C8" s="551"/>
      <c r="D8" s="278"/>
      <c r="E8" s="321" t="s">
        <v>458</v>
      </c>
      <c r="F8" s="321" t="s">
        <v>459</v>
      </c>
      <c r="G8" s="325" t="s">
        <v>490</v>
      </c>
      <c r="H8" s="329" t="s">
        <v>491</v>
      </c>
      <c r="I8" s="331" t="s">
        <v>491</v>
      </c>
      <c r="J8" s="277"/>
      <c r="K8" s="279" t="s">
        <v>9</v>
      </c>
      <c r="L8" s="277"/>
      <c r="M8" s="277"/>
    </row>
    <row r="9" spans="1:14">
      <c r="A9" s="270" t="s">
        <v>492</v>
      </c>
      <c r="E9" s="319"/>
      <c r="F9" s="319"/>
      <c r="G9" s="319"/>
      <c r="H9" s="319"/>
      <c r="I9" s="266"/>
      <c r="J9" s="267"/>
      <c r="K9" s="266"/>
      <c r="L9" s="266"/>
      <c r="M9" s="266"/>
      <c r="N9" s="266"/>
    </row>
    <row r="10" spans="1:14">
      <c r="B10" s="270" t="s">
        <v>512</v>
      </c>
      <c r="E10" s="319">
        <v>5270</v>
      </c>
      <c r="F10" s="319">
        <v>0</v>
      </c>
      <c r="G10" s="319">
        <v>0</v>
      </c>
      <c r="H10" s="319">
        <v>0</v>
      </c>
      <c r="I10" s="266">
        <v>0</v>
      </c>
      <c r="J10" s="267"/>
      <c r="K10" s="266">
        <f t="shared" ref="K10:K12" si="0">SUM(E10:I10)</f>
        <v>5270</v>
      </c>
      <c r="L10" s="266"/>
      <c r="M10" s="266"/>
      <c r="N10" s="266"/>
    </row>
    <row r="11" spans="1:14">
      <c r="B11" s="270" t="s">
        <v>513</v>
      </c>
      <c r="E11" s="319">
        <v>3426</v>
      </c>
      <c r="F11" s="319">
        <v>0</v>
      </c>
      <c r="G11" s="319">
        <v>0</v>
      </c>
      <c r="H11" s="319">
        <v>0</v>
      </c>
      <c r="I11" s="266">
        <v>0</v>
      </c>
      <c r="J11" s="267"/>
      <c r="K11" s="266">
        <f t="shared" si="0"/>
        <v>3426</v>
      </c>
      <c r="L11" s="266"/>
      <c r="M11" s="266" t="s">
        <v>492</v>
      </c>
      <c r="N11" s="266"/>
    </row>
    <row r="12" spans="1:14" ht="13.5" thickBot="1">
      <c r="B12" s="270" t="s">
        <v>511</v>
      </c>
      <c r="E12" s="319"/>
      <c r="F12" s="319">
        <v>0</v>
      </c>
      <c r="G12" s="319">
        <v>664</v>
      </c>
      <c r="H12" s="319">
        <v>1878</v>
      </c>
      <c r="I12" s="266">
        <v>801</v>
      </c>
      <c r="J12" s="267"/>
      <c r="K12" s="266">
        <f t="shared" si="0"/>
        <v>3343</v>
      </c>
      <c r="L12" s="266"/>
      <c r="M12" s="268">
        <f>SUM(K10:K13)</f>
        <v>12039</v>
      </c>
      <c r="N12" s="266"/>
    </row>
    <row r="13" spans="1:14" ht="13.5" thickTop="1">
      <c r="E13" s="319"/>
      <c r="F13" s="319"/>
      <c r="G13" s="319"/>
      <c r="H13" s="319"/>
      <c r="I13" s="266"/>
      <c r="J13" s="267"/>
      <c r="K13" s="266"/>
      <c r="L13" s="266"/>
      <c r="N13" s="266"/>
    </row>
    <row r="14" spans="1:14">
      <c r="A14" s="270" t="s">
        <v>494</v>
      </c>
      <c r="E14" s="319"/>
      <c r="F14" s="319"/>
      <c r="G14" s="319"/>
      <c r="H14" s="319"/>
      <c r="I14" s="266"/>
      <c r="J14" s="267"/>
      <c r="K14" s="266"/>
      <c r="L14" s="266"/>
      <c r="M14" s="266"/>
      <c r="N14" s="266"/>
    </row>
    <row r="15" spans="1:14">
      <c r="B15" s="270" t="s">
        <v>514</v>
      </c>
      <c r="E15" s="319">
        <v>0</v>
      </c>
      <c r="F15" s="319">
        <v>17864</v>
      </c>
      <c r="G15" s="319">
        <v>0</v>
      </c>
      <c r="H15" s="319">
        <v>0</v>
      </c>
      <c r="I15" s="266">
        <v>0</v>
      </c>
      <c r="J15" s="267"/>
      <c r="K15" s="266">
        <f t="shared" ref="K15:K20" si="1">SUM(E15:I15)</f>
        <v>17864</v>
      </c>
      <c r="L15" s="266"/>
      <c r="M15" s="266"/>
      <c r="N15" s="266"/>
    </row>
    <row r="16" spans="1:14">
      <c r="B16" s="270" t="s">
        <v>760</v>
      </c>
      <c r="E16" s="319">
        <v>10632</v>
      </c>
      <c r="F16" s="319">
        <v>0</v>
      </c>
      <c r="G16" s="319">
        <v>0</v>
      </c>
      <c r="H16" s="319">
        <v>0</v>
      </c>
      <c r="I16" s="266">
        <v>0</v>
      </c>
      <c r="J16" s="267"/>
      <c r="K16" s="266">
        <f t="shared" si="1"/>
        <v>10632</v>
      </c>
      <c r="L16" s="266"/>
      <c r="M16" s="266"/>
      <c r="N16" s="266"/>
    </row>
    <row r="17" spans="1:14">
      <c r="B17" s="270" t="s">
        <v>515</v>
      </c>
      <c r="E17" s="319">
        <v>0</v>
      </c>
      <c r="F17" s="319">
        <v>21150</v>
      </c>
      <c r="G17" s="319">
        <v>0</v>
      </c>
      <c r="H17" s="319">
        <v>0</v>
      </c>
      <c r="I17" s="266">
        <v>0</v>
      </c>
      <c r="J17" s="267"/>
      <c r="K17" s="266">
        <f t="shared" si="1"/>
        <v>21150</v>
      </c>
      <c r="L17" s="266"/>
      <c r="M17" s="266"/>
      <c r="N17" s="266"/>
    </row>
    <row r="18" spans="1:14">
      <c r="B18" s="270" t="s">
        <v>516</v>
      </c>
      <c r="E18" s="319">
        <v>0</v>
      </c>
      <c r="F18" s="319">
        <v>58904</v>
      </c>
      <c r="G18" s="319">
        <v>0</v>
      </c>
      <c r="H18" s="319">
        <v>0</v>
      </c>
      <c r="I18" s="266">
        <v>0</v>
      </c>
      <c r="J18" s="267"/>
      <c r="K18" s="266">
        <f t="shared" si="1"/>
        <v>58904</v>
      </c>
      <c r="L18" s="266"/>
      <c r="M18" s="266"/>
      <c r="N18" s="266"/>
    </row>
    <row r="19" spans="1:14">
      <c r="B19" s="270" t="s">
        <v>493</v>
      </c>
      <c r="E19" s="319">
        <v>0</v>
      </c>
      <c r="F19" s="319">
        <v>29213</v>
      </c>
      <c r="G19" s="319">
        <v>0</v>
      </c>
      <c r="H19" s="319">
        <v>0</v>
      </c>
      <c r="I19" s="266">
        <v>0</v>
      </c>
      <c r="J19" s="267"/>
      <c r="K19" s="266">
        <f t="shared" si="1"/>
        <v>29213</v>
      </c>
      <c r="L19" s="266"/>
      <c r="M19" s="266"/>
      <c r="N19" s="266"/>
    </row>
    <row r="20" spans="1:14">
      <c r="B20" s="270" t="s">
        <v>517</v>
      </c>
      <c r="E20" s="319">
        <v>0</v>
      </c>
      <c r="F20" s="319">
        <v>9361</v>
      </c>
      <c r="G20" s="319">
        <v>0</v>
      </c>
      <c r="H20" s="319">
        <v>0</v>
      </c>
      <c r="I20" s="266">
        <v>0</v>
      </c>
      <c r="J20" s="267"/>
      <c r="K20" s="266">
        <f t="shared" si="1"/>
        <v>9361</v>
      </c>
      <c r="L20" s="266"/>
      <c r="M20" s="266" t="s">
        <v>45</v>
      </c>
      <c r="N20" s="266"/>
    </row>
    <row r="21" spans="1:14" ht="13.5" thickBot="1">
      <c r="B21" s="270" t="s">
        <v>511</v>
      </c>
      <c r="E21" s="319">
        <v>0</v>
      </c>
      <c r="F21" s="319">
        <v>0</v>
      </c>
      <c r="G21" s="319">
        <v>10423</v>
      </c>
      <c r="H21" s="319">
        <v>29872</v>
      </c>
      <c r="I21" s="266">
        <v>12657</v>
      </c>
      <c r="J21" s="267"/>
      <c r="K21" s="266">
        <f t="shared" ref="K21" si="2">SUM(E21:I21)</f>
        <v>52952</v>
      </c>
      <c r="L21" s="266"/>
      <c r="M21" s="268">
        <f>SUM(K15:K21)</f>
        <v>200076</v>
      </c>
      <c r="N21" s="326"/>
    </row>
    <row r="22" spans="1:14" ht="13.5" thickTop="1">
      <c r="E22" s="319"/>
      <c r="F22" s="319"/>
      <c r="G22" s="319"/>
      <c r="H22" s="319"/>
      <c r="I22" s="266"/>
      <c r="J22" s="267"/>
      <c r="K22" s="266"/>
      <c r="L22" s="266"/>
      <c r="M22" s="266"/>
      <c r="N22" s="266"/>
    </row>
    <row r="23" spans="1:14">
      <c r="A23" s="270" t="s">
        <v>495</v>
      </c>
      <c r="E23" s="319"/>
      <c r="F23" s="319"/>
      <c r="G23" s="319"/>
      <c r="H23" s="319"/>
      <c r="I23" s="266"/>
      <c r="J23" s="267"/>
      <c r="K23" s="266"/>
      <c r="L23" s="266"/>
      <c r="M23" s="266"/>
      <c r="N23" s="266"/>
    </row>
    <row r="24" spans="1:14">
      <c r="B24" s="270" t="s">
        <v>514</v>
      </c>
      <c r="E24" s="319">
        <v>0</v>
      </c>
      <c r="F24" s="319">
        <v>53466</v>
      </c>
      <c r="G24" s="319">
        <v>0</v>
      </c>
      <c r="H24" s="319">
        <v>0</v>
      </c>
      <c r="I24" s="266">
        <v>0</v>
      </c>
      <c r="J24" s="267"/>
      <c r="K24" s="266">
        <f t="shared" ref="K24:K25" si="3">SUM(E24:I24)</f>
        <v>53466</v>
      </c>
      <c r="L24" s="266"/>
      <c r="M24" s="266"/>
      <c r="N24" s="266"/>
    </row>
    <row r="25" spans="1:14">
      <c r="B25" s="270" t="s">
        <v>760</v>
      </c>
      <c r="E25" s="319">
        <v>21264</v>
      </c>
      <c r="F25" s="319">
        <v>0</v>
      </c>
      <c r="G25" s="319">
        <v>0</v>
      </c>
      <c r="H25" s="319">
        <v>0</v>
      </c>
      <c r="I25" s="266">
        <v>0</v>
      </c>
      <c r="J25" s="267"/>
      <c r="K25" s="266">
        <f t="shared" si="3"/>
        <v>21264</v>
      </c>
      <c r="L25" s="266"/>
      <c r="M25" s="266"/>
      <c r="N25" s="266"/>
    </row>
    <row r="26" spans="1:14">
      <c r="B26" s="270" t="s">
        <v>515</v>
      </c>
      <c r="E26" s="319">
        <v>0</v>
      </c>
      <c r="F26" s="319">
        <v>64194</v>
      </c>
      <c r="G26" s="319">
        <v>0</v>
      </c>
      <c r="H26" s="319">
        <v>0</v>
      </c>
      <c r="I26" s="266">
        <v>0</v>
      </c>
      <c r="J26" s="267"/>
      <c r="K26" s="266">
        <f>SUM(E26:I26)</f>
        <v>64194</v>
      </c>
      <c r="L26" s="266"/>
      <c r="M26" s="266"/>
      <c r="N26" s="266"/>
    </row>
    <row r="27" spans="1:14">
      <c r="B27" s="270" t="s">
        <v>516</v>
      </c>
      <c r="E27" s="319">
        <v>0</v>
      </c>
      <c r="F27" s="319">
        <f>98505+233537</f>
        <v>332042</v>
      </c>
      <c r="G27" s="319">
        <v>0</v>
      </c>
      <c r="H27" s="319">
        <v>0</v>
      </c>
      <c r="I27" s="266">
        <v>0</v>
      </c>
      <c r="J27" s="267"/>
      <c r="K27" s="266">
        <f>SUM(E27:I27)</f>
        <v>332042</v>
      </c>
      <c r="L27" s="266"/>
      <c r="M27" s="266"/>
      <c r="N27" s="266"/>
    </row>
    <row r="28" spans="1:14">
      <c r="B28" s="270" t="s">
        <v>493</v>
      </c>
      <c r="E28" s="319">
        <v>0</v>
      </c>
      <c r="F28" s="319">
        <v>87818</v>
      </c>
      <c r="G28" s="319">
        <v>0</v>
      </c>
      <c r="H28" s="319">
        <v>0</v>
      </c>
      <c r="I28" s="266">
        <v>0</v>
      </c>
      <c r="J28" s="267"/>
      <c r="K28" s="266">
        <f>SUM(E28:I28)</f>
        <v>87818</v>
      </c>
      <c r="L28" s="266"/>
      <c r="M28" s="266"/>
      <c r="N28" s="266"/>
    </row>
    <row r="29" spans="1:14">
      <c r="B29" s="270" t="s">
        <v>517</v>
      </c>
      <c r="E29" s="319">
        <v>0</v>
      </c>
      <c r="F29" s="319">
        <f>44007+82035+28942</f>
        <v>154984</v>
      </c>
      <c r="G29" s="319">
        <v>0</v>
      </c>
      <c r="H29" s="319">
        <v>0</v>
      </c>
      <c r="I29" s="266">
        <v>0</v>
      </c>
      <c r="J29" s="267"/>
      <c r="K29" s="266">
        <f t="shared" ref="K29" si="4">SUM(E29:I29)</f>
        <v>154984</v>
      </c>
      <c r="L29" s="266"/>
      <c r="M29" s="267"/>
      <c r="N29" s="266"/>
    </row>
    <row r="30" spans="1:14">
      <c r="B30" s="270" t="s">
        <v>511</v>
      </c>
      <c r="E30" s="319">
        <v>0</v>
      </c>
      <c r="F30" s="319">
        <v>0</v>
      </c>
      <c r="G30" s="319">
        <v>52886</v>
      </c>
      <c r="H30" s="319">
        <v>154885</v>
      </c>
      <c r="I30" s="266">
        <v>65053</v>
      </c>
      <c r="J30" s="267"/>
      <c r="K30" s="266">
        <f>SUM(E30:I30)</f>
        <v>272824</v>
      </c>
      <c r="L30" s="266"/>
      <c r="M30" s="267"/>
      <c r="N30" s="326"/>
    </row>
    <row r="31" spans="1:14">
      <c r="B31" s="270" t="s">
        <v>541</v>
      </c>
      <c r="E31" s="319">
        <f>17633+7557</f>
        <v>25190</v>
      </c>
      <c r="F31" s="319">
        <v>0</v>
      </c>
      <c r="G31" s="319">
        <v>0</v>
      </c>
      <c r="H31" s="319">
        <v>0</v>
      </c>
      <c r="I31" s="266">
        <v>0</v>
      </c>
      <c r="J31" s="267"/>
      <c r="K31" s="266">
        <f t="shared" ref="K31:K32" si="5">SUM(E31:I31)</f>
        <v>25190</v>
      </c>
      <c r="L31" s="266"/>
      <c r="M31" s="266" t="s">
        <v>506</v>
      </c>
      <c r="N31" s="266"/>
    </row>
    <row r="32" spans="1:14" ht="13.5" thickBot="1">
      <c r="B32" s="270" t="s">
        <v>511</v>
      </c>
      <c r="E32" s="319">
        <v>0</v>
      </c>
      <c r="F32" s="319">
        <v>0</v>
      </c>
      <c r="G32" s="319">
        <v>1910</v>
      </c>
      <c r="H32" s="319">
        <v>4718</v>
      </c>
      <c r="I32" s="266">
        <v>2444</v>
      </c>
      <c r="J32" s="267"/>
      <c r="K32" s="266">
        <f t="shared" si="5"/>
        <v>9072</v>
      </c>
      <c r="L32" s="266"/>
      <c r="M32" s="268">
        <f>+SUM(K24:K32)</f>
        <v>1020854</v>
      </c>
      <c r="N32" s="332"/>
    </row>
    <row r="33" spans="1:14" ht="13.5" thickTop="1">
      <c r="E33" s="319"/>
      <c r="F33" s="319"/>
      <c r="G33" s="319"/>
      <c r="H33" s="319"/>
      <c r="I33" s="266"/>
      <c r="J33" s="267"/>
      <c r="K33" s="266"/>
      <c r="L33" s="266"/>
      <c r="M33" s="266"/>
      <c r="N33" s="266"/>
    </row>
    <row r="34" spans="1:14">
      <c r="A34" s="270" t="s">
        <v>478</v>
      </c>
      <c r="E34" s="319"/>
      <c r="F34" s="319"/>
      <c r="G34" s="319"/>
      <c r="H34" s="319"/>
      <c r="I34" s="266"/>
      <c r="J34" s="267"/>
      <c r="K34" s="266"/>
      <c r="L34" s="266"/>
      <c r="M34" s="266"/>
      <c r="N34" s="266"/>
    </row>
    <row r="35" spans="1:14">
      <c r="B35" s="270" t="s">
        <v>520</v>
      </c>
      <c r="E35" s="319">
        <v>229791</v>
      </c>
      <c r="F35" s="319"/>
      <c r="G35" s="319">
        <v>0</v>
      </c>
      <c r="H35" s="319">
        <v>0</v>
      </c>
      <c r="I35" s="266">
        <v>0</v>
      </c>
      <c r="J35" s="267"/>
      <c r="K35" s="266">
        <f t="shared" ref="K35:K38" si="6">SUM(E35:I35)</f>
        <v>229791</v>
      </c>
      <c r="L35" s="266"/>
      <c r="M35" s="266"/>
      <c r="N35" s="266"/>
    </row>
    <row r="36" spans="1:14">
      <c r="B36" s="270" t="s">
        <v>519</v>
      </c>
      <c r="E36" s="319">
        <v>29522</v>
      </c>
      <c r="F36" s="319"/>
      <c r="G36" s="319">
        <v>0</v>
      </c>
      <c r="H36" s="319">
        <v>0</v>
      </c>
      <c r="I36" s="266">
        <v>0</v>
      </c>
      <c r="J36" s="267"/>
      <c r="K36" s="266">
        <f t="shared" si="6"/>
        <v>29522</v>
      </c>
      <c r="L36" s="266"/>
      <c r="M36" s="266"/>
      <c r="N36" s="266"/>
    </row>
    <row r="37" spans="1:14">
      <c r="B37" s="270" t="s">
        <v>523</v>
      </c>
      <c r="E37" s="319">
        <v>78829</v>
      </c>
      <c r="F37" s="319"/>
      <c r="G37" s="319">
        <v>0</v>
      </c>
      <c r="H37" s="319">
        <v>0</v>
      </c>
      <c r="I37" s="266">
        <v>0</v>
      </c>
      <c r="J37" s="267"/>
      <c r="K37" s="266">
        <f t="shared" si="6"/>
        <v>78829</v>
      </c>
      <c r="L37" s="266"/>
      <c r="M37" s="266" t="s">
        <v>478</v>
      </c>
      <c r="N37" s="266"/>
    </row>
    <row r="38" spans="1:14" ht="13.5" thickBot="1">
      <c r="B38" s="270" t="s">
        <v>511</v>
      </c>
      <c r="E38" s="319">
        <v>0</v>
      </c>
      <c r="F38" s="319">
        <v>0</v>
      </c>
      <c r="G38" s="319">
        <v>25868</v>
      </c>
      <c r="H38" s="319">
        <v>80749</v>
      </c>
      <c r="I38" s="266">
        <v>32563</v>
      </c>
      <c r="J38" s="267"/>
      <c r="K38" s="266">
        <f t="shared" si="6"/>
        <v>139180</v>
      </c>
      <c r="L38" s="266"/>
      <c r="M38" s="268">
        <f>SUM(K35:K38)</f>
        <v>477322</v>
      </c>
      <c r="N38" s="266"/>
    </row>
    <row r="39" spans="1:14" ht="13.5" thickTop="1">
      <c r="E39" s="319"/>
      <c r="F39" s="319"/>
      <c r="G39" s="319"/>
      <c r="H39" s="319"/>
      <c r="I39" s="266"/>
      <c r="J39" s="267"/>
      <c r="K39" s="266"/>
      <c r="L39" s="266"/>
      <c r="M39" s="266"/>
      <c r="N39" s="266"/>
    </row>
    <row r="40" spans="1:14">
      <c r="A40" s="270" t="s">
        <v>496</v>
      </c>
      <c r="E40" s="319"/>
      <c r="F40" s="319"/>
      <c r="G40" s="319"/>
      <c r="H40" s="319"/>
      <c r="I40" s="266"/>
      <c r="J40" s="267"/>
      <c r="K40" s="266"/>
      <c r="L40" s="266"/>
      <c r="M40" s="266"/>
      <c r="N40" s="266"/>
    </row>
    <row r="41" spans="1:14">
      <c r="B41" s="270" t="s">
        <v>521</v>
      </c>
      <c r="E41" s="319">
        <v>263345</v>
      </c>
      <c r="F41" s="319">
        <v>0</v>
      </c>
      <c r="G41" s="319">
        <v>0</v>
      </c>
      <c r="H41" s="319">
        <v>0</v>
      </c>
      <c r="I41" s="266">
        <v>0</v>
      </c>
      <c r="J41" s="267"/>
      <c r="K41" s="266">
        <f t="shared" ref="K41:K42" si="7">SUM(E41:I41)</f>
        <v>263345</v>
      </c>
      <c r="L41" s="266"/>
      <c r="M41" s="266"/>
      <c r="N41" s="266"/>
    </row>
    <row r="42" spans="1:14">
      <c r="B42" s="270" t="s">
        <v>522</v>
      </c>
      <c r="E42" s="319">
        <f>133766</f>
        <v>133766</v>
      </c>
      <c r="F42" s="319">
        <v>55366</v>
      </c>
      <c r="G42" s="319">
        <v>0</v>
      </c>
      <c r="H42" s="319">
        <v>0</v>
      </c>
      <c r="I42" s="266">
        <v>0</v>
      </c>
      <c r="J42" s="267"/>
      <c r="K42" s="266">
        <f t="shared" si="7"/>
        <v>189132</v>
      </c>
      <c r="L42" s="266"/>
      <c r="M42" s="266" t="s">
        <v>496</v>
      </c>
      <c r="N42" s="266"/>
    </row>
    <row r="43" spans="1:14" ht="13.5" thickBot="1">
      <c r="B43" s="270" t="s">
        <v>511</v>
      </c>
      <c r="E43" s="319">
        <v>0</v>
      </c>
      <c r="F43" s="319">
        <v>0</v>
      </c>
      <c r="G43" s="319">
        <v>37053</v>
      </c>
      <c r="H43" s="319">
        <v>75656</v>
      </c>
      <c r="I43" s="266">
        <v>42624</v>
      </c>
      <c r="J43" s="267"/>
      <c r="K43" s="266">
        <f>SUM(E43:I43)</f>
        <v>155333</v>
      </c>
      <c r="L43" s="266"/>
      <c r="M43" s="268">
        <f>SUM(K41:K43)</f>
        <v>607810</v>
      </c>
      <c r="N43" s="332"/>
    </row>
    <row r="44" spans="1:14" ht="13.5" thickTop="1">
      <c r="J44" s="272"/>
    </row>
    <row r="45" spans="1:14" ht="13.5" thickBot="1">
      <c r="C45" s="270" t="s">
        <v>9</v>
      </c>
      <c r="E45" s="268">
        <f>SUM(E9:E44)</f>
        <v>801035</v>
      </c>
      <c r="F45" s="268">
        <f>SUM(F9:F44)</f>
        <v>884362</v>
      </c>
      <c r="G45" s="268">
        <f>SUM(G9:G44)</f>
        <v>128804</v>
      </c>
      <c r="H45" s="268">
        <f>SUM(H9:H44)</f>
        <v>347758</v>
      </c>
      <c r="I45" s="268">
        <f>SUM(I9:I44)</f>
        <v>156142</v>
      </c>
      <c r="J45" s="267"/>
      <c r="K45" s="268">
        <f>SUM(K9:K44)</f>
        <v>2318101</v>
      </c>
      <c r="L45" s="267"/>
      <c r="M45" s="268">
        <f>+M12+M21+M30+M32+M38+M43</f>
        <v>2318101</v>
      </c>
    </row>
    <row r="46" spans="1:14" ht="13.5" thickTop="1">
      <c r="J46" s="272"/>
    </row>
    <row r="47" spans="1:14">
      <c r="J47" s="272"/>
    </row>
    <row r="48" spans="1:14">
      <c r="C48" s="338" t="s">
        <v>525</v>
      </c>
      <c r="D48" s="339"/>
      <c r="E48" s="340"/>
      <c r="J48" s="272"/>
    </row>
    <row r="49" spans="3:11">
      <c r="C49" s="341"/>
      <c r="D49" s="339"/>
      <c r="E49" s="340"/>
      <c r="J49" s="272"/>
    </row>
    <row r="50" spans="3:11">
      <c r="C50" s="342" t="s">
        <v>528</v>
      </c>
      <c r="D50" s="340"/>
      <c r="E50" s="340"/>
      <c r="I50" s="320"/>
      <c r="J50" s="320"/>
      <c r="K50" s="320"/>
    </row>
    <row r="51" spans="3:11">
      <c r="C51" s="339"/>
      <c r="D51" s="339"/>
      <c r="E51" s="340"/>
    </row>
    <row r="52" spans="3:11">
      <c r="C52" s="343" t="s">
        <v>526</v>
      </c>
      <c r="D52" s="344"/>
      <c r="E52" s="340"/>
    </row>
    <row r="53" spans="3:11">
      <c r="C53" s="339"/>
      <c r="D53" s="339"/>
      <c r="E53" s="340"/>
    </row>
    <row r="54" spans="3:11">
      <c r="C54" s="327"/>
    </row>
  </sheetData>
  <mergeCells count="7">
    <mergeCell ref="A8:C8"/>
    <mergeCell ref="A1:K1"/>
    <mergeCell ref="A2:K2"/>
    <mergeCell ref="A3:K3"/>
    <mergeCell ref="A4:K4"/>
    <mergeCell ref="A5:K5"/>
    <mergeCell ref="E7:F7"/>
  </mergeCells>
  <pageMargins left="0.7" right="0.7" top="0.75" bottom="0.75" header="0.3" footer="0.3"/>
  <pageSetup scale="75" orientation="landscape" r:id="rId1"/>
  <headerFooter>
    <oddHeader>&amp;L&amp;"Arial MT,Bold"Marshall Municipal Utilities
2015 MMU Workpapers&amp;R&amp;"Arial MT,Bold"Exhibit MMU-4
Page 6 of 19</oddHeader>
    <oddFooter>&amp;L&amp;8&amp;Z&amp;F&amp;A&amp;R&amp;8&amp;D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J27"/>
  <sheetViews>
    <sheetView showGridLines="0" zoomScaleNormal="100" workbookViewId="0">
      <selection activeCell="H23" sqref="H23"/>
    </sheetView>
  </sheetViews>
  <sheetFormatPr defaultRowHeight="15"/>
  <cols>
    <col min="1" max="2" width="8.88671875" style="403"/>
    <col min="3" max="4" width="1.33203125" style="403" customWidth="1"/>
    <col min="5" max="5" width="8.88671875" style="403"/>
    <col min="6" max="6" width="21.6640625" style="403" customWidth="1"/>
    <col min="7" max="7" width="6.21875" style="403" customWidth="1"/>
    <col min="8" max="8" width="14.5546875" style="403" customWidth="1"/>
    <col min="9" max="10" width="1.21875" style="403" customWidth="1"/>
    <col min="11" max="16384" width="8.88671875" style="403"/>
  </cols>
  <sheetData>
    <row r="3" spans="5:10" ht="5.25" customHeight="1"/>
    <row r="4" spans="5:10" ht="5.25" customHeight="1"/>
    <row r="5" spans="5:10" ht="15.75">
      <c r="E5" s="404" t="str">
        <f>Coversheet!D3</f>
        <v>Marshall (Minnesota) Municipal Utilities</v>
      </c>
      <c r="F5" s="404"/>
      <c r="G5" s="404"/>
      <c r="H5" s="404"/>
    </row>
    <row r="6" spans="5:10" ht="15.75">
      <c r="E6" s="405">
        <f>Coversheet!E5</f>
        <v>2015</v>
      </c>
      <c r="F6" s="404" t="s">
        <v>547</v>
      </c>
      <c r="G6" s="404"/>
      <c r="H6" s="404"/>
    </row>
    <row r="7" spans="5:10" ht="15.75">
      <c r="E7" s="404" t="s">
        <v>546</v>
      </c>
      <c r="F7" s="404"/>
      <c r="G7" s="404"/>
      <c r="H7" s="404"/>
    </row>
    <row r="8" spans="5:10" ht="15.75">
      <c r="E8" s="404"/>
      <c r="F8" s="404"/>
      <c r="G8" s="404"/>
      <c r="H8" s="404"/>
    </row>
    <row r="9" spans="5:10" s="408" customFormat="1">
      <c r="E9" s="407" t="s">
        <v>548</v>
      </c>
      <c r="F9" s="407" t="s">
        <v>549</v>
      </c>
      <c r="G9" s="407" t="s">
        <v>550</v>
      </c>
      <c r="H9" s="407" t="s">
        <v>636</v>
      </c>
    </row>
    <row r="10" spans="5:10" ht="34.5" customHeight="1">
      <c r="E10" s="409">
        <v>1</v>
      </c>
      <c r="F10" s="410" t="s">
        <v>529</v>
      </c>
      <c r="G10" s="409">
        <f>E6</f>
        <v>2015</v>
      </c>
      <c r="H10" s="411">
        <v>80844</v>
      </c>
      <c r="J10" s="412"/>
    </row>
    <row r="11" spans="5:10" ht="15.75">
      <c r="E11" s="409">
        <v>2</v>
      </c>
      <c r="F11" s="413" t="s">
        <v>530</v>
      </c>
      <c r="G11" s="409">
        <f>G10</f>
        <v>2015</v>
      </c>
      <c r="H11" s="411">
        <v>81158</v>
      </c>
    </row>
    <row r="12" spans="5:10" ht="15.75">
      <c r="E12" s="409">
        <v>3</v>
      </c>
      <c r="F12" s="413" t="s">
        <v>531</v>
      </c>
      <c r="G12" s="409">
        <f>G11</f>
        <v>2015</v>
      </c>
      <c r="H12" s="411">
        <v>79076</v>
      </c>
    </row>
    <row r="13" spans="5:10" ht="15.75">
      <c r="E13" s="409">
        <v>4</v>
      </c>
      <c r="F13" s="413" t="s">
        <v>532</v>
      </c>
      <c r="G13" s="409">
        <f t="shared" ref="G13:G21" si="0">G12</f>
        <v>2015</v>
      </c>
      <c r="H13" s="411">
        <v>75095</v>
      </c>
    </row>
    <row r="14" spans="5:10" ht="15.75">
      <c r="E14" s="409">
        <v>5</v>
      </c>
      <c r="F14" s="413" t="s">
        <v>533</v>
      </c>
      <c r="G14" s="409">
        <f t="shared" si="0"/>
        <v>2015</v>
      </c>
      <c r="H14" s="411">
        <v>72796</v>
      </c>
    </row>
    <row r="15" spans="5:10" ht="15.75">
      <c r="E15" s="409">
        <v>6</v>
      </c>
      <c r="F15" s="413" t="s">
        <v>534</v>
      </c>
      <c r="G15" s="409">
        <f t="shared" si="0"/>
        <v>2015</v>
      </c>
      <c r="H15" s="411">
        <v>83452</v>
      </c>
    </row>
    <row r="16" spans="5:10" ht="15.75">
      <c r="E16" s="409">
        <v>7</v>
      </c>
      <c r="F16" s="413" t="s">
        <v>535</v>
      </c>
      <c r="G16" s="409">
        <f t="shared" si="0"/>
        <v>2015</v>
      </c>
      <c r="H16" s="411">
        <v>82816</v>
      </c>
    </row>
    <row r="17" spans="5:8" ht="15.75">
      <c r="E17" s="409">
        <v>8</v>
      </c>
      <c r="F17" s="413" t="s">
        <v>536</v>
      </c>
      <c r="G17" s="409">
        <f t="shared" si="0"/>
        <v>2015</v>
      </c>
      <c r="H17" s="411">
        <v>84169</v>
      </c>
    </row>
    <row r="18" spans="5:8" ht="15.75">
      <c r="E18" s="409">
        <v>9</v>
      </c>
      <c r="F18" s="413" t="s">
        <v>537</v>
      </c>
      <c r="G18" s="409">
        <f t="shared" si="0"/>
        <v>2015</v>
      </c>
      <c r="H18" s="411">
        <v>80262</v>
      </c>
    </row>
    <row r="19" spans="5:8" ht="15.75">
      <c r="E19" s="409">
        <v>10</v>
      </c>
      <c r="F19" s="413" t="s">
        <v>538</v>
      </c>
      <c r="G19" s="409">
        <f t="shared" si="0"/>
        <v>2015</v>
      </c>
      <c r="H19" s="411">
        <v>75823</v>
      </c>
    </row>
    <row r="20" spans="5:8" ht="15.75">
      <c r="E20" s="409">
        <v>11</v>
      </c>
      <c r="F20" s="413" t="s">
        <v>539</v>
      </c>
      <c r="G20" s="409">
        <f t="shared" si="0"/>
        <v>2015</v>
      </c>
      <c r="H20" s="411">
        <v>76312</v>
      </c>
    </row>
    <row r="21" spans="5:8" ht="17.25">
      <c r="E21" s="409">
        <v>12</v>
      </c>
      <c r="F21" s="413" t="s">
        <v>540</v>
      </c>
      <c r="G21" s="409">
        <f t="shared" si="0"/>
        <v>2015</v>
      </c>
      <c r="H21" s="414">
        <v>80373</v>
      </c>
    </row>
    <row r="22" spans="5:8">
      <c r="E22" s="409">
        <v>13</v>
      </c>
    </row>
    <row r="23" spans="5:8" ht="17.25">
      <c r="E23" s="409">
        <v>14</v>
      </c>
      <c r="F23" s="405" t="s">
        <v>551</v>
      </c>
      <c r="G23" s="415"/>
      <c r="H23" s="416">
        <f t="shared" ref="H23" si="1">SUM(H10:H21)/12</f>
        <v>79348</v>
      </c>
    </row>
    <row r="25" spans="5:8">
      <c r="H25" s="417" t="s">
        <v>552</v>
      </c>
    </row>
    <row r="26" spans="5:8" ht="6.75" customHeight="1"/>
    <row r="27" spans="5:8" ht="6.75" customHeight="1"/>
  </sheetData>
  <pageMargins left="0.7" right="0.7" top="0.75" bottom="0.75" header="0.3" footer="0.3"/>
  <pageSetup orientation="landscape" r:id="rId1"/>
  <headerFooter>
    <oddHeader>&amp;L&amp;"Arial MT,Bold"Marshall Municipal Utilities
2015 MMU Workpapers&amp;R&amp;"Arial MT,Bold"Exhibit MMU-4
Page 7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14</vt:i4>
      </vt:variant>
    </vt:vector>
  </HeadingPairs>
  <TitlesOfParts>
    <vt:vector size="35" baseType="lpstr">
      <vt:lpstr>Coversheet</vt:lpstr>
      <vt:lpstr>FLTY Att O_MMU</vt:lpstr>
      <vt:lpstr>Balance sheet Sched 2</vt:lpstr>
      <vt:lpstr>Income Sched 3</vt:lpstr>
      <vt:lpstr>Plant Sched 4</vt:lpstr>
      <vt:lpstr>Taxes Sched 5</vt:lpstr>
      <vt:lpstr>Op &amp; Maint Sched 7</vt:lpstr>
      <vt:lpstr>Salaries</vt:lpstr>
      <vt:lpstr>Divisor</vt:lpstr>
      <vt:lpstr>Plant</vt:lpstr>
      <vt:lpstr>Adj to Rate Base</vt:lpstr>
      <vt:lpstr>Land Held for Future Use</vt:lpstr>
      <vt:lpstr>Materials and Prepayments</vt:lpstr>
      <vt:lpstr>Capital Structure</vt:lpstr>
      <vt:lpstr>Transmission O&amp;M</vt:lpstr>
      <vt:lpstr>Admin &amp; General</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'Capital Structure'!Print_Area</vt:lpstr>
      <vt:lpstr>Divisor!Print_Area</vt:lpstr>
      <vt:lpstr>'EPRI Reg Comm Non Safety'!Print_Area</vt:lpstr>
      <vt:lpstr>'FERC Fees'!Print_Area</vt:lpstr>
      <vt:lpstr>'FLTY Att O_MMU'!Print_Area</vt:lpstr>
      <vt:lpstr>'Income Sched 3'!Print_Area</vt:lpstr>
      <vt:lpstr>Plant!Print_Area</vt:lpstr>
      <vt:lpstr>'Taxes other than inc tax'!Print_Area</vt:lpstr>
      <vt:lpstr>'Taxes Sched 5'!Print_Area</vt:lpstr>
      <vt:lpstr>'Transmission O&amp;M'!Print_Area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Ronald Kennedy</cp:lastModifiedBy>
  <cp:lastPrinted>2014-09-11T20:31:25Z</cp:lastPrinted>
  <dcterms:created xsi:type="dcterms:W3CDTF">2008-03-20T17:17:49Z</dcterms:created>
  <dcterms:modified xsi:type="dcterms:W3CDTF">2014-09-11T20:47:57Z</dcterms:modified>
</cp:coreProperties>
</file>