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3040" windowHeight="8832" tabRatio="874"/>
  </bookViews>
  <sheets>
    <sheet name="Nonlevelized-EIA 412" sheetId="35" r:id="rId1"/>
    <sheet name="Schedule 2" sheetId="28" r:id="rId2"/>
    <sheet name="Schedule 3" sheetId="29" r:id="rId3"/>
    <sheet name="Schedule 4" sheetId="30" r:id="rId4"/>
    <sheet name="Depreciation Schedule" sheetId="38" r:id="rId5"/>
    <sheet name="Schedule 7" sheetId="32" r:id="rId6"/>
    <sheet name="Schedule 5" sheetId="31" r:id="rId7"/>
    <sheet name="Detailed Income Statement" sheetId="11" r:id="rId8"/>
    <sheet name="Salaries" sheetId="7" r:id="rId9"/>
    <sheet name="Acct 456.1" sheetId="37" r:id="rId10"/>
    <sheet name="Other Data" sheetId="34"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C_._RIGHT_">#REF!</definedName>
    <definedName name="\C">#REF!</definedName>
    <definedName name="\D">#REF!</definedName>
    <definedName name="\E">#REF!</definedName>
    <definedName name="\p" localSheetId="4">#REF!</definedName>
    <definedName name="\p" localSheetId="0">#REF!</definedName>
    <definedName name="\p">#REF!</definedName>
    <definedName name="\S">#REF!</definedName>
    <definedName name="\U">#REF!</definedName>
    <definedName name="\V">#REF!</definedName>
    <definedName name="\W">#REF!</definedName>
    <definedName name="____C_._DOWN_">#REF!</definedName>
    <definedName name="__123Graph_A" localSheetId="0" hidden="1">[1]Sheet3!#REF!</definedName>
    <definedName name="__123Graph_A" hidden="1">[1]Sheet3!#REF!</definedName>
    <definedName name="__123Graph_A1991" localSheetId="0" hidden="1">[1]Sheet3!#REF!</definedName>
    <definedName name="__123Graph_A1991" hidden="1">[1]Sheet3!#REF!</definedName>
    <definedName name="__123Graph_A1992" localSheetId="0" hidden="1">[1]Sheet3!#REF!</definedName>
    <definedName name="__123Graph_A1992" hidden="1">[1]Sheet3!#REF!</definedName>
    <definedName name="__123Graph_A1993" localSheetId="0" hidden="1">[1]Sheet3!#REF!</definedName>
    <definedName name="__123Graph_A1993" hidden="1">[1]Sheet3!#REF!</definedName>
    <definedName name="__123Graph_A1994" localSheetId="0" hidden="1">[1]Sheet3!#REF!</definedName>
    <definedName name="__123Graph_A1994" hidden="1">[1]Sheet3!#REF!</definedName>
    <definedName name="__123Graph_A1995" localSheetId="0" hidden="1">[1]Sheet3!#REF!</definedName>
    <definedName name="__123Graph_A1995" hidden="1">[1]Sheet3!#REF!</definedName>
    <definedName name="__123Graph_A1996" localSheetId="0" hidden="1">[1]Sheet3!#REF!</definedName>
    <definedName name="__123Graph_A1996" hidden="1">[1]Sheet3!#REF!</definedName>
    <definedName name="__123Graph_ABAR" localSheetId="0" hidden="1">[1]Sheet3!#REF!</definedName>
    <definedName name="__123Graph_ABAR" hidden="1">[1]Sheet3!#REF!</definedName>
    <definedName name="__123Graph_B" localSheetId="0" hidden="1">[1]Sheet3!#REF!</definedName>
    <definedName name="__123Graph_B" hidden="1">[1]Sheet3!#REF!</definedName>
    <definedName name="__123Graph_B1991" localSheetId="0" hidden="1">[1]Sheet3!#REF!</definedName>
    <definedName name="__123Graph_B1991" hidden="1">[1]Sheet3!#REF!</definedName>
    <definedName name="__123Graph_B1992" localSheetId="0" hidden="1">[1]Sheet3!#REF!</definedName>
    <definedName name="__123Graph_B1992" hidden="1">[1]Sheet3!#REF!</definedName>
    <definedName name="__123Graph_B1993" localSheetId="0" hidden="1">[1]Sheet3!#REF!</definedName>
    <definedName name="__123Graph_B1993" hidden="1">[1]Sheet3!#REF!</definedName>
    <definedName name="__123Graph_B1994" localSheetId="0" hidden="1">[1]Sheet3!#REF!</definedName>
    <definedName name="__123Graph_B1994" hidden="1">[1]Sheet3!#REF!</definedName>
    <definedName name="__123Graph_B1995" localSheetId="0" hidden="1">[1]Sheet3!#REF!</definedName>
    <definedName name="__123Graph_B1995" hidden="1">[1]Sheet3!#REF!</definedName>
    <definedName name="__123Graph_B1996" localSheetId="0" hidden="1">[1]Sheet3!#REF!</definedName>
    <definedName name="__123Graph_B1996" hidden="1">[1]Sheet3!#REF!</definedName>
    <definedName name="__123Graph_BBAR" localSheetId="0" hidden="1">[1]Sheet3!#REF!</definedName>
    <definedName name="__123Graph_BBAR" hidden="1">[1]Sheet3!#REF!</definedName>
    <definedName name="__123Graph_CBAR" localSheetId="0" hidden="1">[1]Sheet3!#REF!</definedName>
    <definedName name="__123Graph_CBAR" hidden="1">[1]Sheet3!#REF!</definedName>
    <definedName name="__123Graph_DBAR" localSheetId="0" hidden="1">[1]Sheet3!#REF!</definedName>
    <definedName name="__123Graph_DBAR" hidden="1">[1]Sheet3!#REF!</definedName>
    <definedName name="__123Graph_EBAR" localSheetId="0" hidden="1">[1]Sheet3!#REF!</definedName>
    <definedName name="__123Graph_EBAR" hidden="1">[1]Sheet3!#REF!</definedName>
    <definedName name="__123Graph_FBAR" localSheetId="0" hidden="1">[1]Sheet3!#REF!</definedName>
    <definedName name="__123Graph_FBAR" hidden="1">[1]Sheet3!#REF!</definedName>
    <definedName name="__123Graph_X" localSheetId="0" hidden="1">[1]Sheet3!#REF!</definedName>
    <definedName name="__123Graph_X" hidden="1">[1]Sheet3!#REF!</definedName>
    <definedName name="__123Graph_X1991" localSheetId="0" hidden="1">[1]Sheet3!#REF!</definedName>
    <definedName name="__123Graph_X1991" hidden="1">[1]Sheet3!#REF!</definedName>
    <definedName name="__123Graph_X1992" localSheetId="0" hidden="1">[1]Sheet3!#REF!</definedName>
    <definedName name="__123Graph_X1992" hidden="1">[1]Sheet3!#REF!</definedName>
    <definedName name="__123Graph_X1993" localSheetId="0" hidden="1">[1]Sheet3!#REF!</definedName>
    <definedName name="__123Graph_X1993" hidden="1">[1]Sheet3!#REF!</definedName>
    <definedName name="__123Graph_X1994" localSheetId="0" hidden="1">[1]Sheet3!#REF!</definedName>
    <definedName name="__123Graph_X1994" hidden="1">[1]Sheet3!#REF!</definedName>
    <definedName name="__123Graph_X1995" localSheetId="0" hidden="1">[1]Sheet3!#REF!</definedName>
    <definedName name="__123Graph_X1995" hidden="1">[1]Sheet3!#REF!</definedName>
    <definedName name="__123Graph_X1996" localSheetId="0" hidden="1">[1]Sheet3!#REF!</definedName>
    <definedName name="__123Graph_X1996" hidden="1">[1]Sheet3!#REF!</definedName>
    <definedName name="_Check_Input" localSheetId="4">#REF!</definedName>
    <definedName name="_Check_Input" localSheetId="10">#REF!</definedName>
    <definedName name="_Check_Input">#REF!</definedName>
    <definedName name="_Checks">#REF!</definedName>
    <definedName name="_CurrCase" localSheetId="0">[2]DANDE!#REF!</definedName>
    <definedName name="_CurrCase" localSheetId="10">[3]DANDE!#REF!</definedName>
    <definedName name="_CurrCase">[4]DANDE!#REF!</definedName>
    <definedName name="_Data_Query" localSheetId="4">#REF!</definedName>
    <definedName name="_Data_Query" localSheetId="0">#REF!</definedName>
    <definedName name="_Data_Query" localSheetId="10">#REF!</definedName>
    <definedName name="_Data_Query">#REF!</definedName>
    <definedName name="_Data_Query2" localSheetId="4">#REF!</definedName>
    <definedName name="_Data_Query2" localSheetId="10">#REF!</definedName>
    <definedName name="_Data_Query2">#REF!</definedName>
    <definedName name="_DATE_87__?___?">#REF!</definedName>
    <definedName name="_End_Yr" localSheetId="4">#REF!</definedName>
    <definedName name="_End_Yr" localSheetId="10">#REF!</definedName>
    <definedName name="_End_Yr">#REF!</definedName>
    <definedName name="_EndYr2">#REF!</definedName>
    <definedName name="_FC_ID">#REF!</definedName>
    <definedName name="_FC_Query">#REF!</definedName>
    <definedName name="_FC_Table">#REF!</definedName>
    <definedName name="_FEB01" localSheetId="4" hidden="1">{#N/A,#N/A,FALSE,"EMPPAY"}</definedName>
    <definedName name="_FEB01" localSheetId="0" hidden="1">{#N/A,#N/A,FALSE,"EMPPAY"}</definedName>
    <definedName name="_FEB01" hidden="1">{#N/A,#N/A,FALSE,"EMPPAY"}</definedName>
    <definedName name="_Fill" hidden="1">'[5]Exp Detail'!#REF!</definedName>
    <definedName name="_FS_R">#REF!</definedName>
    <definedName name="_JAN01" localSheetId="4" hidden="1">{#N/A,#N/A,FALSE,"EMPPAY"}</definedName>
    <definedName name="_JAN01" localSheetId="0" hidden="1">{#N/A,#N/A,FALSE,"EMPPAY"}</definedName>
    <definedName name="_JAN01" hidden="1">{#N/A,#N/A,FALSE,"EMPPAY"}</definedName>
    <definedName name="_JAN2001" localSheetId="4" hidden="1">{#N/A,#N/A,FALSE,"EMPPAY"}</definedName>
    <definedName name="_JAN2001" localSheetId="0" hidden="1">{#N/A,#N/A,FALSE,"EMPPAY"}</definedName>
    <definedName name="_JAN2001" hidden="1">{#N/A,#N/A,FALSE,"EMPPAY"}</definedName>
    <definedName name="_Key1" hidden="1">'[5]Exp Detail'!#REF!</definedName>
    <definedName name="_lookup1">#REF!</definedName>
    <definedName name="_lookup2">#REF!</definedName>
    <definedName name="_lookup3">#REF!</definedName>
    <definedName name="_Meter_Pt" localSheetId="4">#REF!</definedName>
    <definedName name="_Meter_Pt" localSheetId="0">#REF!</definedName>
    <definedName name="_Meter_Pt" localSheetId="10">#REF!</definedName>
    <definedName name="_Meter_Pt">#REF!</definedName>
    <definedName name="_Order1" hidden="1">255</definedName>
    <definedName name="_PPR_?__AGAQ">#REF!</definedName>
    <definedName name="_Query1a" localSheetId="4">#REF!</definedName>
    <definedName name="_Query1a" localSheetId="0">#REF!</definedName>
    <definedName name="_Query1a" localSheetId="10">#REF!</definedName>
    <definedName name="_Query1a">#REF!</definedName>
    <definedName name="_Query1b" localSheetId="4">#REF!</definedName>
    <definedName name="_Query1b" localSheetId="10">#REF!</definedName>
    <definedName name="_Query1b">#REF!</definedName>
    <definedName name="_Query2a">#REF!</definedName>
    <definedName name="_Query2b">#REF!</definedName>
    <definedName name="_RE_">#REF!</definedName>
    <definedName name="_RFD1__WCS10_">#REF!</definedName>
    <definedName name="_RunCase" localSheetId="0">[2]DANDE!#REF!</definedName>
    <definedName name="_RunCase" localSheetId="10">[3]DANDE!#REF!</definedName>
    <definedName name="_RunCase">[4]DANDE!#REF!</definedName>
    <definedName name="_Sort" hidden="1">'[5]Exp Detail'!#REF!</definedName>
    <definedName name="_Split_Mthd" localSheetId="4">#REF!</definedName>
    <definedName name="_Split_Mthd" localSheetId="0">#REF!</definedName>
    <definedName name="_Split_Mthd" localSheetId="10">#REF!</definedName>
    <definedName name="_Split_Mthd">#REF!</definedName>
    <definedName name="_Start_Yr" localSheetId="4">#REF!</definedName>
    <definedName name="_Start_Yr" localSheetId="10">#REF!</definedName>
    <definedName name="_Start_Yr">#REF!</definedName>
    <definedName name="_StartYr2" localSheetId="4">#REF!</definedName>
    <definedName name="_StartYr2" localSheetId="10">#REF!</definedName>
    <definedName name="_StartYr2">#REF!</definedName>
    <definedName name="_WCS_?__">#REF!</definedName>
    <definedName name="_WIC_">#REF!</definedName>
    <definedName name="_WIR_">#REF!</definedName>
    <definedName name="A" localSheetId="4" hidden="1">{#N/A,#N/A,FALSE,"EMPPAY"}</definedName>
    <definedName name="A" localSheetId="0" hidden="1">{#N/A,#N/A,FALSE,"EMPPAY"}</definedName>
    <definedName name="A" hidden="1">{#N/A,#N/A,FALSE,"EMPPAY"}</definedName>
    <definedName name="Adjusted_KW">[6]CALCULATIONS!$C$29</definedName>
    <definedName name="CIP_Year" localSheetId="0">OFFSET(#REF!,0,0,COUNTA(#REF!)-1,1)</definedName>
    <definedName name="CIP_Year">OFFSET(#REF!,0,0,COUNTA(#REF!)-1,1)</definedName>
    <definedName name="Coincidence_Factor" localSheetId="0">[6]CALCULATIONS!#REF!</definedName>
    <definedName name="Coincidence_Factor">[6]CALCULATIONS!#REF!</definedName>
    <definedName name="CROD_S" localSheetId="0">'[7]Brewster Purchases'!#REF!</definedName>
    <definedName name="CROD_S">'[7]Brewster Purchases'!#REF!</definedName>
    <definedName name="Current_Year">'[8]Electric Fund Historical'!$D$1</definedName>
    <definedName name="CUSTAR" localSheetId="4">#REF!</definedName>
    <definedName name="CUSTAR">#REF!</definedName>
    <definedName name="CUYAHOGA_FALLS" localSheetId="4">#REF!</definedName>
    <definedName name="CUYAHOGA_FALLS">#REF!</definedName>
    <definedName name="_xlnm.Database" localSheetId="0">OFFSET(#REF!,0,0,COUNTA(#REF!),11)</definedName>
    <definedName name="_xlnm.Database">OFFSET(#REF!,0,0,COUNTA(#REF!),11)</definedName>
    <definedName name="DEC00" localSheetId="4" hidden="1">{#N/A,#N/A,FALSE,"ARREC"}</definedName>
    <definedName name="DEC00" localSheetId="0" hidden="1">{#N/A,#N/A,FALSE,"ARREC"}</definedName>
    <definedName name="DEC00" hidden="1">{#N/A,#N/A,FALSE,"ARREC"}</definedName>
    <definedName name="EDGERTON" localSheetId="4">#REF!</definedName>
    <definedName name="EDGERTON">#REF!</definedName>
    <definedName name="Ellwood_City" localSheetId="4">#REF!</definedName>
    <definedName name="Ellwood_City">#REF!</definedName>
    <definedName name="ELMORE" localSheetId="4">#REF!</definedName>
    <definedName name="ELMORE">#REF!</definedName>
    <definedName name="FEB00" localSheetId="4" hidden="1">{#N/A,#N/A,FALSE,"ARREC"}</definedName>
    <definedName name="FEB00" localSheetId="0" hidden="1">{#N/A,#N/A,FALSE,"ARREC"}</definedName>
    <definedName name="FEB00" hidden="1">{#N/A,#N/A,FALSE,"ARREC"}</definedName>
    <definedName name="Fibro_Q1">[9]!Table_Query_from__PSO_1[[#Headers],[est_stamp]]</definedName>
    <definedName name="Fibro_Q2">[9]!Table_Query_from_MRBILL[[#Headers],[rate_id]]</definedName>
    <definedName name="Fibro_Q3">[9]!Table_Query_from__PSO[[#Headers],[city_id]]</definedName>
    <definedName name="GALION" localSheetId="4">#REF!</definedName>
    <definedName name="GALION">#REF!</definedName>
    <definedName name="GENOA" localSheetId="4">#REF!</definedName>
    <definedName name="GENOA">#REF!</definedName>
    <definedName name="GENOA_NORTH" localSheetId="4">#REF!</definedName>
    <definedName name="GENOA_NORTH">#REF!</definedName>
    <definedName name="GENOA_SOUTH">#REF!</definedName>
    <definedName name="GRAFTON">#REF!</definedName>
    <definedName name="Grove_City">#REF!</definedName>
    <definedName name="HASKINS">#REF!</definedName>
    <definedName name="hourending">#REF!</definedName>
    <definedName name="Hours">[6]CALCULATIONS!$C$11</definedName>
    <definedName name="HUBBARD" localSheetId="4">#REF!</definedName>
    <definedName name="HUBBARD" localSheetId="10">#REF!</definedName>
    <definedName name="HUBBARD">#REF!</definedName>
    <definedName name="LHMonth" localSheetId="0">#REF!</definedName>
    <definedName name="LHMonth">#REF!</definedName>
    <definedName name="LHYear">#REF!</definedName>
    <definedName name="Load_Factor">[6]CALCULATIONS!#REF!</definedName>
    <definedName name="LODI" localSheetId="4">#REF!</definedName>
    <definedName name="LODI" localSheetId="10">#REF!</definedName>
    <definedName name="LODI">#REF!</definedName>
    <definedName name="Loss_KW">[6]CALCULATIONS!$C$40</definedName>
    <definedName name="Loss_kWh">[6]CALCULATIONS!$E$40</definedName>
    <definedName name="Loss_Rate">[6]CALCULATIONS!$B$40</definedName>
    <definedName name="LUCAS" localSheetId="4">#REF!</definedName>
    <definedName name="LUCAS" localSheetId="10">#REF!</definedName>
    <definedName name="LUCAS">#REF!</definedName>
    <definedName name="MAY" localSheetId="4" hidden="1">{#N/A,#N/A,FALSE,"EMPPAY"}</definedName>
    <definedName name="MAY" localSheetId="0" hidden="1">{#N/A,#N/A,FALSE,"EMPPAY"}</definedName>
    <definedName name="MAY" hidden="1">{#N/A,#N/A,FALSE,"EMPPAY"}</definedName>
    <definedName name="MILAN" localSheetId="4">#REF!</definedName>
    <definedName name="MILAN">#REF!</definedName>
    <definedName name="MONROEVILLE" localSheetId="4">#REF!</definedName>
    <definedName name="MONROEVILLE">#REF!</definedName>
    <definedName name="Monthly_Peak">[6]CALCULATIONS!$C$29</definedName>
    <definedName name="MRES_Demand">[6]CALCULATIONS!$C$38</definedName>
    <definedName name="MRES_Energy">[6]CALCULATIONS!$E$38</definedName>
    <definedName name="MRES_KW_with_Loss">[6]CALCULATIONS!$C$41</definedName>
    <definedName name="MRES_kWh_with_Loss">[6]CALCULATIONS!$E$41</definedName>
    <definedName name="Multiplier">[6]Reads!$F$1</definedName>
    <definedName name="NAPOLEON" localSheetId="4">#REF!</definedName>
    <definedName name="NAPOLEON">#REF!</definedName>
    <definedName name="NEASG" localSheetId="10">#REF!</definedName>
    <definedName name="NEASG">#REF!</definedName>
    <definedName name="New_Wilmington" localSheetId="10">#REF!</definedName>
    <definedName name="New_Wilmington">#REF!</definedName>
    <definedName name="NEWTON_FALLS">#REF!</definedName>
    <definedName name="NILES">#REF!</definedName>
    <definedName name="NWASG">#REF!</definedName>
    <definedName name="OAK_HARBOR">#REF!</definedName>
    <definedName name="OBERLIN">#REF!</definedName>
    <definedName name="PEAK">[6]TRANSMISSION!#REF!</definedName>
    <definedName name="PEMBERVILLE" localSheetId="4">#REF!</definedName>
    <definedName name="PEMBERVILLE" localSheetId="10">#REF!</definedName>
    <definedName name="PEMBERVILLE">#REF!</definedName>
    <definedName name="PIONEER" localSheetId="10">#REF!</definedName>
    <definedName name="PIONEER">#REF!</definedName>
    <definedName name="Previous_Meter_Reading">[6]CALCULATIONS!$C$16</definedName>
    <definedName name="_xlnm.Print_Area" localSheetId="9">'Acct 456.1'!$A$1:$J$40</definedName>
    <definedName name="_xlnm.Print_Area" localSheetId="4">'Depreciation Schedule'!$A$1:$X$286</definedName>
    <definedName name="_xlnm.Print_Area" localSheetId="7">'Detailed Income Statement'!$A$1:$B$65</definedName>
    <definedName name="_xlnm.Print_Area" localSheetId="0">'Nonlevelized-EIA 412'!$A$1:$K$312</definedName>
    <definedName name="_xlnm.Print_Area" localSheetId="10">#REF!</definedName>
    <definedName name="_xlnm.Print_Area" localSheetId="8">Salaries!$A$1:$J$46</definedName>
    <definedName name="_xlnm.Print_Area" localSheetId="2">'Schedule 3'!$A$1:$C$31</definedName>
    <definedName name="_xlnm.Print_Area">#REF!</definedName>
    <definedName name="Print_Area_MI" localSheetId="4">#REF!</definedName>
    <definedName name="Print_Area_MI" localSheetId="0">#REF!</definedName>
    <definedName name="Print_Area_MI">#REF!</definedName>
    <definedName name="_xlnm.Print_Titles" localSheetId="9">'Acct 456.1'!$1:$2</definedName>
    <definedName name="Print_Titles_MI" localSheetId="4">#REF!</definedName>
    <definedName name="Print_Titles_MI" localSheetId="0">#REF!</definedName>
    <definedName name="Print_Titles_MI">#REF!</definedName>
    <definedName name="PROSPECT" localSheetId="4">#REF!</definedName>
    <definedName name="PROSPECT" localSheetId="0">#REF!</definedName>
    <definedName name="PROSPECT">#REF!</definedName>
    <definedName name="queryp1" localSheetId="0">[2]DANDE!#REF!</definedName>
    <definedName name="queryp1" localSheetId="10">[3]DANDE!#REF!</definedName>
    <definedName name="queryp1">[4]DANDE!#REF!</definedName>
    <definedName name="Reading_Date">[6]CALCULATIONS!$C$8</definedName>
    <definedName name="revreq" localSheetId="4">#REF!</definedName>
    <definedName name="revreq">#REF!</definedName>
    <definedName name="Service_Metered">[6]CALCULATIONS!$C$19</definedName>
    <definedName name="SEVILLE" localSheetId="4">#REF!</definedName>
    <definedName name="SEVILLE">#REF!</definedName>
    <definedName name="SOUTH_VIENNA" localSheetId="4">#REF!</definedName>
    <definedName name="SOUTH_VIENNA">#REF!</definedName>
    <definedName name="TEST" localSheetId="4" hidden="1">{#N/A,#N/A,FALSE,"EMPPAY"}</definedName>
    <definedName name="TEST" localSheetId="0" hidden="1">{#N/A,#N/A,FALSE,"EMPPAY"}</definedName>
    <definedName name="TEST" hidden="1">{#N/A,#N/A,FALSE,"EMPPAY"}</definedName>
    <definedName name="TOTAL_COLUMBIANA" localSheetId="4">#REF!</definedName>
    <definedName name="TOTAL_COLUMBIANA">#REF!</definedName>
    <definedName name="Total_Grove_City" localSheetId="4">#REF!</definedName>
    <definedName name="Total_Grove_City">#REF!</definedName>
    <definedName name="TOTAL_HUDSON" localSheetId="4">#REF!</definedName>
    <definedName name="TOTAL_HUDSON">#REF!</definedName>
    <definedName name="Total_kWh">[6]CALCULATIONS!$C$21</definedName>
    <definedName name="TOTAL_MONTPELIER" localSheetId="4">#REF!</definedName>
    <definedName name="TOTAL_MONTPELIER" localSheetId="10">#REF!</definedName>
    <definedName name="TOTAL_MONTPELIER">#REF!</definedName>
    <definedName name="TOTAL_WOODVILLE" localSheetId="10">#REF!</definedName>
    <definedName name="TOTAL_WOODVILLE">#REF!</definedName>
    <definedName name="TOTALS">#REF!</definedName>
    <definedName name="TRANSMISSION_PEAK">[6]TRANSMISSION!$C$15</definedName>
    <definedName name="username" localSheetId="4">[4]DANDE!#REF!</definedName>
    <definedName name="username" localSheetId="0">[2]DANDE!#REF!</definedName>
    <definedName name="username" localSheetId="10">[3]DANDE!#REF!</definedName>
    <definedName name="username">[4]DANDE!#REF!</definedName>
    <definedName name="WADSWORTH" localSheetId="4">#REF!</definedName>
    <definedName name="WADSWORTH" localSheetId="0">#REF!</definedName>
    <definedName name="WADSWORTH">#REF!</definedName>
    <definedName name="WAPA_CROD" localSheetId="0">[6]CALCULATIONS!#REF!</definedName>
    <definedName name="WAPA_CROD">[6]CALCULATIONS!#REF!</definedName>
    <definedName name="WAPA_Demand">[6]CALCULATIONS!$C$33</definedName>
    <definedName name="WAPA_Energy">[6]CALCULATIONS!$C$32</definedName>
    <definedName name="WESTERN_DEMAND" localSheetId="0">[6]CALCULATIONS!#REF!</definedName>
    <definedName name="WESTERN_DEMAND">[6]CALCULATIONS!#REF!</definedName>
    <definedName name="WESTERN_ENERGY" localSheetId="0">[6]CALCULATIONS!#REF!</definedName>
    <definedName name="WESTERN_ENERGY">[6]CALCULATIONS!#REF!</definedName>
    <definedName name="wrn.ARREC." localSheetId="4" hidden="1">{#N/A,#N/A,FALSE,"ARREC"}</definedName>
    <definedName name="wrn.ARREC." localSheetId="0" hidden="1">{#N/A,#N/A,FALSE,"ARREC"}</definedName>
    <definedName name="wrn.ARREC." hidden="1">{#N/A,#N/A,FALSE,"ARREC"}</definedName>
    <definedName name="wrn.EMPPAY." localSheetId="4" hidden="1">{#N/A,#N/A,FALSE,"EMPPAY"}</definedName>
    <definedName name="wrn.EMPPAY." localSheetId="0" hidden="1">{#N/A,#N/A,FALSE,"EMPPAY"}</definedName>
    <definedName name="wrn.EMPPAY." hidden="1">{#N/A,#N/A,FALSE,"EMPPAY"}</definedName>
    <definedName name="xx" localSheetId="0" hidden="1">{#N/A,#N/A,FALSE,"EMPPAY"}</definedName>
    <definedName name="xx" hidden="1">{#N/A,#N/A,FALSE,"EMPPAY"}</definedName>
    <definedName name="Year" localSheetId="0">OFFSET(#REF!,0,0,COUNTA(#REF!),1)</definedName>
    <definedName name="Year">OFFSET(#REF!,0,0,COUNTA(#REF!),1)</definedName>
  </definedNames>
  <calcPr calcId="145621"/>
</workbook>
</file>

<file path=xl/calcChain.xml><?xml version="1.0" encoding="utf-8"?>
<calcChain xmlns="http://schemas.openxmlformats.org/spreadsheetml/2006/main">
  <c r="L268" i="38" l="1"/>
  <c r="L267" i="38"/>
  <c r="N282" i="38"/>
  <c r="N280" i="38"/>
  <c r="L289" i="38"/>
  <c r="L265" i="38"/>
  <c r="L291" i="38"/>
  <c r="F289" i="38"/>
  <c r="F290" i="38"/>
  <c r="F291" i="38"/>
  <c r="F292" i="38"/>
  <c r="F288" i="38"/>
  <c r="L279" i="38"/>
  <c r="L288" i="38" s="1"/>
  <c r="L282" i="38"/>
  <c r="C20" i="29" l="1"/>
  <c r="C14" i="29"/>
  <c r="G14" i="29"/>
  <c r="G13" i="29"/>
  <c r="G15" i="29" l="1"/>
  <c r="K19" i="30" l="1"/>
  <c r="R291" i="38"/>
  <c r="I22" i="35" l="1"/>
  <c r="R275" i="38" l="1"/>
  <c r="R273" i="38"/>
  <c r="R156" i="38"/>
  <c r="R290" i="38" l="1"/>
  <c r="D16" i="32"/>
  <c r="D21" i="32"/>
  <c r="D28" i="34"/>
  <c r="H273" i="38" l="1"/>
  <c r="F26" i="34"/>
  <c r="I261" i="35" l="1"/>
  <c r="D234" i="35" l="1"/>
  <c r="D233" i="35"/>
  <c r="D232" i="35"/>
  <c r="D245" i="35"/>
  <c r="C24" i="29"/>
  <c r="D249" i="35"/>
  <c r="D248" i="35"/>
  <c r="D174" i="35"/>
  <c r="D86" i="35"/>
  <c r="D94" i="35"/>
  <c r="D162" i="35"/>
  <c r="D161" i="35"/>
  <c r="D155" i="35"/>
  <c r="D151" i="35"/>
  <c r="D152" i="35" l="1"/>
  <c r="D119" i="35"/>
  <c r="D118" i="35"/>
  <c r="D114" i="35"/>
  <c r="D93" i="35"/>
  <c r="D92" i="35"/>
  <c r="D91" i="35"/>
  <c r="D85" i="35"/>
  <c r="D84" i="35"/>
  <c r="D83" i="35"/>
  <c r="D25" i="34" l="1"/>
  <c r="D24" i="34"/>
  <c r="D154" i="35" s="1"/>
  <c r="D25" i="32"/>
  <c r="D29" i="32"/>
  <c r="D23" i="32"/>
  <c r="E23" i="32"/>
  <c r="D15" i="32"/>
  <c r="I43" i="7"/>
  <c r="I44" i="7"/>
  <c r="I45" i="7"/>
  <c r="I42" i="7"/>
  <c r="D28" i="7"/>
  <c r="D23" i="7"/>
  <c r="D19" i="7"/>
  <c r="C12" i="31"/>
  <c r="C11" i="28"/>
  <c r="F38" i="28"/>
  <c r="F31" i="28"/>
  <c r="F20" i="28"/>
  <c r="F15" i="28"/>
  <c r="C35" i="28"/>
  <c r="C33" i="28"/>
  <c r="F227" i="11" l="1"/>
  <c r="F63" i="11"/>
  <c r="H280" i="38"/>
  <c r="W275" i="38"/>
  <c r="Q275" i="38"/>
  <c r="J275" i="38"/>
  <c r="H275" i="38"/>
  <c r="H282" i="38" s="1"/>
  <c r="W274" i="38"/>
  <c r="T274" i="38"/>
  <c r="Q274" i="38"/>
  <c r="J274" i="38"/>
  <c r="H274" i="38"/>
  <c r="H281" i="38" s="1"/>
  <c r="W273" i="38"/>
  <c r="T273" i="38"/>
  <c r="T280" i="38" s="1"/>
  <c r="Q273" i="38"/>
  <c r="J273" i="38"/>
  <c r="J280" i="38" s="1"/>
  <c r="F273" i="38"/>
  <c r="F276" i="38" s="1"/>
  <c r="W272" i="38"/>
  <c r="T272" i="38"/>
  <c r="Q272" i="38"/>
  <c r="J272" i="38"/>
  <c r="H272" i="38"/>
  <c r="V268" i="38"/>
  <c r="T268" i="38"/>
  <c r="R268" i="38"/>
  <c r="J268" i="38"/>
  <c r="V267" i="38"/>
  <c r="T267" i="38"/>
  <c r="R267" i="38"/>
  <c r="J267" i="38"/>
  <c r="V265" i="38"/>
  <c r="T265" i="38"/>
  <c r="R265" i="38"/>
  <c r="J265" i="38"/>
  <c r="H265" i="38"/>
  <c r="H269" i="38" s="1"/>
  <c r="T258" i="38"/>
  <c r="P258" i="38"/>
  <c r="J258" i="38"/>
  <c r="H258" i="38"/>
  <c r="F258" i="38"/>
  <c r="L257" i="38"/>
  <c r="R257" i="38" s="1"/>
  <c r="V257" i="38" s="1"/>
  <c r="X257" i="38" s="1"/>
  <c r="L256" i="38"/>
  <c r="R256" i="38" s="1"/>
  <c r="V256" i="38" s="1"/>
  <c r="X256" i="38" s="1"/>
  <c r="L255" i="38"/>
  <c r="R255" i="38" s="1"/>
  <c r="V255" i="38" s="1"/>
  <c r="X255" i="38" s="1"/>
  <c r="L254" i="38"/>
  <c r="L253" i="38"/>
  <c r="R253" i="38" s="1"/>
  <c r="V253" i="38" s="1"/>
  <c r="X253" i="38" s="1"/>
  <c r="L252" i="38"/>
  <c r="R252" i="38" s="1"/>
  <c r="V252" i="38" s="1"/>
  <c r="X252" i="38" s="1"/>
  <c r="L251" i="38"/>
  <c r="R251" i="38" s="1"/>
  <c r="V251" i="38" s="1"/>
  <c r="X251" i="38" s="1"/>
  <c r="L250" i="38"/>
  <c r="R250" i="38" s="1"/>
  <c r="V250" i="38" s="1"/>
  <c r="X250" i="38" s="1"/>
  <c r="L249" i="38"/>
  <c r="R249" i="38" s="1"/>
  <c r="V249" i="38" s="1"/>
  <c r="X249" i="38" s="1"/>
  <c r="L248" i="38"/>
  <c r="R248" i="38" s="1"/>
  <c r="V248" i="38" s="1"/>
  <c r="X248" i="38" s="1"/>
  <c r="L247" i="38"/>
  <c r="R247" i="38" s="1"/>
  <c r="V247" i="38" s="1"/>
  <c r="X247" i="38" s="1"/>
  <c r="V246" i="38"/>
  <c r="X246" i="38" s="1"/>
  <c r="L246" i="38"/>
  <c r="R246" i="38" s="1"/>
  <c r="L245" i="38"/>
  <c r="R245" i="38" s="1"/>
  <c r="V245" i="38" s="1"/>
  <c r="X245" i="38" s="1"/>
  <c r="L244" i="38"/>
  <c r="R244" i="38" s="1"/>
  <c r="V244" i="38" s="1"/>
  <c r="X244" i="38" s="1"/>
  <c r="L243" i="38"/>
  <c r="R243" i="38" s="1"/>
  <c r="V243" i="38" s="1"/>
  <c r="X243" i="38" s="1"/>
  <c r="L242" i="38"/>
  <c r="L241" i="38"/>
  <c r="R241" i="38" s="1"/>
  <c r="V241" i="38" s="1"/>
  <c r="X241" i="38" s="1"/>
  <c r="L240" i="38"/>
  <c r="R240" i="38" s="1"/>
  <c r="V240" i="38" s="1"/>
  <c r="X240" i="38" s="1"/>
  <c r="L239" i="38"/>
  <c r="R239" i="38" s="1"/>
  <c r="V239" i="38" s="1"/>
  <c r="X239" i="38" s="1"/>
  <c r="L238" i="38"/>
  <c r="L237" i="38"/>
  <c r="R237" i="38" s="1"/>
  <c r="V237" i="38" s="1"/>
  <c r="X237" i="38" s="1"/>
  <c r="L236" i="38"/>
  <c r="R236" i="38" s="1"/>
  <c r="V236" i="38" s="1"/>
  <c r="X236" i="38" s="1"/>
  <c r="L235" i="38"/>
  <c r="R235" i="38" s="1"/>
  <c r="V235" i="38" s="1"/>
  <c r="X235" i="38" s="1"/>
  <c r="L234" i="38"/>
  <c r="R234" i="38" s="1"/>
  <c r="V234" i="38" s="1"/>
  <c r="L233" i="38"/>
  <c r="R233" i="38" s="1"/>
  <c r="V233" i="38" s="1"/>
  <c r="X233" i="38" s="1"/>
  <c r="L232" i="38"/>
  <c r="R232" i="38" s="1"/>
  <c r="V232" i="38" s="1"/>
  <c r="X232" i="38" s="1"/>
  <c r="L231" i="38"/>
  <c r="R231" i="38" s="1"/>
  <c r="V231" i="38" s="1"/>
  <c r="X231" i="38" s="1"/>
  <c r="L230" i="38"/>
  <c r="R230" i="38" s="1"/>
  <c r="V230" i="38" s="1"/>
  <c r="X230" i="38" s="1"/>
  <c r="L229" i="38"/>
  <c r="R229" i="38" s="1"/>
  <c r="V229" i="38" s="1"/>
  <c r="X229" i="38" s="1"/>
  <c r="L228" i="38"/>
  <c r="R228" i="38" s="1"/>
  <c r="V228" i="38" s="1"/>
  <c r="X228" i="38" s="1"/>
  <c r="L227" i="38"/>
  <c r="R227" i="38" s="1"/>
  <c r="V227" i="38" s="1"/>
  <c r="X227" i="38" s="1"/>
  <c r="L226" i="38"/>
  <c r="L225" i="38"/>
  <c r="L224" i="38"/>
  <c r="R224" i="38" s="1"/>
  <c r="V224" i="38" s="1"/>
  <c r="X224" i="38" s="1"/>
  <c r="L223" i="38"/>
  <c r="R223" i="38" s="1"/>
  <c r="V223" i="38" s="1"/>
  <c r="X223" i="38" s="1"/>
  <c r="L222" i="38"/>
  <c r="R222" i="38" s="1"/>
  <c r="V222" i="38" s="1"/>
  <c r="X222" i="38" s="1"/>
  <c r="V221" i="38"/>
  <c r="L221" i="38"/>
  <c r="L220" i="38"/>
  <c r="R220" i="38" s="1"/>
  <c r="V220" i="38" s="1"/>
  <c r="X220" i="38" s="1"/>
  <c r="L219" i="38"/>
  <c r="R219" i="38" s="1"/>
  <c r="V219" i="38" s="1"/>
  <c r="X219" i="38" s="1"/>
  <c r="V218" i="38"/>
  <c r="L218" i="38"/>
  <c r="V217" i="38"/>
  <c r="L217" i="38"/>
  <c r="L207" i="38"/>
  <c r="R207" i="38" s="1"/>
  <c r="V207" i="38" s="1"/>
  <c r="X207" i="38" s="1"/>
  <c r="L206" i="38"/>
  <c r="R206" i="38" s="1"/>
  <c r="V206" i="38" s="1"/>
  <c r="X206" i="38" s="1"/>
  <c r="L205" i="38"/>
  <c r="R205" i="38" s="1"/>
  <c r="V205" i="38" s="1"/>
  <c r="X205" i="38" s="1"/>
  <c r="L204" i="38"/>
  <c r="R204" i="38" s="1"/>
  <c r="V204" i="38" s="1"/>
  <c r="X204" i="38" s="1"/>
  <c r="L203" i="38"/>
  <c r="R203" i="38" s="1"/>
  <c r="V203" i="38" s="1"/>
  <c r="X203" i="38" s="1"/>
  <c r="L202" i="38"/>
  <c r="R202" i="38" s="1"/>
  <c r="V202" i="38" s="1"/>
  <c r="X202" i="38" s="1"/>
  <c r="L201" i="38"/>
  <c r="R201" i="38" s="1"/>
  <c r="V201" i="38" s="1"/>
  <c r="X201" i="38" s="1"/>
  <c r="L200" i="38"/>
  <c r="R200" i="38" s="1"/>
  <c r="V200" i="38" s="1"/>
  <c r="X200" i="38" s="1"/>
  <c r="L199" i="38"/>
  <c r="R199" i="38" s="1"/>
  <c r="V199" i="38" s="1"/>
  <c r="X199" i="38" s="1"/>
  <c r="L198" i="38"/>
  <c r="R198" i="38" s="1"/>
  <c r="V198" i="38" s="1"/>
  <c r="X198" i="38" s="1"/>
  <c r="L197" i="38"/>
  <c r="R197" i="38" s="1"/>
  <c r="V197" i="38" s="1"/>
  <c r="X197" i="38" s="1"/>
  <c r="L196" i="38"/>
  <c r="R196" i="38" s="1"/>
  <c r="V196" i="38" s="1"/>
  <c r="X196" i="38" s="1"/>
  <c r="L195" i="38"/>
  <c r="R195" i="38" s="1"/>
  <c r="V195" i="38" s="1"/>
  <c r="X195" i="38" s="1"/>
  <c r="L194" i="38"/>
  <c r="R194" i="38" s="1"/>
  <c r="V194" i="38" s="1"/>
  <c r="X194" i="38" s="1"/>
  <c r="L193" i="38"/>
  <c r="R193" i="38" s="1"/>
  <c r="V193" i="38" s="1"/>
  <c r="X193" i="38" s="1"/>
  <c r="L192" i="38"/>
  <c r="R192" i="38" s="1"/>
  <c r="V192" i="38" s="1"/>
  <c r="X192" i="38" s="1"/>
  <c r="L191" i="38"/>
  <c r="R191" i="38" s="1"/>
  <c r="V191" i="38" s="1"/>
  <c r="X191" i="38" s="1"/>
  <c r="L190" i="38"/>
  <c r="R190" i="38" s="1"/>
  <c r="V190" i="38" s="1"/>
  <c r="X190" i="38" s="1"/>
  <c r="L189" i="38"/>
  <c r="R189" i="38" s="1"/>
  <c r="L188" i="38"/>
  <c r="R188" i="38" s="1"/>
  <c r="V188" i="38" s="1"/>
  <c r="X188" i="38" s="1"/>
  <c r="R187" i="38"/>
  <c r="V187" i="38" s="1"/>
  <c r="X187" i="38" s="1"/>
  <c r="L187" i="38"/>
  <c r="L186" i="38"/>
  <c r="R186" i="38" s="1"/>
  <c r="V186" i="38" s="1"/>
  <c r="X186" i="38" s="1"/>
  <c r="L185" i="38"/>
  <c r="R185" i="38" s="1"/>
  <c r="V185" i="38" s="1"/>
  <c r="X185" i="38" s="1"/>
  <c r="L184" i="38"/>
  <c r="R184" i="38" s="1"/>
  <c r="V184" i="38" s="1"/>
  <c r="X184" i="38" s="1"/>
  <c r="L183" i="38"/>
  <c r="R183" i="38" s="1"/>
  <c r="V183" i="38" s="1"/>
  <c r="X183" i="38" s="1"/>
  <c r="L182" i="38"/>
  <c r="R182" i="38" s="1"/>
  <c r="V182" i="38" s="1"/>
  <c r="X182" i="38" s="1"/>
  <c r="L181" i="38"/>
  <c r="R181" i="38" s="1"/>
  <c r="V181" i="38" s="1"/>
  <c r="X181" i="38" s="1"/>
  <c r="L180" i="38"/>
  <c r="R180" i="38" s="1"/>
  <c r="V180" i="38" s="1"/>
  <c r="X180" i="38" s="1"/>
  <c r="L179" i="38"/>
  <c r="R179" i="38" s="1"/>
  <c r="V179" i="38" s="1"/>
  <c r="X179" i="38" s="1"/>
  <c r="L178" i="38"/>
  <c r="R178" i="38" s="1"/>
  <c r="V178" i="38" s="1"/>
  <c r="X178" i="38" s="1"/>
  <c r="L177" i="38"/>
  <c r="R177" i="38" s="1"/>
  <c r="V177" i="38" s="1"/>
  <c r="X177" i="38" s="1"/>
  <c r="L176" i="38"/>
  <c r="R176" i="38" s="1"/>
  <c r="V176" i="38" s="1"/>
  <c r="X176" i="38" s="1"/>
  <c r="L175" i="38"/>
  <c r="R175" i="38" s="1"/>
  <c r="V175" i="38" s="1"/>
  <c r="X175" i="38" s="1"/>
  <c r="L174" i="38"/>
  <c r="R174" i="38" s="1"/>
  <c r="V174" i="38" s="1"/>
  <c r="X174" i="38" s="1"/>
  <c r="R173" i="38"/>
  <c r="V173" i="38" s="1"/>
  <c r="X173" i="38" s="1"/>
  <c r="N172" i="38"/>
  <c r="L172" i="38"/>
  <c r="Z171" i="38"/>
  <c r="V171" i="38"/>
  <c r="L171" i="38"/>
  <c r="X171" i="38" s="1"/>
  <c r="L169" i="38"/>
  <c r="R169" i="38" s="1"/>
  <c r="V169" i="38" s="1"/>
  <c r="X169" i="38" s="1"/>
  <c r="L168" i="38"/>
  <c r="R168" i="38" s="1"/>
  <c r="V168" i="38" s="1"/>
  <c r="X168" i="38" s="1"/>
  <c r="L167" i="38"/>
  <c r="R167" i="38" s="1"/>
  <c r="V167" i="38" s="1"/>
  <c r="X167" i="38" s="1"/>
  <c r="L166" i="38"/>
  <c r="R166" i="38" s="1"/>
  <c r="V166" i="38" s="1"/>
  <c r="X166" i="38" s="1"/>
  <c r="L165" i="38"/>
  <c r="R165" i="38" s="1"/>
  <c r="V165" i="38" s="1"/>
  <c r="X165" i="38" s="1"/>
  <c r="L164" i="38"/>
  <c r="R164" i="38" s="1"/>
  <c r="V164" i="38" s="1"/>
  <c r="X164" i="38" s="1"/>
  <c r="L163" i="38"/>
  <c r="R163" i="38" s="1"/>
  <c r="V163" i="38" s="1"/>
  <c r="X163" i="38" s="1"/>
  <c r="L162" i="38"/>
  <c r="R162" i="38" s="1"/>
  <c r="V162" i="38" s="1"/>
  <c r="X162" i="38" s="1"/>
  <c r="L161" i="38"/>
  <c r="R161" i="38" s="1"/>
  <c r="V161" i="38" s="1"/>
  <c r="X161" i="38" s="1"/>
  <c r="L160" i="38"/>
  <c r="R160" i="38" s="1"/>
  <c r="V160" i="38" s="1"/>
  <c r="X160" i="38" s="1"/>
  <c r="L159" i="38"/>
  <c r="R159" i="38" s="1"/>
  <c r="V159" i="38" s="1"/>
  <c r="X159" i="38" s="1"/>
  <c r="L158" i="38"/>
  <c r="R158" i="38" s="1"/>
  <c r="V158" i="38" s="1"/>
  <c r="X158" i="38" s="1"/>
  <c r="V157" i="38"/>
  <c r="L157" i="38"/>
  <c r="R292" i="38"/>
  <c r="L156" i="38"/>
  <c r="V155" i="38"/>
  <c r="L155" i="38"/>
  <c r="X153" i="38"/>
  <c r="A150" i="38"/>
  <c r="P146" i="38"/>
  <c r="J146" i="38"/>
  <c r="H146" i="38"/>
  <c r="F146" i="38"/>
  <c r="L145" i="38"/>
  <c r="R145" i="38" s="1"/>
  <c r="V145" i="38" s="1"/>
  <c r="X145" i="38" s="1"/>
  <c r="L144" i="38"/>
  <c r="R144" i="38" s="1"/>
  <c r="V144" i="38" s="1"/>
  <c r="X144" i="38" s="1"/>
  <c r="L143" i="38"/>
  <c r="R143" i="38" s="1"/>
  <c r="V143" i="38" s="1"/>
  <c r="X143" i="38" s="1"/>
  <c r="L142" i="38"/>
  <c r="L141" i="38"/>
  <c r="R141" i="38" s="1"/>
  <c r="V141" i="38" s="1"/>
  <c r="X141" i="38" s="1"/>
  <c r="L140" i="38"/>
  <c r="R140" i="38" s="1"/>
  <c r="V140" i="38" s="1"/>
  <c r="X140" i="38" s="1"/>
  <c r="R139" i="38"/>
  <c r="V139" i="38" s="1"/>
  <c r="L139" i="38"/>
  <c r="V138" i="38"/>
  <c r="L138" i="38"/>
  <c r="X138" i="38" s="1"/>
  <c r="L137" i="38"/>
  <c r="R137" i="38" s="1"/>
  <c r="V137" i="38" s="1"/>
  <c r="X137" i="38" s="1"/>
  <c r="L136" i="38"/>
  <c r="R136" i="38" s="1"/>
  <c r="V136" i="38" s="1"/>
  <c r="X136" i="38" s="1"/>
  <c r="L135" i="38"/>
  <c r="R135" i="38" s="1"/>
  <c r="V135" i="38" s="1"/>
  <c r="X135" i="38" s="1"/>
  <c r="L134" i="38"/>
  <c r="R134" i="38" s="1"/>
  <c r="V134" i="38" s="1"/>
  <c r="X134" i="38" s="1"/>
  <c r="L133" i="38"/>
  <c r="R133" i="38" s="1"/>
  <c r="V133" i="38" s="1"/>
  <c r="X133" i="38" s="1"/>
  <c r="L132" i="38"/>
  <c r="R132" i="38" s="1"/>
  <c r="V132" i="38" s="1"/>
  <c r="X132" i="38" s="1"/>
  <c r="L131" i="38"/>
  <c r="R131" i="38" s="1"/>
  <c r="V131" i="38" s="1"/>
  <c r="X131" i="38" s="1"/>
  <c r="L130" i="38"/>
  <c r="R130" i="38" s="1"/>
  <c r="V130" i="38" s="1"/>
  <c r="X130" i="38" s="1"/>
  <c r="L129" i="38"/>
  <c r="R129" i="38" s="1"/>
  <c r="V129" i="38" s="1"/>
  <c r="X129" i="38" s="1"/>
  <c r="L128" i="38"/>
  <c r="R128" i="38" s="1"/>
  <c r="V128" i="38" s="1"/>
  <c r="X128" i="38" s="1"/>
  <c r="R127" i="38"/>
  <c r="V127" i="38" s="1"/>
  <c r="X127" i="38" s="1"/>
  <c r="L127" i="38"/>
  <c r="L126" i="38"/>
  <c r="R126" i="38" s="1"/>
  <c r="V126" i="38" s="1"/>
  <c r="X126" i="38" s="1"/>
  <c r="L125" i="38"/>
  <c r="R125" i="38" s="1"/>
  <c r="V125" i="38" s="1"/>
  <c r="X125" i="38" s="1"/>
  <c r="L124" i="38"/>
  <c r="R124" i="38" s="1"/>
  <c r="V124" i="38" s="1"/>
  <c r="X124" i="38" s="1"/>
  <c r="L123" i="38"/>
  <c r="R123" i="38" s="1"/>
  <c r="V123" i="38" s="1"/>
  <c r="X123" i="38" s="1"/>
  <c r="L122" i="38"/>
  <c r="R122" i="38" s="1"/>
  <c r="V122" i="38" s="1"/>
  <c r="X122" i="38" s="1"/>
  <c r="L121" i="38"/>
  <c r="R121" i="38" s="1"/>
  <c r="V121" i="38" s="1"/>
  <c r="X121" i="38" s="1"/>
  <c r="L120" i="38"/>
  <c r="R120" i="38" s="1"/>
  <c r="V120" i="38" s="1"/>
  <c r="X120" i="38" s="1"/>
  <c r="L119" i="38"/>
  <c r="R119" i="38" s="1"/>
  <c r="V119" i="38" s="1"/>
  <c r="X119" i="38" s="1"/>
  <c r="R118" i="38"/>
  <c r="V118" i="38" s="1"/>
  <c r="X118" i="38" s="1"/>
  <c r="L118" i="38"/>
  <c r="L117" i="38"/>
  <c r="R117" i="38" s="1"/>
  <c r="V117" i="38" s="1"/>
  <c r="X117" i="38" s="1"/>
  <c r="L116" i="38"/>
  <c r="R116" i="38" s="1"/>
  <c r="V116" i="38" s="1"/>
  <c r="X116" i="38" s="1"/>
  <c r="R115" i="38"/>
  <c r="V115" i="38" s="1"/>
  <c r="X115" i="38" s="1"/>
  <c r="L115" i="38"/>
  <c r="L114" i="38"/>
  <c r="R114" i="38" s="1"/>
  <c r="V114" i="38" s="1"/>
  <c r="X114" i="38" s="1"/>
  <c r="L113" i="38"/>
  <c r="R113" i="38" s="1"/>
  <c r="V113" i="38" s="1"/>
  <c r="X113" i="38" s="1"/>
  <c r="L112" i="38"/>
  <c r="R112" i="38" s="1"/>
  <c r="V112" i="38" s="1"/>
  <c r="X112" i="38" s="1"/>
  <c r="L111" i="38"/>
  <c r="R111" i="38" s="1"/>
  <c r="V111" i="38" s="1"/>
  <c r="X111" i="38" s="1"/>
  <c r="X109" i="38"/>
  <c r="A106" i="38"/>
  <c r="L101" i="38"/>
  <c r="R101" i="38" s="1"/>
  <c r="V101" i="38" s="1"/>
  <c r="X101" i="38" s="1"/>
  <c r="L100" i="38"/>
  <c r="L99" i="38"/>
  <c r="L98" i="38"/>
  <c r="R98" i="38" s="1"/>
  <c r="V98" i="38" s="1"/>
  <c r="L97" i="38"/>
  <c r="T96" i="38"/>
  <c r="T275" i="38" s="1"/>
  <c r="L96" i="38"/>
  <c r="X96" i="38" s="1"/>
  <c r="L95" i="38"/>
  <c r="R95" i="38" s="1"/>
  <c r="V95" i="38" s="1"/>
  <c r="L94" i="38"/>
  <c r="R94" i="38" s="1"/>
  <c r="V94" i="38" s="1"/>
  <c r="L93" i="38"/>
  <c r="R93" i="38" s="1"/>
  <c r="V93" i="38" s="1"/>
  <c r="L92" i="38"/>
  <c r="R92" i="38" s="1"/>
  <c r="V92" i="38" s="1"/>
  <c r="L91" i="38"/>
  <c r="R91" i="38" s="1"/>
  <c r="V91" i="38" s="1"/>
  <c r="L90" i="38"/>
  <c r="L89" i="38"/>
  <c r="R89" i="38" s="1"/>
  <c r="V89" i="38" s="1"/>
  <c r="L88" i="38"/>
  <c r="R88" i="38" s="1"/>
  <c r="V88" i="38" s="1"/>
  <c r="L87" i="38"/>
  <c r="R87" i="38" s="1"/>
  <c r="V87" i="38" s="1"/>
  <c r="L86" i="38"/>
  <c r="R86" i="38" s="1"/>
  <c r="V86" i="38" s="1"/>
  <c r="L85" i="38"/>
  <c r="R85" i="38" s="1"/>
  <c r="V85" i="38" s="1"/>
  <c r="L84" i="38"/>
  <c r="R84" i="38" s="1"/>
  <c r="V84" i="38" s="1"/>
  <c r="L83" i="38"/>
  <c r="R83" i="38" s="1"/>
  <c r="V83" i="38" s="1"/>
  <c r="L82" i="38"/>
  <c r="L81" i="38"/>
  <c r="R81" i="38" s="1"/>
  <c r="V81" i="38" s="1"/>
  <c r="L80" i="38"/>
  <c r="R80" i="38" s="1"/>
  <c r="V80" i="38" s="1"/>
  <c r="L79" i="38"/>
  <c r="R79" i="38" s="1"/>
  <c r="V79" i="38" s="1"/>
  <c r="L78" i="38"/>
  <c r="R78" i="38" s="1"/>
  <c r="V78" i="38" s="1"/>
  <c r="L77" i="38"/>
  <c r="R77" i="38" s="1"/>
  <c r="V77" i="38" s="1"/>
  <c r="L76" i="38"/>
  <c r="R76" i="38" s="1"/>
  <c r="V76" i="38" s="1"/>
  <c r="L75" i="38"/>
  <c r="R75" i="38" s="1"/>
  <c r="V75" i="38" s="1"/>
  <c r="L74" i="38"/>
  <c r="L73" i="38"/>
  <c r="R73" i="38" s="1"/>
  <c r="V73" i="38" s="1"/>
  <c r="L72" i="38"/>
  <c r="R72" i="38" s="1"/>
  <c r="V72" i="38" s="1"/>
  <c r="L71" i="38"/>
  <c r="R71" i="38" s="1"/>
  <c r="V71" i="38" s="1"/>
  <c r="L70" i="38"/>
  <c r="R70" i="38" s="1"/>
  <c r="V70" i="38" s="1"/>
  <c r="L69" i="38"/>
  <c r="R69" i="38" s="1"/>
  <c r="V69" i="38" s="1"/>
  <c r="L68" i="38"/>
  <c r="R68" i="38" s="1"/>
  <c r="V68" i="38" s="1"/>
  <c r="L67" i="38"/>
  <c r="R67" i="38" s="1"/>
  <c r="V67" i="38" s="1"/>
  <c r="L66" i="38"/>
  <c r="L65" i="38"/>
  <c r="R65" i="38" s="1"/>
  <c r="V64" i="38"/>
  <c r="X64" i="38" s="1"/>
  <c r="L64" i="38"/>
  <c r="X61" i="38"/>
  <c r="X214" i="38" s="1"/>
  <c r="A58" i="38"/>
  <c r="A211" i="38" s="1"/>
  <c r="T54" i="38"/>
  <c r="J54" i="38"/>
  <c r="H54" i="38"/>
  <c r="L53" i="38"/>
  <c r="R53" i="38" s="1"/>
  <c r="V53" i="38" s="1"/>
  <c r="L52" i="38"/>
  <c r="L51" i="38"/>
  <c r="R51" i="38" s="1"/>
  <c r="V51" i="38" s="1"/>
  <c r="L50" i="38"/>
  <c r="R50" i="38" s="1"/>
  <c r="V50" i="38" s="1"/>
  <c r="L49" i="38"/>
  <c r="R49" i="38" s="1"/>
  <c r="V49" i="38" s="1"/>
  <c r="L48" i="38"/>
  <c r="R48" i="38" s="1"/>
  <c r="V48" i="38" s="1"/>
  <c r="L47" i="38"/>
  <c r="R47" i="38" s="1"/>
  <c r="V47" i="38" s="1"/>
  <c r="L46" i="38"/>
  <c r="R46" i="38" s="1"/>
  <c r="V46" i="38" s="1"/>
  <c r="L45" i="38"/>
  <c r="R45" i="38" s="1"/>
  <c r="V45" i="38" s="1"/>
  <c r="L44" i="38"/>
  <c r="L43" i="38"/>
  <c r="R43" i="38" s="1"/>
  <c r="V43" i="38" s="1"/>
  <c r="L42" i="38"/>
  <c r="R42" i="38" s="1"/>
  <c r="V42" i="38" s="1"/>
  <c r="L41" i="38"/>
  <c r="R41" i="38" s="1"/>
  <c r="V41" i="38" s="1"/>
  <c r="L40" i="38"/>
  <c r="R40" i="38" s="1"/>
  <c r="V40" i="38" s="1"/>
  <c r="L39" i="38"/>
  <c r="R39" i="38" s="1"/>
  <c r="V39" i="38" s="1"/>
  <c r="L38" i="38"/>
  <c r="R38" i="38" s="1"/>
  <c r="V38" i="38" s="1"/>
  <c r="L37" i="38"/>
  <c r="R37" i="38" s="1"/>
  <c r="V37" i="38" s="1"/>
  <c r="L36" i="38"/>
  <c r="L35" i="38"/>
  <c r="R35" i="38" s="1"/>
  <c r="V35" i="38" s="1"/>
  <c r="L34" i="38"/>
  <c r="R34" i="38" s="1"/>
  <c r="V34" i="38" s="1"/>
  <c r="L33" i="38"/>
  <c r="R33" i="38" s="1"/>
  <c r="V33" i="38" s="1"/>
  <c r="L32" i="38"/>
  <c r="R32" i="38" s="1"/>
  <c r="V32" i="38" s="1"/>
  <c r="L31" i="38"/>
  <c r="L30" i="38"/>
  <c r="R30" i="38" s="1"/>
  <c r="V30" i="38" s="1"/>
  <c r="L29" i="38"/>
  <c r="L28" i="38"/>
  <c r="V25" i="38"/>
  <c r="T25" i="38"/>
  <c r="R25" i="38"/>
  <c r="J25" i="38"/>
  <c r="H25" i="38"/>
  <c r="L24" i="38"/>
  <c r="X24" i="38" s="1"/>
  <c r="L23" i="38"/>
  <c r="X23" i="38" s="1"/>
  <c r="L22" i="38"/>
  <c r="X22" i="38" s="1"/>
  <c r="L21" i="38"/>
  <c r="X21" i="38" s="1"/>
  <c r="L20" i="38"/>
  <c r="L19" i="38"/>
  <c r="X19" i="38" s="1"/>
  <c r="L18" i="38"/>
  <c r="L17" i="38"/>
  <c r="X17" i="38" s="1"/>
  <c r="L16" i="38"/>
  <c r="L15" i="38"/>
  <c r="X15" i="38" s="1"/>
  <c r="X84" i="38" l="1"/>
  <c r="T279" i="38"/>
  <c r="X72" i="38"/>
  <c r="X78" i="38"/>
  <c r="X88" i="38"/>
  <c r="X70" i="38"/>
  <c r="X76" i="38"/>
  <c r="J261" i="38"/>
  <c r="X32" i="38"/>
  <c r="X38" i="38"/>
  <c r="X50" i="38"/>
  <c r="X80" i="38"/>
  <c r="L25" i="38"/>
  <c r="X139" i="38"/>
  <c r="T269" i="38"/>
  <c r="X42" i="38"/>
  <c r="X34" i="38"/>
  <c r="X40" i="38"/>
  <c r="X46" i="38"/>
  <c r="H276" i="38"/>
  <c r="X234" i="38"/>
  <c r="X100" i="38"/>
  <c r="R142" i="38"/>
  <c r="V142" i="38" s="1"/>
  <c r="X142" i="38" s="1"/>
  <c r="X16" i="38"/>
  <c r="X265" i="38" s="1"/>
  <c r="X18" i="38"/>
  <c r="X267" i="38" s="1"/>
  <c r="R36" i="38"/>
  <c r="V36" i="38" s="1"/>
  <c r="X36" i="38" s="1"/>
  <c r="X68" i="38"/>
  <c r="X94" i="38"/>
  <c r="R100" i="38"/>
  <c r="V100" i="38" s="1"/>
  <c r="R238" i="38"/>
  <c r="V238" i="38" s="1"/>
  <c r="X238" i="38"/>
  <c r="R242" i="38"/>
  <c r="V242" i="38" s="1"/>
  <c r="X242" i="38" s="1"/>
  <c r="X48" i="38"/>
  <c r="R66" i="38"/>
  <c r="V66" i="38" s="1"/>
  <c r="X66" i="38"/>
  <c r="X86" i="38"/>
  <c r="X92" i="38"/>
  <c r="T146" i="38"/>
  <c r="T261" i="38" s="1"/>
  <c r="R225" i="38"/>
  <c r="V225" i="38" s="1"/>
  <c r="X225" i="38" s="1"/>
  <c r="R44" i="38"/>
  <c r="V44" i="38" s="1"/>
  <c r="X44" i="38" s="1"/>
  <c r="R82" i="38"/>
  <c r="V82" i="38" s="1"/>
  <c r="X82" i="38" s="1"/>
  <c r="X20" i="38"/>
  <c r="X268" i="38" s="1"/>
  <c r="R74" i="38"/>
  <c r="V74" i="38" s="1"/>
  <c r="X74" i="38" s="1"/>
  <c r="R172" i="38"/>
  <c r="V172" i="38" s="1"/>
  <c r="X172" i="38" s="1"/>
  <c r="R52" i="38"/>
  <c r="V52" i="38" s="1"/>
  <c r="X52" i="38" s="1"/>
  <c r="R90" i="38"/>
  <c r="V90" i="38" s="1"/>
  <c r="X90" i="38" s="1"/>
  <c r="R280" i="38"/>
  <c r="V189" i="38"/>
  <c r="V273" i="38" s="1"/>
  <c r="V280" i="38" s="1"/>
  <c r="R226" i="38"/>
  <c r="V226" i="38" s="1"/>
  <c r="X226" i="38" s="1"/>
  <c r="R254" i="38"/>
  <c r="V254" i="38" s="1"/>
  <c r="X254" i="38" s="1"/>
  <c r="X221" i="38"/>
  <c r="J279" i="38"/>
  <c r="J281" i="38"/>
  <c r="J282" i="38"/>
  <c r="L269" i="38"/>
  <c r="X155" i="38"/>
  <c r="V65" i="38"/>
  <c r="X69" i="38"/>
  <c r="X73" i="38"/>
  <c r="X77" i="38"/>
  <c r="X81" i="38"/>
  <c r="X85" i="38"/>
  <c r="X89" i="38"/>
  <c r="X95" i="38"/>
  <c r="R269" i="38"/>
  <c r="L274" i="38"/>
  <c r="R29" i="38"/>
  <c r="X33" i="38"/>
  <c r="X35" i="38"/>
  <c r="X37" i="38"/>
  <c r="X39" i="38"/>
  <c r="X41" i="38"/>
  <c r="X43" i="38"/>
  <c r="X45" i="38"/>
  <c r="X47" i="38"/>
  <c r="X49" i="38"/>
  <c r="X51" i="38"/>
  <c r="X53" i="38"/>
  <c r="X98" i="38"/>
  <c r="L146" i="38"/>
  <c r="L258" i="38"/>
  <c r="L275" i="38"/>
  <c r="R31" i="38"/>
  <c r="X97" i="38"/>
  <c r="X67" i="38"/>
  <c r="X71" i="38"/>
  <c r="X75" i="38"/>
  <c r="X79" i="38"/>
  <c r="X83" i="38"/>
  <c r="X87" i="38"/>
  <c r="X91" i="38"/>
  <c r="X93" i="38"/>
  <c r="R97" i="38"/>
  <c r="V97" i="38" s="1"/>
  <c r="R99" i="38"/>
  <c r="V99" i="38" s="1"/>
  <c r="X99" i="38" s="1"/>
  <c r="L272" i="38"/>
  <c r="R28" i="38"/>
  <c r="L54" i="38"/>
  <c r="X30" i="38"/>
  <c r="X189" i="38"/>
  <c r="X217" i="38"/>
  <c r="L273" i="38"/>
  <c r="L280" i="38" s="1"/>
  <c r="X157" i="38"/>
  <c r="X218" i="38"/>
  <c r="T282" i="38"/>
  <c r="T276" i="38"/>
  <c r="H261" i="38"/>
  <c r="V156" i="38"/>
  <c r="T281" i="38"/>
  <c r="J276" i="38"/>
  <c r="H279" i="38"/>
  <c r="H283" i="38" s="1"/>
  <c r="J269" i="38"/>
  <c r="V269" i="38"/>
  <c r="A2" i="37"/>
  <c r="A1" i="37"/>
  <c r="L281" i="38" l="1"/>
  <c r="R282" i="38"/>
  <c r="J283" i="38"/>
  <c r="J286" i="38" s="1"/>
  <c r="X269" i="38"/>
  <c r="V258" i="38"/>
  <c r="X273" i="38"/>
  <c r="X280" i="38"/>
  <c r="X25" i="38"/>
  <c r="T283" i="38"/>
  <c r="T286" i="38" s="1"/>
  <c r="L261" i="38"/>
  <c r="H286" i="38"/>
  <c r="R258" i="38"/>
  <c r="L276" i="38"/>
  <c r="R274" i="38"/>
  <c r="R281" i="38" s="1"/>
  <c r="V29" i="38"/>
  <c r="V146" i="38"/>
  <c r="X275" i="38"/>
  <c r="R146" i="38"/>
  <c r="R272" i="38"/>
  <c r="R54" i="38"/>
  <c r="V28" i="38"/>
  <c r="V31" i="38"/>
  <c r="X65" i="38"/>
  <c r="X146" i="38" s="1"/>
  <c r="X156" i="38"/>
  <c r="X258" i="38" s="1"/>
  <c r="N281" i="38" l="1"/>
  <c r="L290" i="38"/>
  <c r="R261" i="38"/>
  <c r="V275" i="38"/>
  <c r="V282" i="38" s="1"/>
  <c r="X282" i="38" s="1"/>
  <c r="X31" i="38"/>
  <c r="R276" i="38"/>
  <c r="R279" i="38"/>
  <c r="R283" i="38" s="1"/>
  <c r="L283" i="38"/>
  <c r="V272" i="38"/>
  <c r="V54" i="38"/>
  <c r="V261" i="38" s="1"/>
  <c r="X28" i="38"/>
  <c r="V274" i="38"/>
  <c r="V281" i="38" s="1"/>
  <c r="X281" i="38" s="1"/>
  <c r="X29" i="38"/>
  <c r="X274" i="38"/>
  <c r="G18" i="37"/>
  <c r="G17" i="37"/>
  <c r="G16" i="37"/>
  <c r="G15" i="37"/>
  <c r="G14" i="37"/>
  <c r="G13" i="37"/>
  <c r="G11" i="37"/>
  <c r="G10" i="37"/>
  <c r="G9" i="37"/>
  <c r="G8" i="37"/>
  <c r="G7" i="37"/>
  <c r="L286" i="38" l="1"/>
  <c r="G30" i="30"/>
  <c r="L292" i="38"/>
  <c r="R286" i="38"/>
  <c r="R294" i="38"/>
  <c r="R295" i="38" s="1"/>
  <c r="R300" i="38" s="1"/>
  <c r="X272" i="38"/>
  <c r="X276" i="38" s="1"/>
  <c r="X54" i="38"/>
  <c r="X261" i="38" s="1"/>
  <c r="V276" i="38"/>
  <c r="V279" i="38"/>
  <c r="G38" i="37"/>
  <c r="G37" i="37"/>
  <c r="V283" i="38" l="1"/>
  <c r="V286" i="38" s="1"/>
  <c r="X279" i="38"/>
  <c r="X283" i="38" s="1"/>
  <c r="X286" i="38" s="1"/>
  <c r="C14" i="31" l="1"/>
  <c r="D175" i="35"/>
  <c r="D276" i="35"/>
  <c r="D275" i="35"/>
  <c r="K274" i="35"/>
  <c r="C274" i="35"/>
  <c r="B274" i="35"/>
  <c r="I259" i="35"/>
  <c r="G249" i="35"/>
  <c r="D242" i="35"/>
  <c r="G240" i="35" s="1"/>
  <c r="D211" i="35"/>
  <c r="D209" i="35"/>
  <c r="K208" i="35"/>
  <c r="D208" i="35"/>
  <c r="B208" i="35"/>
  <c r="D178" i="35"/>
  <c r="D182" i="35" s="1"/>
  <c r="D186" i="35" s="1"/>
  <c r="F173" i="35"/>
  <c r="F169" i="35"/>
  <c r="B163" i="35"/>
  <c r="B161" i="35"/>
  <c r="I157" i="35"/>
  <c r="F155" i="35"/>
  <c r="F153" i="35"/>
  <c r="F154" i="35" s="1"/>
  <c r="I150" i="35"/>
  <c r="D144" i="35"/>
  <c r="D142" i="35"/>
  <c r="K141" i="35"/>
  <c r="D141" i="35"/>
  <c r="B141" i="35"/>
  <c r="D112" i="35"/>
  <c r="F110" i="35"/>
  <c r="D103" i="35"/>
  <c r="F95" i="35"/>
  <c r="B95" i="35"/>
  <c r="B103" i="35" s="1"/>
  <c r="F94" i="35"/>
  <c r="B94" i="35"/>
  <c r="B102" i="35" s="1"/>
  <c r="G93" i="35"/>
  <c r="F93" i="35"/>
  <c r="B93" i="35"/>
  <c r="B101" i="35" s="1"/>
  <c r="F92" i="35"/>
  <c r="F114" i="35" s="1"/>
  <c r="B92" i="35"/>
  <c r="B100" i="35" s="1"/>
  <c r="G91" i="35"/>
  <c r="F91" i="35"/>
  <c r="B91" i="35"/>
  <c r="B99" i="35" s="1"/>
  <c r="D99" i="35"/>
  <c r="D78" i="35"/>
  <c r="D76" i="35"/>
  <c r="K75" i="35"/>
  <c r="D75" i="35"/>
  <c r="B75" i="35"/>
  <c r="I46" i="35"/>
  <c r="I45" i="35"/>
  <c r="I34" i="35"/>
  <c r="D36" i="35" s="1"/>
  <c r="D40" i="35" s="1"/>
  <c r="F15" i="35"/>
  <c r="D14" i="35"/>
  <c r="G248" i="35" l="1"/>
  <c r="D250" i="35"/>
  <c r="D88" i="35"/>
  <c r="D164" i="35"/>
  <c r="D41" i="35"/>
  <c r="D42" i="35"/>
  <c r="D37" i="35"/>
  <c r="D102" i="35"/>
  <c r="I42" i="35"/>
  <c r="I40" i="35"/>
  <c r="I41" i="35"/>
  <c r="I215" i="35"/>
  <c r="D100" i="35"/>
  <c r="D101" i="35"/>
  <c r="D96" i="35"/>
  <c r="E249" i="35" l="1"/>
  <c r="I249" i="35" s="1"/>
  <c r="E248" i="35"/>
  <c r="I248" i="35" s="1"/>
  <c r="D104" i="35"/>
  <c r="I218" i="35"/>
  <c r="I220" i="35" s="1"/>
  <c r="I250" i="35" l="1"/>
  <c r="D179" i="35" s="1"/>
  <c r="E250" i="35"/>
  <c r="G84" i="35"/>
  <c r="G14" i="35"/>
  <c r="E233" i="35"/>
  <c r="I228" i="35"/>
  <c r="I253" i="35" l="1"/>
  <c r="I84" i="35"/>
  <c r="G92" i="35"/>
  <c r="G17" i="35"/>
  <c r="I17" i="35" s="1"/>
  <c r="G15" i="35"/>
  <c r="I14" i="35"/>
  <c r="G16" i="35"/>
  <c r="I16" i="35" s="1"/>
  <c r="I92" i="35" l="1"/>
  <c r="G114" i="35"/>
  <c r="G161" i="35" l="1"/>
  <c r="I161" i="35" s="1"/>
  <c r="I114" i="35"/>
  <c r="I100" i="35"/>
  <c r="F119" i="11" l="1"/>
  <c r="B16" i="11"/>
  <c r="D14" i="34" l="1"/>
  <c r="D26" i="34"/>
  <c r="F25" i="32" l="1"/>
  <c r="D19" i="32"/>
  <c r="G18" i="30"/>
  <c r="I15" i="30"/>
  <c r="K15" i="30"/>
  <c r="K20" i="30" s="1"/>
  <c r="K25" i="30" s="1"/>
  <c r="K28" i="30" s="1"/>
  <c r="C15" i="29"/>
  <c r="C16" i="29" s="1"/>
  <c r="C18" i="29" s="1"/>
  <c r="C23" i="29" s="1"/>
  <c r="A4" i="31"/>
  <c r="A1" i="7"/>
  <c r="C16" i="28"/>
  <c r="C22" i="28" s="1"/>
  <c r="F29" i="32"/>
  <c r="F28" i="32"/>
  <c r="F27" i="32"/>
  <c r="F23" i="32"/>
  <c r="F21" i="32"/>
  <c r="D149" i="35" s="1"/>
  <c r="E19" i="32"/>
  <c r="E31" i="32" s="1"/>
  <c r="C19" i="32"/>
  <c r="F18" i="32"/>
  <c r="F16" i="32"/>
  <c r="F13" i="32"/>
  <c r="F11" i="32"/>
  <c r="F10" i="32"/>
  <c r="G27" i="30"/>
  <c r="G24" i="30"/>
  <c r="G23" i="30"/>
  <c r="G22" i="30"/>
  <c r="G19" i="30"/>
  <c r="G17" i="30"/>
  <c r="F15" i="30"/>
  <c r="F20" i="30" s="1"/>
  <c r="F25" i="30" s="1"/>
  <c r="F28" i="30" s="1"/>
  <c r="E15" i="30"/>
  <c r="D15" i="30"/>
  <c r="C15" i="30"/>
  <c r="C20" i="30" s="1"/>
  <c r="G14" i="30"/>
  <c r="G13" i="30"/>
  <c r="G12" i="30"/>
  <c r="G11" i="30"/>
  <c r="G9" i="30"/>
  <c r="C27" i="29"/>
  <c r="A1" i="29"/>
  <c r="F54" i="28"/>
  <c r="C54" i="28"/>
  <c r="C46" i="28"/>
  <c r="F45" i="28"/>
  <c r="F33" i="28"/>
  <c r="C30" i="28"/>
  <c r="F28" i="28"/>
  <c r="F16" i="28"/>
  <c r="A1" i="30" l="1"/>
  <c r="A1" i="31"/>
  <c r="A1" i="32"/>
  <c r="I20" i="30"/>
  <c r="I25" i="30" s="1"/>
  <c r="I28" i="30" s="1"/>
  <c r="C28" i="29"/>
  <c r="C31" i="29" s="1"/>
  <c r="C56" i="28"/>
  <c r="A2" i="7"/>
  <c r="D31" i="32"/>
  <c r="F19" i="32"/>
  <c r="F31" i="32" s="1"/>
  <c r="F15" i="32"/>
  <c r="D20" i="30"/>
  <c r="D25" i="30" s="1"/>
  <c r="D28" i="30" s="1"/>
  <c r="E20" i="30"/>
  <c r="E25" i="30" s="1"/>
  <c r="E28" i="30" s="1"/>
  <c r="A4" i="29"/>
  <c r="A4" i="30"/>
  <c r="A4" i="32"/>
  <c r="F56" i="28"/>
  <c r="C25" i="30"/>
  <c r="G15" i="30"/>
  <c r="I223" i="35" l="1"/>
  <c r="I225" i="35" s="1"/>
  <c r="I227" i="35" s="1"/>
  <c r="I229" i="35" s="1"/>
  <c r="D158" i="35"/>
  <c r="F57" i="28"/>
  <c r="G20" i="30"/>
  <c r="G25" i="30"/>
  <c r="C28" i="30"/>
  <c r="G28" i="30" s="1"/>
  <c r="D117" i="35" l="1"/>
  <c r="D120" i="35" s="1"/>
  <c r="D122" i="35" s="1"/>
  <c r="D189" i="35" s="1"/>
  <c r="D185" i="35" s="1"/>
  <c r="D187" i="35" s="1"/>
  <c r="D192" i="35" s="1"/>
  <c r="D201" i="35" s="1"/>
  <c r="G118" i="35"/>
  <c r="I118" i="35" s="1"/>
  <c r="G149" i="35"/>
  <c r="G151" i="35" l="1"/>
  <c r="I151" i="35" s="1"/>
  <c r="G155" i="35"/>
  <c r="I155" i="35" s="1"/>
  <c r="I149" i="35"/>
  <c r="I30" i="7"/>
  <c r="E5" i="11" l="1"/>
  <c r="F8" i="11"/>
  <c r="F21" i="11" l="1"/>
  <c r="F30" i="11"/>
  <c r="F44" i="11"/>
  <c r="F54" i="11"/>
  <c r="F73" i="11"/>
  <c r="F86" i="11"/>
  <c r="F97" i="11"/>
  <c r="F114" i="11"/>
  <c r="F136" i="11"/>
  <c r="F145" i="11"/>
  <c r="F156" i="11"/>
  <c r="F168" i="11"/>
  <c r="F179" i="11"/>
  <c r="F207" i="11"/>
  <c r="F172" i="11" l="1"/>
  <c r="F46" i="11"/>
  <c r="F106" i="11"/>
  <c r="F200" i="11"/>
  <c r="F246" i="11"/>
  <c r="F216" i="11"/>
  <c r="F188" i="11"/>
  <c r="F128" i="11"/>
  <c r="F147" i="11" l="1"/>
  <c r="F250" i="11" s="1"/>
  <c r="B29" i="11" l="1"/>
  <c r="B31" i="11" l="1"/>
  <c r="G40" i="7" l="1"/>
  <c r="F40" i="7"/>
  <c r="E40" i="7"/>
  <c r="I38" i="7"/>
  <c r="I35" i="7"/>
  <c r="I34" i="7"/>
  <c r="I33" i="7"/>
  <c r="I29" i="7"/>
  <c r="I28" i="7"/>
  <c r="I27" i="7"/>
  <c r="I26" i="7"/>
  <c r="I25" i="7"/>
  <c r="I24" i="7"/>
  <c r="D40" i="7"/>
  <c r="I22" i="7"/>
  <c r="I19" i="7"/>
  <c r="I17" i="7"/>
  <c r="I15" i="7"/>
  <c r="I14" i="7"/>
  <c r="I13" i="7"/>
  <c r="I10" i="7"/>
  <c r="J10" i="7" s="1"/>
  <c r="J39" i="7" l="1"/>
  <c r="D235" i="35" s="1"/>
  <c r="G235" i="35"/>
  <c r="G232" i="35"/>
  <c r="J15" i="7"/>
  <c r="I23" i="7"/>
  <c r="J30" i="7" s="1"/>
  <c r="B49" i="11"/>
  <c r="B51" i="11" s="1"/>
  <c r="B60" i="11" s="1"/>
  <c r="B65" i="11" s="1"/>
  <c r="G234" i="35" l="1"/>
  <c r="G233" i="35"/>
  <c r="D236" i="35"/>
  <c r="I40" i="7"/>
  <c r="G236" i="35" l="1"/>
  <c r="I236" i="35" s="1"/>
  <c r="G154" i="35" l="1"/>
  <c r="I154" i="35" s="1"/>
  <c r="G153" i="35"/>
  <c r="I153" i="35" s="1"/>
  <c r="G152" i="35"/>
  <c r="G86" i="35"/>
  <c r="I240" i="35"/>
  <c r="K240" i="35" s="1"/>
  <c r="G87" i="35" l="1"/>
  <c r="G156" i="35"/>
  <c r="G94" i="35"/>
  <c r="I94" i="35" s="1"/>
  <c r="I86" i="35"/>
  <c r="I152" i="35"/>
  <c r="G162" i="35"/>
  <c r="I87" i="35" l="1"/>
  <c r="I88" i="35" s="1"/>
  <c r="G95" i="35"/>
  <c r="I95" i="35" s="1"/>
  <c r="I96" i="35" s="1"/>
  <c r="I102" i="35"/>
  <c r="G168" i="35"/>
  <c r="I162" i="35"/>
  <c r="I156" i="35"/>
  <c r="I158" i="35" s="1"/>
  <c r="G163" i="35"/>
  <c r="I163" i="35" s="1"/>
  <c r="I117" i="35" l="1"/>
  <c r="I164" i="35"/>
  <c r="G169" i="35"/>
  <c r="I169" i="35" s="1"/>
  <c r="I168" i="35"/>
  <c r="G88" i="35"/>
  <c r="I103" i="35"/>
  <c r="I104" i="35" s="1"/>
  <c r="G104" i="35" l="1"/>
  <c r="G119" i="35"/>
  <c r="I119" i="35" s="1"/>
  <c r="G171" i="35"/>
  <c r="I120" i="35" l="1"/>
  <c r="G173" i="35"/>
  <c r="I171" i="35"/>
  <c r="G108" i="35"/>
  <c r="G186" i="35"/>
  <c r="I186" i="35" s="1"/>
  <c r="I108" i="35" l="1"/>
  <c r="G109" i="35"/>
  <c r="G174" i="35"/>
  <c r="I174" i="35" s="1"/>
  <c r="I173" i="35"/>
  <c r="I175" i="35" l="1"/>
  <c r="G111" i="35"/>
  <c r="I111" i="35" s="1"/>
  <c r="I109" i="35"/>
  <c r="G110" i="35"/>
  <c r="I110" i="35" s="1"/>
  <c r="I112" i="35" l="1"/>
  <c r="I122" i="35" s="1"/>
  <c r="F19" i="37"/>
  <c r="G24" i="37" s="1"/>
  <c r="G36" i="37" s="1"/>
  <c r="I265" i="35" s="1"/>
  <c r="G12" i="37"/>
  <c r="G19" i="37" s="1"/>
  <c r="E19" i="37"/>
  <c r="G23" i="37" s="1"/>
  <c r="I189" i="35" l="1"/>
  <c r="I185" i="35" s="1"/>
  <c r="I187" i="35" s="1"/>
  <c r="I192" i="35" s="1"/>
  <c r="I201" i="35" s="1"/>
  <c r="G32" i="37"/>
  <c r="G35" i="37" s="1"/>
  <c r="I11" i="35" l="1"/>
  <c r="G39" i="37"/>
  <c r="I264" i="35"/>
  <c r="I24" i="35" l="1"/>
  <c r="I268" i="35"/>
  <c r="D15" i="35" s="1"/>
  <c r="I15" i="35" s="1"/>
  <c r="I18" i="35" l="1"/>
</calcChain>
</file>

<file path=xl/comments1.xml><?xml version="1.0" encoding="utf-8"?>
<comments xmlns="http://schemas.openxmlformats.org/spreadsheetml/2006/main">
  <authors>
    <author>karen</author>
  </authors>
  <commentList>
    <comment ref="F31" authorId="0">
      <text>
        <r>
          <rPr>
            <sz val="9"/>
            <color indexed="81"/>
            <rFont val="Tahoma"/>
            <family val="2"/>
          </rPr>
          <t>Termination Benefits and Compensated Absences</t>
        </r>
      </text>
    </comment>
    <comment ref="F38" authorId="0">
      <text>
        <r>
          <rPr>
            <sz val="9"/>
            <color indexed="81"/>
            <rFont val="Tahoma"/>
            <family val="2"/>
          </rPr>
          <t>Vouchers, accounts, sales tax, accrued wages payable</t>
        </r>
      </text>
    </comment>
  </commentList>
</comments>
</file>

<file path=xl/comments2.xml><?xml version="1.0" encoding="utf-8"?>
<comments xmlns="http://schemas.openxmlformats.org/spreadsheetml/2006/main">
  <authors>
    <author>Pamela Slifka</author>
  </authors>
  <commentList>
    <comment ref="B19" authorId="0">
      <text>
        <r>
          <rPr>
            <b/>
            <sz val="9"/>
            <color indexed="81"/>
            <rFont val="Tahoma"/>
            <family val="2"/>
          </rPr>
          <t>Pamela Slifka:</t>
        </r>
        <r>
          <rPr>
            <sz val="9"/>
            <color indexed="81"/>
            <rFont val="Tahoma"/>
            <family val="2"/>
          </rPr>
          <t xml:space="preserve">
1.97 acres of a 3.05 acre parcel were sold with the electric warehouse to HCB, Inc in 2011.</t>
        </r>
      </text>
    </comment>
    <comment ref="J96" authorId="0">
      <text>
        <r>
          <rPr>
            <b/>
            <sz val="9"/>
            <color indexed="81"/>
            <rFont val="Tahoma"/>
            <family val="2"/>
          </rPr>
          <t>Pamela Slifka:</t>
        </r>
        <r>
          <rPr>
            <sz val="9"/>
            <color indexed="81"/>
            <rFont val="Tahoma"/>
            <family val="2"/>
          </rPr>
          <t xml:space="preserve">
Sold 2014 - City of Henning</t>
        </r>
      </text>
    </comment>
    <comment ref="N155" authorId="0">
      <text>
        <r>
          <rPr>
            <b/>
            <sz val="9"/>
            <color indexed="81"/>
            <rFont val="Tahoma"/>
            <family val="2"/>
          </rPr>
          <t>Pamela Slifka:</t>
        </r>
        <r>
          <rPr>
            <sz val="9"/>
            <color indexed="81"/>
            <rFont val="Tahoma"/>
            <family val="2"/>
          </rPr>
          <t xml:space="preserve">
15 years remaining life per Vernell Roberts 1/28/2015</t>
        </r>
      </text>
    </comment>
    <comment ref="N156" authorId="0">
      <text>
        <r>
          <rPr>
            <b/>
            <sz val="9"/>
            <color indexed="81"/>
            <rFont val="Tahoma"/>
            <family val="2"/>
          </rPr>
          <t>Pamela Slifka:</t>
        </r>
        <r>
          <rPr>
            <sz val="9"/>
            <color indexed="81"/>
            <rFont val="Tahoma"/>
            <family val="2"/>
          </rPr>
          <t xml:space="preserve">
15 years remaining life per Vernell Roberts 1/28/2015</t>
        </r>
      </text>
    </comment>
    <comment ref="J157" authorId="0">
      <text>
        <r>
          <rPr>
            <b/>
            <sz val="9"/>
            <color indexed="81"/>
            <rFont val="Tahoma"/>
            <family val="2"/>
          </rPr>
          <t>Pamela Slifka:</t>
        </r>
        <r>
          <rPr>
            <sz val="9"/>
            <color indexed="81"/>
            <rFont val="Tahoma"/>
            <family val="2"/>
          </rPr>
          <t xml:space="preserve">
Remove a portion Due to $500k replacement services added in 2014</t>
        </r>
      </text>
    </comment>
    <comment ref="F171" authorId="0">
      <text>
        <r>
          <rPr>
            <b/>
            <sz val="9"/>
            <color indexed="81"/>
            <rFont val="Tahoma"/>
            <family val="2"/>
          </rPr>
          <t>Pamela Slifka:</t>
        </r>
        <r>
          <rPr>
            <sz val="9"/>
            <color indexed="81"/>
            <rFont val="Tahoma"/>
            <family val="2"/>
          </rPr>
          <t xml:space="preserve">
These assets were originally a single line item at $382,978.41.  Per Lou Guzek and at the request of MRES, we had to separate a portion of inventory provided by DLPU for the substation upgrade project as transmission related.  These numbers will then tie out to the spreadsheet prepared by Curt/Lou when the project was closed out.</t>
        </r>
      </text>
    </comment>
    <comment ref="F173" authorId="0">
      <text>
        <r>
          <rPr>
            <b/>
            <sz val="9"/>
            <color indexed="81"/>
            <rFont val="Tahoma"/>
            <family val="2"/>
          </rPr>
          <t>Pamela Slifka:</t>
        </r>
        <r>
          <rPr>
            <sz val="9"/>
            <color indexed="81"/>
            <rFont val="Tahoma"/>
            <family val="2"/>
          </rPr>
          <t xml:space="preserve">
These assets were originally a single line item at $382,978.41.  Per Lou Guzek and at the request of MRES, we had to separate a portion of inventory provided by DLPU for the substation upgrade project as transmission related.  These numbers will then tie out to the spreadsheet prepared by Curt/Lou when the project was closed out.</t>
        </r>
      </text>
    </comment>
    <comment ref="N200" authorId="0">
      <text>
        <r>
          <rPr>
            <b/>
            <sz val="9"/>
            <color indexed="81"/>
            <rFont val="Tahoma"/>
            <family val="2"/>
          </rPr>
          <t>Pamela Slifka:</t>
        </r>
        <r>
          <rPr>
            <sz val="9"/>
            <color indexed="81"/>
            <rFont val="Tahoma"/>
            <family val="2"/>
          </rPr>
          <t xml:space="preserve">
Project not complete @12/31/14
</t>
        </r>
      </text>
    </comment>
    <comment ref="N202" authorId="0">
      <text>
        <r>
          <rPr>
            <b/>
            <sz val="9"/>
            <color indexed="81"/>
            <rFont val="Tahoma"/>
            <family val="2"/>
          </rPr>
          <t>Pamela Slifka:</t>
        </r>
        <r>
          <rPr>
            <sz val="9"/>
            <color indexed="81"/>
            <rFont val="Tahoma"/>
            <family val="2"/>
          </rPr>
          <t xml:space="preserve">
Project not complete @12/31/14
</t>
        </r>
      </text>
    </comment>
    <comment ref="N203" authorId="0">
      <text>
        <r>
          <rPr>
            <b/>
            <sz val="9"/>
            <color indexed="81"/>
            <rFont val="Tahoma"/>
            <family val="2"/>
          </rPr>
          <t>Pamela Slifka:</t>
        </r>
        <r>
          <rPr>
            <sz val="9"/>
            <color indexed="81"/>
            <rFont val="Tahoma"/>
            <family val="2"/>
          </rPr>
          <t xml:space="preserve">
Project not complete @12/31/14
</t>
        </r>
      </text>
    </comment>
    <comment ref="N205" authorId="0">
      <text>
        <r>
          <rPr>
            <b/>
            <sz val="9"/>
            <color indexed="81"/>
            <rFont val="Tahoma"/>
            <family val="2"/>
          </rPr>
          <t>Pamela Slifka:</t>
        </r>
        <r>
          <rPr>
            <sz val="9"/>
            <color indexed="81"/>
            <rFont val="Tahoma"/>
            <family val="2"/>
          </rPr>
          <t xml:space="preserve">
Project not complete @12/31/14
</t>
        </r>
      </text>
    </comment>
    <comment ref="J221" authorId="0">
      <text>
        <r>
          <rPr>
            <b/>
            <sz val="9"/>
            <color indexed="81"/>
            <rFont val="Tahoma"/>
            <family val="2"/>
          </rPr>
          <t>Pamela Slifka:</t>
        </r>
        <r>
          <rPr>
            <sz val="9"/>
            <color indexed="81"/>
            <rFont val="Tahoma"/>
            <family val="2"/>
          </rPr>
          <t xml:space="preserve">
Old Transformers sold to T&amp;R Electric</t>
        </r>
      </text>
    </comment>
  </commentList>
</comments>
</file>

<file path=xl/comments3.xml><?xml version="1.0" encoding="utf-8"?>
<comments xmlns="http://schemas.openxmlformats.org/spreadsheetml/2006/main">
  <authors>
    <author>karen</author>
  </authors>
  <commentList>
    <comment ref="D21" authorId="0">
      <text>
        <r>
          <rPr>
            <sz val="9"/>
            <color indexed="81"/>
            <rFont val="Tahoma"/>
            <family val="2"/>
          </rPr>
          <t>Wheeling expense plus IS transmission delivery charge that was in purchased power.</t>
        </r>
      </text>
    </comment>
  </commentList>
</comments>
</file>

<file path=xl/comments4.xml><?xml version="1.0" encoding="utf-8"?>
<comments xmlns="http://schemas.openxmlformats.org/spreadsheetml/2006/main">
  <authors>
    <author>Pamela Slifka</author>
  </authors>
  <commentList>
    <comment ref="D12" authorId="0">
      <text>
        <r>
          <rPr>
            <b/>
            <sz val="9"/>
            <color indexed="81"/>
            <rFont val="Tahoma"/>
            <family val="2"/>
          </rPr>
          <t>Pamela Slifka:</t>
        </r>
        <r>
          <rPr>
            <sz val="9"/>
            <color indexed="81"/>
            <rFont val="Tahoma"/>
            <family val="2"/>
          </rPr>
          <t xml:space="preserve">
Include all Inventory Value that is not transmission related</t>
        </r>
      </text>
    </comment>
  </commentList>
</comments>
</file>

<file path=xl/sharedStrings.xml><?xml version="1.0" encoding="utf-8"?>
<sst xmlns="http://schemas.openxmlformats.org/spreadsheetml/2006/main" count="1453" uniqueCount="983">
  <si>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</si>
  <si>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</si>
  <si>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</si>
  <si>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</si>
  <si>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</si>
  <si>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</si>
  <si>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</si>
  <si>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</si>
  <si>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</si>
  <si>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</si>
  <si>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</si>
  <si>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</si>
  <si>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</si>
  <si>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</si>
  <si>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</si>
  <si>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</si>
  <si>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</si>
  <si>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</si>
  <si>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</si>
  <si>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</si>
  <si>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</si>
  <si>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</si>
  <si>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</si>
  <si>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</si>
  <si>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</si>
  <si>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</si>
  <si>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</si>
  <si>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</si>
  <si>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</si>
  <si>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</si>
  <si>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</si>
  <si>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</si>
  <si>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</si>
  <si>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</si>
  <si>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</si>
  <si>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</si>
  <si>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</si>
  <si>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</si>
  <si>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</si>
  <si>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</si>
  <si>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</si>
  <si>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</si>
  <si>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</si>
  <si>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</si>
  <si>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</si>
  <si>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</si>
  <si>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</si>
  <si>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</si>
  <si>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</si>
  <si>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</si>
  <si>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</si>
  <si>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</si>
  <si>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</si>
  <si>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</si>
  <si>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</si>
  <si>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</si>
  <si>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</si>
  <si>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</si>
  <si>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</si>
  <si>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</si>
  <si>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</si>
  <si>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</si>
  <si>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</si>
  <si>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</si>
  <si>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</si>
  <si>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</si>
  <si>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</si>
  <si>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</si>
  <si>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</si>
  <si>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</si>
  <si>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</si>
  <si>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</si>
  <si>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</si>
  <si>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</si>
  <si>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</si>
  <si>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</si>
  <si>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</si>
  <si>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</si>
  <si>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</si>
  <si>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</si>
  <si>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</si>
  <si>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</si>
  <si>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</si>
  <si>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</si>
  <si>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</si>
  <si>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</si>
  <si>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</si>
  <si>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</si>
  <si>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</si>
  <si>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</si>
  <si>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</si>
  <si>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</si>
  <si>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</si>
  <si>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</si>
  <si>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</si>
  <si>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</si>
  <si>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</si>
  <si>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</si>
  <si>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</si>
  <si>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</si>
  <si>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</si>
  <si>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</si>
  <si>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</si>
  <si>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</si>
  <si>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</si>
  <si>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</si>
  <si>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</si>
  <si>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</si>
  <si>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</si>
  <si>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</si>
  <si>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</si>
  <si>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</si>
  <si>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</si>
  <si>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</si>
  <si>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</si>
  <si>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</si>
  <si>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</si>
  <si>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</si>
  <si>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</si>
  <si>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</si>
  <si>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</si>
  <si>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</si>
  <si>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</si>
  <si>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</si>
  <si>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</si>
  <si>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</si>
  <si>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</si>
  <si>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</si>
  <si>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</si>
  <si>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</si>
  <si>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</si>
  <si>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</si>
  <si>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</si>
  <si>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</si>
  <si>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</si>
  <si>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</si>
  <si>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</si>
  <si>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</si>
  <si>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</si>
  <si>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</si>
  <si>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</si>
  <si>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</si>
  <si>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</si>
  <si>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</si>
  <si>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</si>
  <si>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</si>
  <si>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</si>
  <si>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</si>
  <si>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</si>
  <si>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</si>
  <si>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</si>
  <si>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</si>
  <si>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</si>
  <si>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</si>
  <si>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</si>
  <si>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</si>
  <si>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</si>
  <si>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</si>
  <si>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</si>
  <si>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</si>
  <si>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</si>
  <si>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</si>
  <si>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</si>
  <si>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</si>
  <si>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</si>
  <si>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</si>
  <si>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</si>
  <si>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</si>
  <si>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</si>
  <si>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</si>
  <si>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</si>
  <si>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</si>
  <si>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</si>
  <si>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</si>
  <si>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</si>
  <si>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</si>
  <si>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</si>
  <si>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</si>
  <si>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</si>
  <si>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</si>
  <si>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</si>
  <si>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</si>
  <si>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</si>
  <si>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</si>
  <si>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</si>
  <si>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</si>
  <si>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</si>
  <si>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</si>
  <si>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</si>
  <si>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</si>
  <si>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</si>
  <si>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</si>
  <si>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</si>
  <si>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</si>
  <si>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</si>
  <si>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</si>
  <si>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</si>
  <si>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</si>
  <si>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</si>
  <si>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</si>
  <si>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</si>
  <si>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</si>
  <si>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</si>
  <si>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</si>
  <si>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</si>
  <si>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</si>
  <si>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</si>
  <si>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</si>
  <si>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</si>
  <si>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</si>
  <si>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Network &amp; P-to-P Rate ($/kW/Mo)  (line 11 / 12)</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</si>
  <si>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</si>
  <si>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</si>
  <si>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</si>
  <si>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</si>
  <si>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</si>
  <si>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</si>
  <si>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</si>
  <si>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</si>
  <si>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</si>
  <si>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</si>
  <si>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</si>
  <si>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</si>
  <si>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</si>
  <si>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</si>
  <si>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</si>
  <si>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</si>
  <si>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</si>
  <si>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</si>
  <si>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</si>
  <si>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</si>
  <si>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</si>
  <si>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</si>
  <si>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</si>
  <si>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</si>
  <si>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</si>
  <si>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</si>
  <si>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</si>
  <si>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</si>
  <si>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</si>
  <si>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</si>
  <si>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</si>
  <si>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</si>
  <si>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</si>
  <si>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</si>
  <si>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</si>
  <si>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</si>
  <si>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</si>
  <si>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</si>
  <si>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</si>
  <si>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</si>
  <si>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</si>
  <si>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</si>
  <si>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</si>
  <si>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</si>
  <si>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</si>
  <si>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</si>
  <si>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</si>
  <si>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</si>
  <si>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</si>
  <si>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</si>
  <si>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</si>
  <si>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</si>
  <si>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</si>
  <si>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</si>
  <si>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</si>
  <si>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</si>
  <si>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</si>
  <si>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</si>
  <si>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</si>
  <si>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</si>
  <si>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</si>
  <si>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</si>
  <si>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</si>
  <si>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</si>
  <si>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</si>
  <si>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</si>
  <si>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</si>
  <si>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</si>
  <si>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</si>
  <si>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</si>
  <si>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EIA-412</t>
  </si>
  <si>
    <t>Schedule 2</t>
  </si>
  <si>
    <t>ELECTRIC BALANCE SHEET</t>
  </si>
  <si>
    <t>AMOUNT</t>
  </si>
  <si>
    <t>ASSETS and OTHER DEBITS</t>
  </si>
  <si>
    <t>(Dollars)</t>
  </si>
  <si>
    <t>No</t>
  </si>
  <si>
    <t>LIABILITIES and OTHER CREDITS</t>
  </si>
  <si>
    <t>ELECTRIC PLANT</t>
  </si>
  <si>
    <t>PROPIETARY CAPITAL</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</si>
  <si>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</si>
  <si>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</si>
  <si>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</si>
  <si>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</si>
  <si>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</si>
  <si>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</si>
  <si>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</si>
  <si>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</si>
  <si>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</si>
  <si>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</si>
  <si>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</si>
  <si>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</si>
  <si>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</si>
  <si>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</si>
  <si>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</si>
  <si>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</si>
  <si>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</si>
  <si>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</si>
  <si>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</si>
  <si>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</si>
  <si>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</si>
  <si>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</si>
  <si>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</si>
  <si>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</si>
  <si>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</si>
  <si>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</si>
  <si>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</si>
  <si>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</si>
  <si>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</si>
  <si>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</si>
  <si>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</si>
  <si>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</si>
  <si>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</si>
  <si>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</si>
  <si>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</si>
  <si>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</si>
  <si>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</si>
  <si>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</si>
  <si>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</si>
  <si>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</si>
  <si>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</si>
  <si>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</si>
  <si>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</si>
  <si>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Customer Accounts Recevable (142)</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</si>
  <si>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</si>
  <si>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</si>
  <si>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</si>
  <si>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</si>
  <si>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</si>
  <si>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</si>
  <si>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</si>
  <si>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</si>
  <si>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</si>
  <si>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</si>
  <si>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</si>
  <si>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</si>
  <si>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</si>
  <si>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</si>
  <si>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</si>
  <si>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</si>
  <si>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</si>
  <si>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</si>
  <si>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</si>
  <si>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</si>
  <si>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</si>
  <si>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</si>
  <si>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</si>
  <si>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</si>
  <si>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</si>
  <si>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</si>
  <si>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</si>
  <si>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</si>
  <si>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</si>
  <si>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</si>
  <si>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</si>
  <si>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</si>
  <si>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</si>
  <si>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</si>
  <si>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ASSETS &amp; OTHER DEBITS</t>
  </si>
  <si>
    <t>TOTAL LIABILITIES &amp; OTHER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</si>
  <si>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</si>
  <si>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</si>
  <si>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</si>
  <si>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</si>
  <si>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</si>
  <si>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</si>
  <si>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</si>
  <si>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</si>
  <si>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</si>
  <si>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</si>
  <si>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</si>
  <si>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</si>
  <si>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</si>
  <si>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</si>
  <si>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</si>
  <si>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</si>
  <si>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</si>
  <si>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</si>
  <si>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</si>
  <si>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</si>
  <si>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</si>
  <si>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</si>
  <si>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</si>
  <si>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</si>
  <si>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</si>
  <si>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</si>
  <si>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</si>
  <si>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</si>
  <si>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Accumulated</t>
  </si>
  <si>
    <t>Balance</t>
  </si>
  <si>
    <t>Additions</t>
  </si>
  <si>
    <t>Retirements</t>
  </si>
  <si>
    <t>Transfers</t>
  </si>
  <si>
    <t>Depreciation</t>
  </si>
  <si>
    <t>Expense</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</si>
  <si>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</si>
  <si>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</si>
  <si>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</si>
  <si>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</si>
  <si>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</si>
  <si>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</si>
  <si>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</si>
  <si>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</si>
  <si>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</si>
  <si>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</si>
  <si>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</si>
  <si>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</si>
  <si>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</si>
  <si>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</si>
  <si>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</si>
  <si>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NOTE FOR LINE 5:  Combustion Turbine</t>
  </si>
  <si>
    <t>Schedule 7</t>
  </si>
  <si>
    <t>ELECTRIC OPERATION AND MAINTENANCE EXPENSES (Dollars)</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</si>
  <si>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</si>
  <si>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</si>
  <si>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</si>
  <si>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</si>
  <si>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</si>
  <si>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</si>
  <si>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</si>
  <si>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</si>
  <si>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</si>
  <si>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</si>
  <si>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</si>
  <si>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</si>
  <si>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</si>
  <si>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</si>
  <si>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</si>
  <si>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</si>
  <si>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</si>
  <si>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</si>
  <si>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</si>
  <si>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</si>
  <si>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</si>
  <si>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</si>
  <si>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</si>
  <si>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</si>
  <si>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</si>
  <si>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</si>
  <si>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</si>
  <si>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</si>
  <si>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</si>
  <si>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Purchased</t>
  </si>
  <si>
    <t xml:space="preserve">Salaries and Benefits - Supplemental Data for Att O's Wages &amp; Salary Allocator </t>
  </si>
  <si>
    <t>FICA, other payroll taxes, and retirement benefits include only those expenses that are directly allocated to each account.</t>
  </si>
  <si>
    <t>Salaries</t>
  </si>
  <si>
    <t>FICA</t>
  </si>
  <si>
    <t>Retirement</t>
  </si>
  <si>
    <t>Accounts</t>
  </si>
  <si>
    <t>Taxes</t>
  </si>
  <si>
    <t>Benefits (PERA)</t>
  </si>
  <si>
    <t>Production / Generation</t>
  </si>
  <si>
    <t>Transmission:</t>
  </si>
  <si>
    <t>Transmission Line</t>
  </si>
  <si>
    <t>Substation Equipment</t>
  </si>
  <si>
    <t>Tree Trimming</t>
  </si>
  <si>
    <t>Meter Shop</t>
  </si>
  <si>
    <t>Utility Warehouse</t>
  </si>
  <si>
    <t>Distribution:</t>
  </si>
  <si>
    <t>Load Management</t>
  </si>
  <si>
    <t>Distribution Expense</t>
  </si>
  <si>
    <t>Underground Locating</t>
  </si>
  <si>
    <t>Line Transformers</t>
  </si>
  <si>
    <t>Street Lights</t>
  </si>
  <si>
    <t>Meter Testing</t>
  </si>
  <si>
    <t>Customer Accounts</t>
  </si>
  <si>
    <t>Meter Reading</t>
  </si>
  <si>
    <t>Records &amp; Collections</t>
  </si>
  <si>
    <t xml:space="preserve">Customer Service </t>
  </si>
  <si>
    <t>Energy Conservation</t>
  </si>
  <si>
    <t>Superintendent's Office</t>
  </si>
  <si>
    <t>Commission Expense</t>
  </si>
  <si>
    <t>Non-Utility Expense</t>
  </si>
  <si>
    <t>Schedule 5</t>
  </si>
  <si>
    <t xml:space="preserve">Line </t>
  </si>
  <si>
    <t>Taxes other than Income Taxes, Operating Income</t>
  </si>
  <si>
    <t>Payment In Lieu of Taxes (Transfer)</t>
  </si>
  <si>
    <t>CITY OF DETROIT LAKES</t>
  </si>
  <si>
    <t>ELECTRICAL UTILITY FUND</t>
  </si>
  <si>
    <t>OPERATING REVENUES</t>
  </si>
  <si>
    <t>Metered Sales</t>
  </si>
  <si>
    <t xml:space="preserve">  Residential</t>
  </si>
  <si>
    <t xml:space="preserve">  Commercial</t>
  </si>
  <si>
    <t xml:space="preserve">  Wind Power</t>
  </si>
  <si>
    <t xml:space="preserve">  Street Lights</t>
  </si>
  <si>
    <t xml:space="preserve">  Summer Cottages</t>
  </si>
  <si>
    <t xml:space="preserve">    Total Metered Sales</t>
  </si>
  <si>
    <t>Other Operating Revenues</t>
  </si>
  <si>
    <t xml:space="preserve">  Yardlights</t>
  </si>
  <si>
    <t xml:space="preserve">  Discounts Not Taken</t>
  </si>
  <si>
    <t xml:space="preserve">  Miscellaneous Service Revenue</t>
  </si>
  <si>
    <t xml:space="preserve">  Rent From Jet Plant</t>
  </si>
  <si>
    <t xml:space="preserve">  Generation From Jet Plant</t>
  </si>
  <si>
    <t xml:space="preserve">  MRES Energy Reimbursements</t>
  </si>
  <si>
    <t xml:space="preserve">  Other Miscellaneous Revenue</t>
  </si>
  <si>
    <t xml:space="preserve">    Total Other Operating Revenues</t>
  </si>
  <si>
    <t>TOTAL OPERATING REVENUES</t>
  </si>
  <si>
    <t>OPERATING EXPENSES</t>
  </si>
  <si>
    <t>Generation</t>
  </si>
  <si>
    <t>Purchase Power</t>
  </si>
  <si>
    <t>Distribution</t>
  </si>
  <si>
    <t>Customer Account</t>
  </si>
  <si>
    <t>Transportation Expense</t>
  </si>
  <si>
    <t>Administrative and General Expense</t>
  </si>
  <si>
    <t>Depreciation Expense</t>
  </si>
  <si>
    <t xml:space="preserve">    Total Operating Expenses</t>
  </si>
  <si>
    <t>OPERATING INCOME</t>
  </si>
  <si>
    <t>Non-Operating Income (Expenses)</t>
  </si>
  <si>
    <t xml:space="preserve">  Interest Income</t>
  </si>
  <si>
    <t xml:space="preserve">  Gain (Loss) on the Sale of Fixed Assets</t>
  </si>
  <si>
    <t xml:space="preserve">  Reimbursement from State of MN</t>
  </si>
  <si>
    <t xml:space="preserve">  Interest Expense</t>
  </si>
  <si>
    <t xml:space="preserve">  Contributions and Donations</t>
  </si>
  <si>
    <t>NET INCOME BEFORE OPERATING TRANSFERS</t>
  </si>
  <si>
    <t>Change in Net Assets</t>
  </si>
  <si>
    <t>Generation:</t>
  </si>
  <si>
    <t>Jet Plant</t>
  </si>
  <si>
    <t xml:space="preserve">  Salaries-Regular</t>
  </si>
  <si>
    <t xml:space="preserve">  FICA</t>
  </si>
  <si>
    <t xml:space="preserve">  PERA</t>
  </si>
  <si>
    <t xml:space="preserve">  Jet Fuel</t>
  </si>
  <si>
    <t xml:space="preserve">  Operating and Maintenance Supplies</t>
  </si>
  <si>
    <t xml:space="preserve">  Heating Fuel</t>
  </si>
  <si>
    <t xml:space="preserve">  Utilities</t>
  </si>
  <si>
    <t xml:space="preserve">  Outside Services and Charges</t>
  </si>
  <si>
    <t xml:space="preserve">     Total Generation</t>
  </si>
  <si>
    <t>Structures:</t>
  </si>
  <si>
    <t xml:space="preserve">  Telephone</t>
  </si>
  <si>
    <t xml:space="preserve">    Total Meter Shop</t>
  </si>
  <si>
    <t xml:space="preserve">  Salaries-Temporary</t>
  </si>
  <si>
    <t xml:space="preserve">  Internet Connection</t>
  </si>
  <si>
    <t xml:space="preserve">  Miscellaneous</t>
  </si>
  <si>
    <t xml:space="preserve">     Total Utility Warehouse</t>
  </si>
  <si>
    <t xml:space="preserve">     Total Structures</t>
  </si>
  <si>
    <t>Purchased Power</t>
  </si>
  <si>
    <t xml:space="preserve">  WAPA Power Expenses</t>
  </si>
  <si>
    <t xml:space="preserve">  MRES Power Expense</t>
  </si>
  <si>
    <t xml:space="preserve">  MRES Wind  Power Expense</t>
  </si>
  <si>
    <t xml:space="preserve">  MISO MIA</t>
  </si>
  <si>
    <t xml:space="preserve">  Wheeling Expense</t>
  </si>
  <si>
    <t xml:space="preserve">     Total Purchased Power</t>
  </si>
  <si>
    <t xml:space="preserve">     Total Transmission Expense</t>
  </si>
  <si>
    <t>Load Management Expense</t>
  </si>
  <si>
    <t xml:space="preserve">  Water Heater Rebate</t>
  </si>
  <si>
    <t xml:space="preserve">     Total Load Management Expense</t>
  </si>
  <si>
    <t xml:space="preserve">  Salaries-Overtime</t>
  </si>
  <si>
    <t xml:space="preserve">  Rents, Easements &amp; Leases</t>
  </si>
  <si>
    <t xml:space="preserve">     Total Distribution Expense</t>
  </si>
  <si>
    <t>Substation Equipment Expense</t>
  </si>
  <si>
    <t xml:space="preserve">     Total Substation Equipment Expense</t>
  </si>
  <si>
    <t xml:space="preserve">     Total Tree Trimming</t>
  </si>
  <si>
    <t xml:space="preserve">     Total Underground  Locating</t>
  </si>
  <si>
    <t xml:space="preserve">     Total Line Transformers</t>
  </si>
  <si>
    <t xml:space="preserve">     Total Street Lights</t>
  </si>
  <si>
    <t xml:space="preserve">     Total Meter Testing</t>
  </si>
  <si>
    <t xml:space="preserve">     Total Distribution</t>
  </si>
  <si>
    <t>Customer Account Expense</t>
  </si>
  <si>
    <t xml:space="preserve">     Total Meter Reading</t>
  </si>
  <si>
    <t xml:space="preserve">  Postage</t>
  </si>
  <si>
    <t xml:space="preserve">     Total Records &amp; Collections</t>
  </si>
  <si>
    <t>Bad Debt Expense</t>
  </si>
  <si>
    <t xml:space="preserve">     Total Customer Service</t>
  </si>
  <si>
    <t xml:space="preserve">     Total Energy Conservation</t>
  </si>
  <si>
    <t xml:space="preserve">     Total Customer Account Expense</t>
  </si>
  <si>
    <t xml:space="preserve">  Travel, Meetings &amp; Schools</t>
  </si>
  <si>
    <t xml:space="preserve">  Miscellaneous Dues</t>
  </si>
  <si>
    <t xml:space="preserve">     Total Superintendent's Office</t>
  </si>
  <si>
    <t xml:space="preserve">     Total Commission Expense</t>
  </si>
  <si>
    <t xml:space="preserve">     Total Non-Utility Expense</t>
  </si>
  <si>
    <t xml:space="preserve">  Gas and Oil</t>
  </si>
  <si>
    <t xml:space="preserve">     Total Transportation Expense</t>
  </si>
  <si>
    <t xml:space="preserve">  Professional Services</t>
  </si>
  <si>
    <t xml:space="preserve">  City Attorney's Services</t>
  </si>
  <si>
    <t xml:space="preserve">  Workers Compensation</t>
  </si>
  <si>
    <t xml:space="preserve">  Insurance (Unallocated)</t>
  </si>
  <si>
    <t xml:space="preserve">  Hospitalization (Unallocated)</t>
  </si>
  <si>
    <t xml:space="preserve">  Life Insurance (Unallocated)</t>
  </si>
  <si>
    <t xml:space="preserve">  Advertising</t>
  </si>
  <si>
    <t xml:space="preserve">  Administration Building</t>
  </si>
  <si>
    <t xml:space="preserve">  Small Tools &amp; Minor Equipment</t>
  </si>
  <si>
    <t xml:space="preserve">  Uniforms</t>
  </si>
  <si>
    <t xml:space="preserve">  Safety Equipment</t>
  </si>
  <si>
    <t xml:space="preserve">  Safety Program</t>
  </si>
  <si>
    <t xml:space="preserve">  Safety Meetings</t>
  </si>
  <si>
    <t xml:space="preserve">  Severance &amp; Vacation Pay (Unallocated)</t>
  </si>
  <si>
    <t xml:space="preserve">     Total Administrative &amp; General Expense</t>
  </si>
  <si>
    <t>TOTAL OPERATING EXPENSE</t>
  </si>
  <si>
    <t>Public Utility Electrical Fund</t>
  </si>
  <si>
    <t xml:space="preserve">                            Fixed Assets And Accumulated Depreciation</t>
  </si>
  <si>
    <t>Page 1</t>
  </si>
  <si>
    <t>Book</t>
  </si>
  <si>
    <t>Year</t>
  </si>
  <si>
    <t>Accumulated Depreciation</t>
  </si>
  <si>
    <t>Value</t>
  </si>
  <si>
    <t>Deletions</t>
  </si>
  <si>
    <t>Percent</t>
  </si>
  <si>
    <t xml:space="preserve">Land </t>
  </si>
  <si>
    <t>Lots 38,39,40/Blk 1 Fra/Holm</t>
  </si>
  <si>
    <t>1950</t>
  </si>
  <si>
    <t>Assessments Holmes Street</t>
  </si>
  <si>
    <t>1991</t>
  </si>
  <si>
    <t>Plant Site</t>
  </si>
  <si>
    <t>1944</t>
  </si>
  <si>
    <t>Lot 1/Blk 2/Industrial Park</t>
  </si>
  <si>
    <t>1977</t>
  </si>
  <si>
    <t>North Substation Site</t>
  </si>
  <si>
    <t>Adm Building/Roosevelt Ave.</t>
  </si>
  <si>
    <t>1981</t>
  </si>
  <si>
    <t>Lots 1-3,44/Blk 1/Fra/Holm</t>
  </si>
  <si>
    <t>1948</t>
  </si>
  <si>
    <t>West Substation Property</t>
  </si>
  <si>
    <t>Tower Road Work Center Site</t>
  </si>
  <si>
    <t>Easement/OtterTail Power</t>
  </si>
  <si>
    <t>1979</t>
  </si>
  <si>
    <t>Switchgear Building</t>
  </si>
  <si>
    <t>1988</t>
  </si>
  <si>
    <t>Bathroom/Switchgear Bldg.</t>
  </si>
  <si>
    <t>Furnances/Switchgear Bldg.</t>
  </si>
  <si>
    <t>Value Old Power Plant Bldg.</t>
  </si>
  <si>
    <t>Jet Turbine Plant</t>
  </si>
  <si>
    <t>1968</t>
  </si>
  <si>
    <t>Fuel Tanks for Jet Plant</t>
  </si>
  <si>
    <t>Fuel Tank for Jet Plant</t>
  </si>
  <si>
    <t>Painting Jet Turbine Plant</t>
  </si>
  <si>
    <t>Jet Turbine Upgrade</t>
  </si>
  <si>
    <t>2005/6</t>
  </si>
  <si>
    <t>Fuel Injection Pump</t>
  </si>
  <si>
    <t>1994</t>
  </si>
  <si>
    <t>Garage by SubStation/Ind. Park</t>
  </si>
  <si>
    <t>1997</t>
  </si>
  <si>
    <t>2007/8</t>
  </si>
  <si>
    <t>Pole Yard Fence/Water Plant</t>
  </si>
  <si>
    <t>Load Mgmt Rockwell Intern.</t>
  </si>
  <si>
    <t>1983</t>
  </si>
  <si>
    <t>Load Management Upgrade</t>
  </si>
  <si>
    <t>1996/7</t>
  </si>
  <si>
    <t>Two New Curcuits</t>
  </si>
  <si>
    <t>1996</t>
  </si>
  <si>
    <t>Adm. Bldg./Roosevelt Avenue</t>
  </si>
  <si>
    <t>Additn Adm. Bldg./Roosevelt Ave.</t>
  </si>
  <si>
    <t>1997/8</t>
  </si>
  <si>
    <t>Recyling Bin Adm. Bldg.</t>
  </si>
  <si>
    <t>Bus Garage/Water Plant</t>
  </si>
  <si>
    <t>1980</t>
  </si>
  <si>
    <t>Police Station Building</t>
  </si>
  <si>
    <t>1958</t>
  </si>
  <si>
    <t>Comp. Air Cond./Adm. Bldg.</t>
  </si>
  <si>
    <t>Reroof Jet Plant</t>
  </si>
  <si>
    <t>1990</t>
  </si>
  <si>
    <t>Concrete Slab/Bus Garage</t>
  </si>
  <si>
    <t>Storage Bldg by Bus Garage</t>
  </si>
  <si>
    <t>1993</t>
  </si>
  <si>
    <t>Remodel Jr. High (Comm. Server Rm)</t>
  </si>
  <si>
    <t xml:space="preserve">  Total Buildings</t>
  </si>
  <si>
    <t>Page 2</t>
  </si>
  <si>
    <t>Switchgear Equipment</t>
  </si>
  <si>
    <t>1957</t>
  </si>
  <si>
    <t>Switchboards</t>
  </si>
  <si>
    <t>Batteries at Switchgear Bldg</t>
  </si>
  <si>
    <t>Batteries at Jet Plant Building</t>
  </si>
  <si>
    <t>1996 Ford Boom Truck</t>
  </si>
  <si>
    <t>Pipe Puller</t>
  </si>
  <si>
    <t>Phone System</t>
  </si>
  <si>
    <t>Modular Office Furn And Desk</t>
  </si>
  <si>
    <t>Video Projector</t>
  </si>
  <si>
    <t>Finance Officer Furniture</t>
  </si>
  <si>
    <t>Desk,File,Cred/Supt Office</t>
  </si>
  <si>
    <t>Desk,File,Cred/Supt's Sec.</t>
  </si>
  <si>
    <t>Desk,File,Cred/ Billing Supervisor</t>
  </si>
  <si>
    <t>Desk,File,Cred/ Planning Dept.</t>
  </si>
  <si>
    <t>1992</t>
  </si>
  <si>
    <t>Repeater Conn/Port Radio</t>
  </si>
  <si>
    <t>New Computer System(Software)</t>
  </si>
  <si>
    <t>Cad System Hardware &amp; Software</t>
  </si>
  <si>
    <t>Page 3</t>
  </si>
  <si>
    <t>Equipment (Cont'd)</t>
  </si>
  <si>
    <t>Tamper/Rammer</t>
  </si>
  <si>
    <t>Hydraulic Wire Press</t>
  </si>
  <si>
    <t>HP Color 8500 DD Printer (Steve)</t>
  </si>
  <si>
    <t>Desk Panels</t>
  </si>
  <si>
    <t>Power Supply/ Computer System</t>
  </si>
  <si>
    <t>Thumper</t>
  </si>
  <si>
    <t>V-Plow</t>
  </si>
  <si>
    <t>2010 Powermaster Testing Kit</t>
  </si>
  <si>
    <t xml:space="preserve">  Total Equipment</t>
  </si>
  <si>
    <t>Overhead Line (Fully Dep.)</t>
  </si>
  <si>
    <t>Various</t>
  </si>
  <si>
    <t>Overhead Line</t>
  </si>
  <si>
    <t>Overhead Line Ottertail(Det. Lake)</t>
  </si>
  <si>
    <t>2002 Timbers Lake Region Acq</t>
  </si>
  <si>
    <t>2002 Richwood Rd Ottertail Acq.</t>
  </si>
  <si>
    <t>2005 Riverside/Zitzow Wild Rice Acq.</t>
  </si>
  <si>
    <t>Page 4</t>
  </si>
  <si>
    <t>2011 Load Mgmt System</t>
  </si>
  <si>
    <t>2001-5</t>
  </si>
  <si>
    <t>Underground Line (Fully Dep.)</t>
  </si>
  <si>
    <t>Underground Line</t>
  </si>
  <si>
    <t>Line Transformers (Fully Dep.)</t>
  </si>
  <si>
    <t>Services (Fully Dep.)</t>
  </si>
  <si>
    <t>Services</t>
  </si>
  <si>
    <t>Meters (Fully Dep.)</t>
  </si>
  <si>
    <t>Meters</t>
  </si>
  <si>
    <t>Street Lights/Hwy 10</t>
  </si>
  <si>
    <t>Street Lights/Hwy 10 West</t>
  </si>
  <si>
    <t xml:space="preserve">  Total Imp. Other Than Bldgs</t>
  </si>
  <si>
    <t>Total Assets</t>
  </si>
  <si>
    <t>Distribution Assets</t>
  </si>
  <si>
    <t>Production Assets</t>
  </si>
  <si>
    <t>Transmission Assets</t>
  </si>
  <si>
    <t>General Assets</t>
  </si>
  <si>
    <t>1997 Addition to System</t>
  </si>
  <si>
    <t>1998 Addition to System</t>
  </si>
  <si>
    <t>1999 Addition to System</t>
  </si>
  <si>
    <t>2000 Addition to System</t>
  </si>
  <si>
    <t>2001 Addition to System</t>
  </si>
  <si>
    <t>2002 Addition to System</t>
  </si>
  <si>
    <t>2003 Addition to System</t>
  </si>
  <si>
    <t>2005 Addition to System</t>
  </si>
  <si>
    <t>2006 Addition to System</t>
  </si>
  <si>
    <t>2007 Additiono System</t>
  </si>
  <si>
    <t>2008 Addition to System</t>
  </si>
  <si>
    <t>2009 Addition to System</t>
  </si>
  <si>
    <t>2010 Addition to System</t>
  </si>
  <si>
    <t>2010 Addition to System (Area)</t>
  </si>
  <si>
    <t>2011 Addition to System</t>
  </si>
  <si>
    <t>2011 Addition to System (Area)</t>
  </si>
  <si>
    <t>Land Only</t>
  </si>
  <si>
    <t xml:space="preserve">  Total</t>
  </si>
  <si>
    <t xml:space="preserve">  Transmission Portion of Upgrade</t>
  </si>
  <si>
    <t xml:space="preserve">  Distribution Portion of Upgrade</t>
  </si>
  <si>
    <t xml:space="preserve">  Total Land</t>
  </si>
  <si>
    <t xml:space="preserve">  Total Other Improvements</t>
  </si>
  <si>
    <t>Total Assets (Land &amp; Other Improvements)</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</si>
  <si>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</si>
  <si>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</si>
  <si>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</si>
  <si>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</si>
  <si>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</si>
  <si>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</si>
  <si>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</si>
  <si>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SCHEDULE OF OPERATING EXPENSES</t>
  </si>
  <si>
    <t>COMPARATIVE STATEMENT OF REVENUES AND EXPENSES</t>
  </si>
  <si>
    <t>Customer Service &amp; Info</t>
  </si>
  <si>
    <t>Sales Expense</t>
  </si>
  <si>
    <t>Sales Expense / Energy Conservation</t>
  </si>
  <si>
    <t>Utility Warehouse Maintenance</t>
  </si>
  <si>
    <t>Structures Maintenance</t>
  </si>
  <si>
    <t>Not applicable, No Common Plant</t>
  </si>
  <si>
    <t>Detroit Lakes' load is included in the MRES filing.</t>
  </si>
  <si>
    <t>MRES Assumptions - Please change if needed.</t>
  </si>
  <si>
    <t>2012 Addition to System</t>
  </si>
  <si>
    <t>2012 Addition to System (Area)</t>
  </si>
  <si>
    <t>Page 5</t>
  </si>
  <si>
    <t>Improvements Other Than Bldgs (contd)</t>
  </si>
  <si>
    <t>2001-2005 Substation Upgrade Project</t>
  </si>
  <si>
    <t xml:space="preserve">  2004 Transmission System - 3 Circuit Interupters</t>
  </si>
  <si>
    <t xml:space="preserve">  2004 Distrib Addition to System</t>
  </si>
  <si>
    <t xml:space="preserve">  2004 Transmission Addition to System</t>
  </si>
  <si>
    <t>From Reference III.17.b include only the amount from Accounts 428, 429, and 430.</t>
  </si>
  <si>
    <t>Attachment O-EIA Non-Levelized Generic</t>
  </si>
  <si>
    <t>XXXXXXXXXXX</t>
  </si>
  <si>
    <t>Note for Line 4 - Combustion Turbine</t>
  </si>
  <si>
    <t>Data Required for EIA-412</t>
  </si>
  <si>
    <t>Line No.</t>
  </si>
  <si>
    <t xml:space="preserve">Rental Income Related to </t>
  </si>
  <si>
    <t xml:space="preserve">  Transmission Assets.</t>
  </si>
  <si>
    <t xml:space="preserve">  FERC Acct 454</t>
  </si>
  <si>
    <t xml:space="preserve">  Transmission Supplies</t>
  </si>
  <si>
    <t xml:space="preserve">  Distribution Supplies</t>
  </si>
  <si>
    <t xml:space="preserve">  FERC Acct. 154</t>
  </si>
  <si>
    <t>Regulatory Commission Expense</t>
  </si>
  <si>
    <t xml:space="preserve">  FERC Acct. 928</t>
  </si>
  <si>
    <t xml:space="preserve"> Directly related to Transmission</t>
  </si>
  <si>
    <t>Advertising:  Informational &amp; Instructional</t>
  </si>
  <si>
    <t xml:space="preserve">  Non-Safety Related Advertising</t>
  </si>
  <si>
    <t xml:space="preserve">  Safety Related Advertising</t>
  </si>
  <si>
    <t xml:space="preserve">  FERC Acct. 909</t>
  </si>
  <si>
    <t>Transmission of Electricity by Others</t>
  </si>
  <si>
    <t xml:space="preserve">  FERC Acct. 565</t>
  </si>
  <si>
    <t>Transmission Land Held for Future Use</t>
  </si>
  <si>
    <t xml:space="preserve">  FERC Acct 105</t>
  </si>
  <si>
    <t xml:space="preserve">  MISO Transmission Allocation</t>
  </si>
  <si>
    <t xml:space="preserve">  Insurance</t>
  </si>
  <si>
    <t xml:space="preserve">  Other Supplies - A&amp;G, Billing</t>
  </si>
  <si>
    <t>20% of this to Safety Advertising</t>
  </si>
  <si>
    <t>Amortized Investment Tax Credit (enter negative)</t>
  </si>
  <si>
    <t>LESS ATTACHMENT MM ADJUSTMENT [Attachment MM, page 2, line 3, column 14]  (Note Y)</t>
  </si>
  <si>
    <t xml:space="preserve">Salaries </t>
  </si>
  <si>
    <t xml:space="preserve">  c. Transmission charges from Schedules associated with Attachment GG  (Note X)</t>
  </si>
  <si>
    <t xml:space="preserve">  d. Transmission charges from Schedules associated with Attachment MM  (Note Z)</t>
  </si>
  <si>
    <t>The FERC's annual charges for the year assessed the Transmission Owner for service under this tariff, if any.</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</si>
  <si>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</si>
  <si>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</si>
  <si>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Account Nos. 561.4 and 561.8 consist of RTO expenses billed to load-serving entities and are not included in Transmission Owner revenue requirements.</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</si>
  <si>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</si>
  <si>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</si>
  <si>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</si>
  <si>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</si>
  <si>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Detroit Lakes (Minnesota) Public Utilities</t>
  </si>
  <si>
    <t>Transfer for the General Fund</t>
  </si>
  <si>
    <t>1995 GMC Vandura Cargo Van #15</t>
  </si>
  <si>
    <t>1997 Ford Pickup #12</t>
  </si>
  <si>
    <t>2008 Wood Chipper #45</t>
  </si>
  <si>
    <t>Ditch Witch/Trencher, Plow &amp; Backhoe #41</t>
  </si>
  <si>
    <t>Trailer Mounted Generator #47</t>
  </si>
  <si>
    <t>Pole Trailer #T7</t>
  </si>
  <si>
    <t>Pole Trailer #T4</t>
  </si>
  <si>
    <t>Cable Trailer #T8</t>
  </si>
  <si>
    <t>1995 Bob Cat #46</t>
  </si>
  <si>
    <t>Meter Tester - Radian RM17</t>
  </si>
  <si>
    <t>1998 Ford Windstar Van #3</t>
  </si>
  <si>
    <t>Cable Locator - MetroTech 850</t>
  </si>
  <si>
    <t>1999 Ford  F150  Pickup #2</t>
  </si>
  <si>
    <t>2000 Ford  F350  Pickup #17</t>
  </si>
  <si>
    <t>Flatbed for 2000 Ford  F350  Pickup #17</t>
  </si>
  <si>
    <t>Power Analyzer - Megger PA9+</t>
  </si>
  <si>
    <t>2001 Ford Van #7</t>
  </si>
  <si>
    <t>Locater - MetroTech 9860</t>
  </si>
  <si>
    <t>1996 MTI Holan Aerial/GMC chas #20</t>
  </si>
  <si>
    <t>2003 Chevy Astro Van #5</t>
  </si>
  <si>
    <t>2002 Chevy Silverado Pickup #1</t>
  </si>
  <si>
    <t>2003 Ford F 150 Pickup #4</t>
  </si>
  <si>
    <t>Ditch Witch Trailer - Felling #T1</t>
  </si>
  <si>
    <t>2005 IHC Terex Aerial Truck #22</t>
  </si>
  <si>
    <t>2002 Astro Chevy Van #13</t>
  </si>
  <si>
    <t>Ditch Witch Vac All #42</t>
  </si>
  <si>
    <t>Wire Pulling Trailer - Sauber #T5</t>
  </si>
  <si>
    <t>2005 Astro Chevy Van #8</t>
  </si>
  <si>
    <t>2006 3/4 Ton Chevy Pickup #25</t>
  </si>
  <si>
    <t>2006 1 Ton Chevy Chipper Truck #23</t>
  </si>
  <si>
    <t>2009 Chevy Pickup #6</t>
  </si>
  <si>
    <t>2005 Toyota Lift Truck #48</t>
  </si>
  <si>
    <t>2008 LM 42 Plow Trencher #43</t>
  </si>
  <si>
    <t>2002 Frtliner Digger Derrick Trk #16</t>
  </si>
  <si>
    <t>2011 Dodge Ram Bucket Trk #21</t>
  </si>
  <si>
    <t>2014 Frtliner Bucket Truck w/Terex #29</t>
  </si>
  <si>
    <t>2014 GMC Savana Van #10</t>
  </si>
  <si>
    <t>Aerial Mapping</t>
  </si>
  <si>
    <t>Scag Turf Tiger 61" Mower #50</t>
  </si>
  <si>
    <t>Dueco Int'l Digger Derrick #24</t>
  </si>
  <si>
    <t>2013 Addition to System</t>
  </si>
  <si>
    <t>2013 Addition to System (Area)</t>
  </si>
  <si>
    <t>2013 Load Mgmt System (Cooper Cannon)</t>
  </si>
  <si>
    <t>2013 115KV Cap Bank West Sub</t>
  </si>
  <si>
    <t>Other Improvements (Reclassified)</t>
  </si>
  <si>
    <t>Detroit Lakes</t>
  </si>
  <si>
    <t>Includes MRES Dues, MMUA, and Chamber Dues</t>
  </si>
  <si>
    <t>A&amp;G</t>
  </si>
  <si>
    <t>Dist. Maint</t>
  </si>
  <si>
    <t>Power &amp; Trans Op</t>
  </si>
  <si>
    <t>Trans Maint</t>
  </si>
  <si>
    <t>Cust. Service</t>
  </si>
  <si>
    <t>Sales</t>
  </si>
  <si>
    <t>Cust. Acct</t>
  </si>
  <si>
    <t>Other</t>
  </si>
  <si>
    <t>No transmission inventory per DLPU staff</t>
  </si>
  <si>
    <t>Account 456.1</t>
  </si>
  <si>
    <t>MISO Schedule 7 &amp; 8</t>
  </si>
  <si>
    <t>MISO Schedule 9</t>
  </si>
  <si>
    <t>MISO Schedule 1</t>
  </si>
  <si>
    <t>MISO Schedule 2</t>
  </si>
  <si>
    <t>MISO Schedule 24</t>
  </si>
  <si>
    <t>MISO Schedule 26 (NUC)</t>
  </si>
  <si>
    <t>MISO Schedule 26-A (MVP)</t>
  </si>
  <si>
    <t>Other (provide description / explanation below)</t>
  </si>
  <si>
    <t>Total Revenue</t>
  </si>
  <si>
    <t xml:space="preserve">  b. Transmission charges for all transmission transactions included in Divisor on Page 1</t>
  </si>
  <si>
    <t>Total of (a)-(b)-(c)-(d)</t>
  </si>
  <si>
    <t>Acct 456.1</t>
  </si>
  <si>
    <t>Sched 7&amp;8</t>
  </si>
  <si>
    <t>Sched 9</t>
  </si>
  <si>
    <t>For the 12 months ended 12/31/2014</t>
  </si>
  <si>
    <t>For the Year Ended December 31, 2014</t>
  </si>
  <si>
    <t xml:space="preserve"> 12/31/14</t>
  </si>
  <si>
    <t>Buildings (16200)</t>
  </si>
  <si>
    <t>Machinery And Equipment (16400)</t>
  </si>
  <si>
    <t>1992/93</t>
  </si>
  <si>
    <t>New Computer System (Software from LakesNet)</t>
  </si>
  <si>
    <t>Aerial Mapping #2 (Split w/City)</t>
  </si>
  <si>
    <t>MicroSoft Office/Windows</t>
  </si>
  <si>
    <t>Dell Sonic Wall - NSA 4600</t>
  </si>
  <si>
    <t>2014 S590 T4 Bobcat Skidsteer w/Steel Tracks</t>
  </si>
  <si>
    <t>2015 Chevy Silverado Crew Cab 2500</t>
  </si>
  <si>
    <t>Trimble GEO 7X GPS/GIS Device</t>
  </si>
  <si>
    <t>Improvements Other Than Bldgs (16300)</t>
  </si>
  <si>
    <t>Fiber Optic Network from LakesNet</t>
  </si>
  <si>
    <t>2004  Addition to System:</t>
  </si>
  <si>
    <t>2014 Ecumen Service Upgrade</t>
  </si>
  <si>
    <t>2014 MN/McKinley Ave Construction Lighting</t>
  </si>
  <si>
    <t>2014 MN/Summit Ave Lighting</t>
  </si>
  <si>
    <t>2014 Dynamic Homes Svc Upgrade</t>
  </si>
  <si>
    <t>2014 Co Rd 147 Roosevelt Beach URD</t>
  </si>
  <si>
    <t>2014 Busker Apt Building New Svc</t>
  </si>
  <si>
    <t>2014 Heartland Trail</t>
  </si>
  <si>
    <t>2014 Stonebrooke Apts New Svc</t>
  </si>
  <si>
    <t>2014 Brainard Acres New Svc</t>
  </si>
  <si>
    <t>2014 Hwy 10 W Frontage Rd Construction (Not Lighting)</t>
  </si>
  <si>
    <t xml:space="preserve">2014 Verizon New Svc </t>
  </si>
  <si>
    <t>2014 Fiber to Lift Stations</t>
  </si>
  <si>
    <t>2014 Washington Ave Construction Lighting</t>
  </si>
  <si>
    <t>2014 BTD Underground</t>
  </si>
  <si>
    <t>2014 Shorewood Drive (Ace Brandt)</t>
  </si>
  <si>
    <t>2014 - 11th Ave Daycare Exp New Svc</t>
  </si>
  <si>
    <t>2014 MN Metalworks New Svc</t>
  </si>
  <si>
    <t xml:space="preserve">  Technology Revenue</t>
  </si>
  <si>
    <t>Technology Expense</t>
  </si>
  <si>
    <t>Transfers out to Other Funds</t>
  </si>
  <si>
    <t>Transfers in from Other Funds</t>
  </si>
  <si>
    <t>Years Ended December 31, 2014</t>
  </si>
  <si>
    <t xml:space="preserve">  IT Support </t>
  </si>
  <si>
    <t xml:space="preserve">  Telephone/Internet</t>
  </si>
  <si>
    <t xml:space="preserve">  IT Support (Transmission)</t>
  </si>
  <si>
    <r>
      <t xml:space="preserve">    </t>
    </r>
    <r>
      <rPr>
        <b/>
        <sz val="11"/>
        <rFont val="Calibri"/>
        <family val="2"/>
        <scheme val="minor"/>
      </rPr>
      <t>Total Technology Expense</t>
    </r>
  </si>
  <si>
    <t>Gen Mgr's Office</t>
  </si>
  <si>
    <t>Severance Pay</t>
  </si>
  <si>
    <t>Commission</t>
  </si>
  <si>
    <t>Non-Utility</t>
  </si>
  <si>
    <t>2014 Depreciation</t>
  </si>
  <si>
    <t>Materials &amp; Supplies - Inventory on Hand</t>
  </si>
  <si>
    <t>Total Revenues - JPZ</t>
  </si>
  <si>
    <t xml:space="preserve">  Energy Conservation</t>
  </si>
  <si>
    <t>701-5-9050-3300</t>
  </si>
  <si>
    <t xml:space="preserve">  Unallocated G&amp;A</t>
  </si>
  <si>
    <t>701-5-9370-3300</t>
  </si>
  <si>
    <t>Utility was charged its prorata share of Expenses for the Self Insured Portion of Employee Health Insurance.</t>
  </si>
  <si>
    <t>Includes Gain on Sale of Capital Assets $9,395</t>
  </si>
  <si>
    <t>Other Data, Line 2</t>
  </si>
  <si>
    <t>Other Data, Line 7</t>
  </si>
  <si>
    <t>Schedule 4, Line 5</t>
  </si>
  <si>
    <t>Schedule 4, Line 7</t>
  </si>
  <si>
    <t>Schedule 4, Line 8</t>
  </si>
  <si>
    <t>Schedule 2, Line 20</t>
  </si>
  <si>
    <t>Schedule 7, Column D, Line 13</t>
  </si>
  <si>
    <t>Schedule 7, Column D, Line 8</t>
  </si>
  <si>
    <t>Schedule 7, Column B, Line 8</t>
  </si>
  <si>
    <t>Schedule 4, Line 1 and 9</t>
  </si>
  <si>
    <t>Other Data, Line 4</t>
  </si>
  <si>
    <t>Other Data, Line 3 and 5</t>
  </si>
  <si>
    <t>Schedule 5, Line 3</t>
  </si>
  <si>
    <t>Schedule 2, Line 32</t>
  </si>
  <si>
    <t>Schedule 2, Line 37</t>
  </si>
  <si>
    <t>Schedule 3, Line 16</t>
  </si>
  <si>
    <t xml:space="preserve">  Other Miscellaneous Rent - Distribution Poles</t>
  </si>
  <si>
    <t>December 2014 was not included in the 2014 Audit revenues.</t>
  </si>
  <si>
    <t>Detailed Income Statement / MISO Transmission Allocation</t>
  </si>
  <si>
    <t>No rental income on Transmission assets per DLPU staff</t>
  </si>
  <si>
    <t>Difference</t>
  </si>
  <si>
    <t>115 kV Cap Bank was added to the West Substation.</t>
  </si>
  <si>
    <t xml:space="preserve">Payroll taxes are included in each salary expense account. </t>
  </si>
  <si>
    <t>Loss on Disposal of Capital Assets $16,130</t>
  </si>
  <si>
    <t>CC</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</si>
  <si>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</si>
  <si>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</si>
  <si>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</si>
  <si>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</si>
  <si>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</si>
  <si>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6a</t>
  </si>
  <si>
    <t>Adjustments to Net Revenue Requirement (Note CC)</t>
  </si>
  <si>
    <t>6b</t>
  </si>
  <si>
    <t>Interest on Adjustments (Note DD)</t>
  </si>
  <si>
    <t>6c</t>
  </si>
  <si>
    <t>Total Adjustment (line 6a + line 6b)</t>
  </si>
  <si>
    <t>(line 1 minus line 6 plus Line 6c)</t>
  </si>
  <si>
    <t>Lakesnet Acc. Deprec.</t>
  </si>
  <si>
    <t>Depreciation Exp. less Lakesnet Acc. Deprec.</t>
  </si>
  <si>
    <t>Audit Depreciation Expense</t>
  </si>
  <si>
    <t>Acquisition of Lakenet assets, the communications utility, for $1,275,194.</t>
  </si>
  <si>
    <t>Line 6 Note</t>
  </si>
  <si>
    <t>One time transfer in from the Communications Utility that is now under the Electric Fund.</t>
  </si>
  <si>
    <t>General Fund Transfer</t>
  </si>
  <si>
    <t>Transfer that is considered to be the Payment in Lieu of Taxes</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</si>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</sst>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0.00_)"/>
    <numFmt numFmtId="176" formatCode="#,##0.0"/>
    <numFmt numFmtId="177" formatCode="#,###,##0.00;\(#,###,##0.00\)"/>
    <numFmt numFmtId="178" formatCode="_(* #,##0.00000_);_(* \(#,##0.00000\);_(* &quot;-&quot;??_);_(@_)"/>
  </numFmts>
  <fonts count="69">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name val="Arial MT"/>
    </font>
    <font>
      <sz val="10"/>
      <name val="Arial"/>
      <family val="2"/>
    </font>
    <font>
      <b/>
      <sz val="12"/>
      <name val="Arial"/>
      <family val="2"/>
    </font>
    <font>
      <sz val="12"/>
      <name val="Arial"/>
      <family val="2"/>
    </font>
    <font>
      <b/>
      <sz val="11"/>
      <name val="Arial"/>
      <family val="2"/>
    </font>
    <font>
      <b/>
      <sz val="10"/>
      <name val="Arial"/>
      <family val="2"/>
    </font>
    <font>
      <b/>
      <sz val="9"/>
      <color indexed="81"/>
      <name val="Tahoma"/>
      <family val="2"/>
    </font>
    <font>
      <sz val="9"/>
      <color indexed="81"/>
      <name val="Tahoma"/>
      <family val="2"/>
    </font>
    <font>
      <sz val="10"/>
      <name val="Garth Graphic ATT"/>
    </font>
    <font>
      <sz val="11"/>
      <name val="Calibri"/>
      <family val="2"/>
      <scheme val="minor"/>
    </font>
    <font>
      <b/>
      <sz val="11"/>
      <name val="Calibri"/>
      <family val="2"/>
      <scheme val="minor"/>
    </font>
    <font>
      <sz val="11"/>
      <color indexed="8"/>
      <name val="Calibri"/>
      <family val="2"/>
      <scheme val="minor"/>
    </font>
    <font>
      <sz val="10"/>
      <name val="Calibri"/>
      <family val="2"/>
      <scheme val="minor"/>
    </font>
    <font>
      <sz val="8"/>
      <name val="Arial"/>
      <family val="2"/>
    </font>
    <font>
      <b/>
      <sz val="14"/>
      <name val="Arial"/>
      <family val="2"/>
    </font>
    <font>
      <b/>
      <i/>
      <sz val="14"/>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4"/>
      <name val="Book Antiqua"/>
      <family val="1"/>
    </font>
    <font>
      <i/>
      <sz val="10"/>
      <name val="Book Antiqua"/>
      <family val="1"/>
    </font>
    <font>
      <b/>
      <i/>
      <sz val="16"/>
      <name val="Helv"/>
    </font>
    <font>
      <sz val="10"/>
      <name val="MS Sans Serif"/>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0"/>
      <color indexed="8"/>
      <name val="Arial"/>
      <family val="2"/>
    </font>
    <font>
      <b/>
      <sz val="10"/>
      <color indexed="8"/>
      <name val="Arial"/>
      <family val="2"/>
    </font>
    <font>
      <b/>
      <i/>
      <sz val="10"/>
      <color indexed="8"/>
      <name val="Arial"/>
      <family val="2"/>
    </font>
    <font>
      <b/>
      <sz val="10"/>
      <name val="Calibri"/>
      <family val="2"/>
      <scheme val="minor"/>
    </font>
    <font>
      <b/>
      <sz val="12"/>
      <name val="Calibri"/>
      <family val="2"/>
      <scheme val="minor"/>
    </font>
    <font>
      <sz val="12"/>
      <name val="Calibri"/>
      <family val="2"/>
      <scheme val="minor"/>
    </font>
    <font>
      <sz val="11"/>
      <color theme="0"/>
      <name val="Calibri"/>
      <family val="2"/>
      <scheme val="minor"/>
    </font>
    <font>
      <sz val="11"/>
      <color indexed="8"/>
      <name val="Calibri"/>
      <family val="2"/>
    </font>
    <font>
      <sz val="10"/>
      <color indexed="0"/>
      <name val="Arial"/>
      <family val="2"/>
    </font>
    <font>
      <sz val="8"/>
      <name val="Tms Rmn"/>
    </font>
    <font>
      <sz val="11"/>
      <color rgb="FFFF0000"/>
      <name val="Calibri"/>
      <family val="2"/>
      <scheme val="minor"/>
    </font>
    <font>
      <b/>
      <sz val="11"/>
      <color theme="1"/>
      <name val="Calibri"/>
      <family val="2"/>
      <scheme val="minor"/>
    </font>
    <font>
      <sz val="10"/>
      <name val="Arial"/>
      <family val="2"/>
    </font>
    <font>
      <sz val="12"/>
      <color indexed="10"/>
      <name val="Calibri"/>
      <family val="2"/>
      <scheme val="minor"/>
    </font>
    <font>
      <u/>
      <sz val="11"/>
      <color theme="1"/>
      <name val="Calibri"/>
      <family val="2"/>
      <scheme val="minor"/>
    </font>
    <font>
      <b/>
      <u/>
      <sz val="11"/>
      <color theme="1"/>
      <name val="Calibri"/>
      <family val="2"/>
      <scheme val="minor"/>
    </font>
    <font>
      <b/>
      <sz val="11"/>
      <color rgb="FF00B050"/>
      <name val="Calibri"/>
      <family val="2"/>
      <scheme val="minor"/>
    </font>
    <font>
      <sz val="12"/>
      <name val="Calibri"/>
      <family val="2"/>
    </font>
  </fonts>
  <fills count="1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theme="8" tint="0.59999389629810485"/>
        <bgColor indexed="64"/>
      </patternFill>
    </fill>
    <fill>
      <patternFill patternType="solid">
        <fgColor rgb="FFFFFF99"/>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rgb="FFFFFF66"/>
        <bgColor indexed="64"/>
      </patternFill>
    </fill>
    <fill>
      <patternFill patternType="solid">
        <fgColor theme="4"/>
      </patternFill>
    </fill>
    <fill>
      <patternFill patternType="solid">
        <fgColor theme="7"/>
      </patternFill>
    </fill>
    <fill>
      <patternFill patternType="solid">
        <fgColor rgb="FFFFFF00"/>
        <bgColor indexed="64"/>
      </patternFill>
    </fill>
    <fill>
      <patternFill patternType="solid">
        <fgColor theme="9"/>
        <bgColor indexed="64"/>
      </patternFill>
    </fill>
    <fill>
      <patternFill patternType="solid">
        <fgColor rgb="FF00B0F0"/>
        <bgColor indexed="64"/>
      </patternFill>
    </fill>
    <fill>
      <patternFill patternType="solid">
        <fgColor rgb="FFFF9900"/>
        <bgColor indexed="64"/>
      </patternFill>
    </fill>
  </fills>
  <borders count="41">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8"/>
      </bottom>
      <diagonal/>
    </border>
    <border>
      <left/>
      <right/>
      <top/>
      <bottom style="thin">
        <color indexed="8"/>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s>
  <cellStyleXfs count="229">
    <xf numFmtId="172" fontId="0" fillId="0" borderId="0" applyProtection="0"/>
    <xf numFmtId="0" fontId="15" fillId="0" borderId="0"/>
    <xf numFmtId="43" fontId="15" fillId="0" borderId="0" applyFont="0" applyFill="0" applyBorder="0" applyAlignment="0" applyProtection="0"/>
    <xf numFmtId="44" fontId="1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15" fillId="0" borderId="0" applyFont="0" applyFill="0" applyBorder="0" applyAlignment="0" applyProtection="0"/>
    <xf numFmtId="172" fontId="27" fillId="0" borderId="0" applyFill="0"/>
    <xf numFmtId="172" fontId="27" fillId="0" borderId="0">
      <alignment horizontal="center"/>
    </xf>
    <xf numFmtId="0" fontId="27" fillId="0" borderId="0" applyFill="0">
      <alignment horizontal="center"/>
    </xf>
    <xf numFmtId="172" fontId="28" fillId="0" borderId="32" applyFill="0"/>
    <xf numFmtId="0" fontId="15" fillId="0" borderId="0" applyFont="0" applyAlignment="0"/>
    <xf numFmtId="0" fontId="29" fillId="0" borderId="0" applyFill="0">
      <alignment vertical="top"/>
    </xf>
    <xf numFmtId="0" fontId="28" fillId="0" borderId="0" applyFill="0">
      <alignment horizontal="left" vertical="top"/>
    </xf>
    <xf numFmtId="172" fontId="16" fillId="0" borderId="9" applyFill="0"/>
    <xf numFmtId="0" fontId="15" fillId="0" borderId="0" applyNumberFormat="0" applyFont="0" applyAlignment="0"/>
    <xf numFmtId="0" fontId="29" fillId="0" borderId="0" applyFill="0">
      <alignment wrapText="1"/>
    </xf>
    <xf numFmtId="0" fontId="28" fillId="0" borderId="0" applyFill="0">
      <alignment horizontal="left" vertical="top" wrapText="1"/>
    </xf>
    <xf numFmtId="172" fontId="18" fillId="0" borderId="0" applyFill="0"/>
    <xf numFmtId="0" fontId="30" fillId="0" borderId="0" applyNumberFormat="0" applyFont="0" applyAlignment="0">
      <alignment horizontal="center"/>
    </xf>
    <xf numFmtId="0" fontId="31" fillId="0" borderId="0" applyFill="0">
      <alignment vertical="top" wrapText="1"/>
    </xf>
    <xf numFmtId="0" fontId="16" fillId="0" borderId="0" applyFill="0">
      <alignment horizontal="left" vertical="top" wrapText="1"/>
    </xf>
    <xf numFmtId="172" fontId="15" fillId="0" borderId="0" applyFill="0"/>
    <xf numFmtId="0" fontId="30" fillId="0" borderId="0" applyNumberFormat="0" applyFont="0" applyAlignment="0">
      <alignment horizontal="center"/>
    </xf>
    <xf numFmtId="0" fontId="32" fillId="0" borderId="0" applyFill="0">
      <alignment vertical="center" wrapText="1"/>
    </xf>
    <xf numFmtId="0" fontId="17" fillId="0" borderId="0">
      <alignment horizontal="left" vertical="center" wrapText="1"/>
    </xf>
    <xf numFmtId="172" fontId="33" fillId="0" borderId="0" applyFill="0"/>
    <xf numFmtId="0" fontId="30" fillId="0" borderId="0" applyNumberFormat="0" applyFont="0" applyAlignment="0">
      <alignment horizontal="center"/>
    </xf>
    <xf numFmtId="0" fontId="34" fillId="0" borderId="0" applyFill="0">
      <alignment horizontal="center" vertical="center" wrapText="1"/>
    </xf>
    <xf numFmtId="0" fontId="15" fillId="0" borderId="0" applyFill="0">
      <alignment horizontal="center" vertical="center" wrapText="1"/>
    </xf>
    <xf numFmtId="172" fontId="35" fillId="0" borderId="0" applyFill="0"/>
    <xf numFmtId="0" fontId="30" fillId="0" borderId="0" applyNumberFormat="0" applyFont="0" applyAlignment="0">
      <alignment horizontal="center"/>
    </xf>
    <xf numFmtId="0" fontId="36" fillId="0" borderId="0" applyFill="0">
      <alignment horizontal="center" vertical="center" wrapText="1"/>
    </xf>
    <xf numFmtId="0" fontId="37" fillId="0" borderId="0" applyFill="0">
      <alignment horizontal="center" vertical="center" wrapText="1"/>
    </xf>
    <xf numFmtId="172" fontId="38" fillId="0" borderId="0" applyFill="0"/>
    <xf numFmtId="0" fontId="30" fillId="0" borderId="0" applyNumberFormat="0" applyFont="0" applyAlignment="0">
      <alignment horizontal="center"/>
    </xf>
    <xf numFmtId="0" fontId="39" fillId="0" borderId="0">
      <alignment horizontal="center" wrapText="1"/>
    </xf>
    <xf numFmtId="0" fontId="35" fillId="0" borderId="0" applyFill="0">
      <alignment horizontal="center" wrapText="1"/>
    </xf>
    <xf numFmtId="3" fontId="15" fillId="0" borderId="0" applyFont="0" applyFill="0" applyBorder="0" applyAlignment="0" applyProtection="0"/>
    <xf numFmtId="5" fontId="15" fillId="0" borderId="0" applyFont="0" applyFill="0" applyBorder="0" applyAlignment="0" applyProtection="0"/>
    <xf numFmtId="14" fontId="15" fillId="0" borderId="0" applyFont="0" applyFill="0" applyBorder="0" applyAlignment="0" applyProtection="0"/>
    <xf numFmtId="2" fontId="15" fillId="0" borderId="0" applyFont="0" applyFill="0" applyBorder="0" applyAlignment="0" applyProtection="0"/>
    <xf numFmtId="38" fontId="27" fillId="3" borderId="0" applyNumberFormat="0" applyBorder="0" applyAlignment="0" applyProtection="0"/>
    <xf numFmtId="0" fontId="40" fillId="0" borderId="1"/>
    <xf numFmtId="0" fontId="41" fillId="0" borderId="0"/>
    <xf numFmtId="10" fontId="27" fillId="4" borderId="14" applyNumberFormat="0" applyBorder="0" applyAlignment="0" applyProtection="0"/>
    <xf numFmtId="175" fontId="42" fillId="0" borderId="0"/>
    <xf numFmtId="10" fontId="15" fillId="0" borderId="0" applyFont="0" applyFill="0" applyBorder="0" applyAlignment="0" applyProtection="0"/>
    <xf numFmtId="0" fontId="43" fillId="0" borderId="0" applyNumberFormat="0" applyFont="0" applyFill="0" applyBorder="0" applyAlignment="0" applyProtection="0">
      <alignment horizontal="left"/>
    </xf>
    <xf numFmtId="15" fontId="43" fillId="0" borderId="0" applyFont="0" applyFill="0" applyBorder="0" applyAlignment="0" applyProtection="0"/>
    <xf numFmtId="4" fontId="43" fillId="0" borderId="0" applyFont="0" applyFill="0" applyBorder="0" applyAlignment="0" applyProtection="0"/>
    <xf numFmtId="3" fontId="15" fillId="0" borderId="0">
      <alignment horizontal="left" vertical="top"/>
    </xf>
    <xf numFmtId="0" fontId="44" fillId="0" borderId="1">
      <alignment horizontal="center"/>
    </xf>
    <xf numFmtId="3" fontId="43" fillId="0" borderId="0" applyFont="0" applyFill="0" applyBorder="0" applyAlignment="0" applyProtection="0"/>
    <xf numFmtId="0" fontId="43" fillId="5" borderId="0" applyNumberFormat="0" applyFont="0" applyBorder="0" applyAlignment="0" applyProtection="0"/>
    <xf numFmtId="3" fontId="15" fillId="0" borderId="0">
      <alignment horizontal="right" vertical="top"/>
    </xf>
    <xf numFmtId="41" fontId="17" fillId="3" borderId="13" applyFill="0"/>
    <xf numFmtId="0" fontId="45" fillId="0" borderId="0">
      <alignment horizontal="left" indent="7"/>
    </xf>
    <xf numFmtId="41" fontId="17" fillId="0" borderId="13" applyFill="0">
      <alignment horizontal="left" indent="2"/>
    </xf>
    <xf numFmtId="172" fontId="46" fillId="0" borderId="4" applyFill="0">
      <alignment horizontal="right"/>
    </xf>
    <xf numFmtId="0" fontId="19" fillId="0" borderId="14" applyNumberFormat="0" applyFont="0" applyBorder="0">
      <alignment horizontal="right"/>
    </xf>
    <xf numFmtId="0" fontId="47" fillId="0" borderId="0" applyFill="0"/>
    <xf numFmtId="0" fontId="16" fillId="0" borderId="0" applyFill="0"/>
    <xf numFmtId="4" fontId="46" fillId="0" borderId="4" applyFill="0"/>
    <xf numFmtId="0" fontId="15" fillId="0" borderId="0" applyNumberFormat="0" applyFont="0" applyBorder="0" applyAlignment="0"/>
    <xf numFmtId="0" fontId="31" fillId="0" borderId="0" applyFill="0">
      <alignment horizontal="left" indent="1"/>
    </xf>
    <xf numFmtId="0" fontId="48" fillId="0" borderId="0" applyFill="0">
      <alignment horizontal="left" indent="1"/>
    </xf>
    <xf numFmtId="4" fontId="33" fillId="0" borderId="0" applyFill="0"/>
    <xf numFmtId="0" fontId="15" fillId="0" borderId="0" applyNumberFormat="0" applyFont="0" applyFill="0" applyBorder="0" applyAlignment="0"/>
    <xf numFmtId="0" fontId="31" fillId="0" borderId="0" applyFill="0">
      <alignment horizontal="left" indent="2"/>
    </xf>
    <xf numFmtId="0" fontId="16" fillId="0" borderId="0" applyFill="0">
      <alignment horizontal="left" indent="2"/>
    </xf>
    <xf numFmtId="4" fontId="33" fillId="0" borderId="0" applyFill="0"/>
    <xf numFmtId="0" fontId="15" fillId="0" borderId="0" applyNumberFormat="0" applyFont="0" applyBorder="0" applyAlignment="0"/>
    <xf numFmtId="0" fontId="49" fillId="0" borderId="0">
      <alignment horizontal="left" indent="3"/>
    </xf>
    <xf numFmtId="0" fontId="50" fillId="0" borderId="0" applyFill="0">
      <alignment horizontal="left" indent="3"/>
    </xf>
    <xf numFmtId="4" fontId="33" fillId="0" borderId="0" applyFill="0"/>
    <xf numFmtId="0" fontId="15" fillId="0" borderId="0" applyNumberFormat="0" applyFont="0" applyBorder="0" applyAlignment="0"/>
    <xf numFmtId="0" fontId="34" fillId="0" borderId="0">
      <alignment horizontal="left" indent="4"/>
    </xf>
    <xf numFmtId="0" fontId="15" fillId="0" borderId="0" applyFill="0">
      <alignment horizontal="left" indent="4"/>
    </xf>
    <xf numFmtId="4" fontId="35" fillId="0" borderId="0" applyFill="0"/>
    <xf numFmtId="0" fontId="15" fillId="0" borderId="0" applyNumberFormat="0" applyFont="0" applyBorder="0" applyAlignment="0"/>
    <xf numFmtId="0" fontId="36" fillId="0" borderId="0">
      <alignment horizontal="left" indent="5"/>
    </xf>
    <xf numFmtId="0" fontId="37" fillId="0" borderId="0" applyFill="0">
      <alignment horizontal="left" indent="5"/>
    </xf>
    <xf numFmtId="4" fontId="38" fillId="0" borderId="0" applyFill="0"/>
    <xf numFmtId="0" fontId="15" fillId="0" borderId="0" applyNumberFormat="0" applyFont="0" applyFill="0" applyBorder="0" applyAlignment="0"/>
    <xf numFmtId="0" fontId="39" fillId="0" borderId="0" applyFill="0">
      <alignment horizontal="left" indent="6"/>
    </xf>
    <xf numFmtId="0" fontId="35" fillId="0" borderId="0" applyFill="0">
      <alignment horizontal="left" indent="6"/>
    </xf>
    <xf numFmtId="0" fontId="51" fillId="0" borderId="0" applyNumberFormat="0" applyBorder="0" applyAlignment="0"/>
    <xf numFmtId="0" fontId="52" fillId="0" borderId="0" applyNumberFormat="0" applyBorder="0" applyAlignment="0"/>
    <xf numFmtId="0" fontId="53" fillId="0" borderId="0" applyNumberFormat="0" applyBorder="0" applyAlignment="0"/>
    <xf numFmtId="0" fontId="51" fillId="0" borderId="0" applyNumberFormat="0" applyBorder="0" applyAlignment="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5" fillId="0" borderId="0"/>
    <xf numFmtId="172" fontId="14" fillId="0" borderId="0" applyProtection="0"/>
    <xf numFmtId="39" fontId="14" fillId="0" borderId="0"/>
    <xf numFmtId="0" fontId="4" fillId="0" borderId="0"/>
    <xf numFmtId="0" fontId="57" fillId="12" borderId="0" applyNumberFormat="0" applyBorder="0" applyAlignment="0" applyProtection="0"/>
    <xf numFmtId="39" fontId="1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4"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6" fontId="15" fillId="0" borderId="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0" fontId="4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5" fillId="0" borderId="0" applyFont="0" applyFill="0" applyBorder="0" applyAlignment="0" applyProtection="0"/>
    <xf numFmtId="43" fontId="58" fillId="0" borderId="0" applyFont="0" applyFill="0" applyBorder="0" applyAlignment="0" applyProtection="0"/>
    <xf numFmtId="7" fontId="15" fillId="0" borderId="0" applyFont="0" applyFill="0" applyBorder="0" applyAlignment="0" applyProtection="0"/>
    <xf numFmtId="44" fontId="15" fillId="0" borderId="0" applyFont="0" applyFill="0" applyBorder="0" applyAlignment="0" applyProtection="0"/>
    <xf numFmtId="44" fontId="58" fillId="0" borderId="0" applyFont="0" applyFill="0" applyBorder="0" applyAlignment="0" applyProtection="0"/>
    <xf numFmtId="44" fontId="14" fillId="0" borderId="0" applyFont="0" applyFill="0" applyBorder="0" applyAlignment="0" applyProtection="0"/>
    <xf numFmtId="44" fontId="58" fillId="0" borderId="0" applyFont="0" applyFill="0" applyBorder="0" applyAlignment="0" applyProtection="0"/>
    <xf numFmtId="44" fontId="15" fillId="0" borderId="0" applyFont="0" applyFill="0" applyBorder="0" applyAlignment="0" applyProtection="0"/>
    <xf numFmtId="44" fontId="4" fillId="0" borderId="0" applyFont="0" applyFill="0" applyBorder="0" applyAlignment="0" applyProtection="0"/>
    <xf numFmtId="177" fontId="59" fillId="0" borderId="0"/>
    <xf numFmtId="0" fontId="58" fillId="0" borderId="0"/>
    <xf numFmtId="172" fontId="14" fillId="0" borderId="0" applyProtection="0"/>
    <xf numFmtId="0" fontId="22" fillId="0" borderId="0"/>
    <xf numFmtId="0" fontId="58" fillId="0" borderId="0"/>
    <xf numFmtId="0" fontId="58" fillId="0" borderId="0"/>
    <xf numFmtId="0" fontId="15" fillId="0" borderId="0"/>
    <xf numFmtId="172" fontId="14" fillId="0" borderId="0" applyProtection="0"/>
    <xf numFmtId="0" fontId="60" fillId="0" borderId="0"/>
    <xf numFmtId="0" fontId="5" fillId="0" borderId="0"/>
    <xf numFmtId="0" fontId="5" fillId="0" borderId="0"/>
    <xf numFmtId="0" fontId="5" fillId="0" borderId="0"/>
    <xf numFmtId="0" fontId="5" fillId="0" borderId="0"/>
    <xf numFmtId="0" fontId="14" fillId="0" borderId="0"/>
    <xf numFmtId="0" fontId="14"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8" fillId="0" borderId="0" applyFont="0" applyFill="0" applyBorder="0" applyAlignment="0" applyProtection="0"/>
    <xf numFmtId="9" fontId="14" fillId="0" borderId="0" applyFont="0" applyFill="0" applyBorder="0" applyAlignment="0" applyProtection="0"/>
    <xf numFmtId="0" fontId="57" fillId="11" borderId="0" applyNumberFormat="0" applyBorder="0" applyAlignment="0" applyProtection="0"/>
    <xf numFmtId="0" fontId="63" fillId="0" borderId="0"/>
    <xf numFmtId="44" fontId="14" fillId="0" borderId="0" applyFont="0" applyFill="0" applyBorder="0" applyAlignment="0" applyProtection="0"/>
    <xf numFmtId="0" fontId="15" fillId="0" borderId="0"/>
    <xf numFmtId="0" fontId="3" fillId="0" borderId="0"/>
    <xf numFmtId="44" fontId="3" fillId="0" borderId="0" applyFont="0" applyFill="0" applyBorder="0" applyAlignment="0" applyProtection="0"/>
    <xf numFmtId="0" fontId="2" fillId="0" borderId="0"/>
    <xf numFmtId="44" fontId="2" fillId="0" borderId="0" applyFont="0" applyFill="0" applyBorder="0" applyAlignment="0" applyProtection="0"/>
    <xf numFmtId="9" fontId="14" fillId="0" borderId="0" applyFont="0" applyFill="0" applyBorder="0" applyAlignment="0" applyProtection="0"/>
  </cellStyleXfs>
  <cellXfs count="543">
    <xf numFmtId="172" fontId="0" fillId="0" borderId="0" xfId="0" applyAlignment="1"/>
    <xf numFmtId="172" fontId="6" fillId="0" borderId="0" xfId="0" applyFont="1" applyAlignment="1"/>
    <xf numFmtId="0" fontId="6" fillId="0" borderId="0" xfId="0" applyNumberFormat="1" applyFont="1" applyAlignment="1"/>
    <xf numFmtId="3" fontId="6" fillId="0" borderId="0" xfId="0" applyNumberFormat="1" applyFont="1" applyAlignment="1"/>
    <xf numFmtId="3" fontId="6" fillId="2" borderId="0" xfId="0" applyNumberFormat="1" applyFont="1" applyFill="1" applyBorder="1" applyAlignment="1"/>
    <xf numFmtId="3" fontId="6" fillId="2" borderId="1" xfId="0" applyNumberFormat="1" applyFont="1" applyFill="1" applyBorder="1" applyAlignment="1"/>
    <xf numFmtId="3" fontId="6" fillId="2" borderId="0" xfId="0" applyNumberFormat="1" applyFont="1" applyFill="1" applyAlignment="1"/>
    <xf numFmtId="0" fontId="23" fillId="0" borderId="0" xfId="4" applyFont="1"/>
    <xf numFmtId="0" fontId="24" fillId="0" borderId="0" xfId="4" applyFont="1" applyAlignment="1">
      <alignment horizontal="centerContinuous"/>
    </xf>
    <xf numFmtId="0" fontId="23" fillId="0" borderId="0" xfId="1" applyFont="1"/>
    <xf numFmtId="0" fontId="24" fillId="0" borderId="30" xfId="4" applyFont="1" applyFill="1" applyBorder="1"/>
    <xf numFmtId="0" fontId="24" fillId="0" borderId="30" xfId="4" applyFont="1" applyBorder="1"/>
    <xf numFmtId="0" fontId="24" fillId="0" borderId="0" xfId="4" applyFont="1"/>
    <xf numFmtId="0" fontId="24" fillId="0" borderId="31" xfId="4" applyFont="1" applyBorder="1" applyAlignment="1">
      <alignment horizontal="center"/>
    </xf>
    <xf numFmtId="0" fontId="23" fillId="0" borderId="0" xfId="1" applyFont="1" applyFill="1"/>
    <xf numFmtId="0" fontId="23" fillId="0" borderId="0" xfId="5" applyFont="1" applyFill="1"/>
    <xf numFmtId="0" fontId="24" fillId="0" borderId="0" xfId="5" applyFont="1" applyFill="1" applyAlignment="1">
      <alignment horizontal="centerContinuous"/>
    </xf>
    <xf numFmtId="0" fontId="24" fillId="0" borderId="30" xfId="5" applyFont="1" applyFill="1" applyBorder="1"/>
    <xf numFmtId="0" fontId="24" fillId="0" borderId="0" xfId="5" applyFont="1" applyFill="1"/>
    <xf numFmtId="0" fontId="24" fillId="0" borderId="0" xfId="6" applyFont="1" applyFill="1"/>
    <xf numFmtId="0" fontId="23" fillId="0" borderId="0" xfId="6" applyFont="1" applyFill="1"/>
    <xf numFmtId="0" fontId="23" fillId="0" borderId="0" xfId="7" applyFont="1" applyFill="1"/>
    <xf numFmtId="0" fontId="24" fillId="0" borderId="0" xfId="8" applyFont="1" applyFill="1"/>
    <xf numFmtId="0" fontId="23" fillId="0" borderId="0" xfId="8" applyFont="1" applyFill="1"/>
    <xf numFmtId="0" fontId="24" fillId="0" borderId="0" xfId="7" applyFont="1" applyFill="1"/>
    <xf numFmtId="0" fontId="24" fillId="0" borderId="0" xfId="9" applyFont="1" applyFill="1"/>
    <xf numFmtId="0" fontId="23" fillId="0" borderId="0" xfId="9" applyFont="1" applyFill="1"/>
    <xf numFmtId="0" fontId="26" fillId="0" borderId="0" xfId="10" applyFont="1" applyAlignment="1" applyProtection="1">
      <alignment horizontal="centerContinuous"/>
    </xf>
    <xf numFmtId="0" fontId="26" fillId="0" borderId="0" xfId="10" applyFont="1"/>
    <xf numFmtId="14" fontId="26" fillId="0" borderId="0" xfId="10" applyNumberFormat="1" applyFont="1" applyAlignment="1" applyProtection="1">
      <alignment horizontal="centerContinuous"/>
    </xf>
    <xf numFmtId="0" fontId="26" fillId="0" borderId="0" xfId="10" applyFont="1" applyProtection="1"/>
    <xf numFmtId="0" fontId="26" fillId="0" borderId="0" xfId="10" applyFont="1" applyAlignment="1" applyProtection="1">
      <alignment horizontal="center"/>
    </xf>
    <xf numFmtId="0" fontId="26" fillId="0" borderId="31" xfId="10" applyFont="1" applyBorder="1" applyAlignment="1" applyProtection="1">
      <alignment horizontal="centerContinuous"/>
    </xf>
    <xf numFmtId="0" fontId="26" fillId="0" borderId="31" xfId="10" applyFont="1" applyBorder="1" applyAlignment="1" applyProtection="1">
      <alignment horizontal="center"/>
    </xf>
    <xf numFmtId="39" fontId="26" fillId="0" borderId="0" xfId="10" applyNumberFormat="1" applyFont="1" applyProtection="1"/>
    <xf numFmtId="10" fontId="26" fillId="0" borderId="0" xfId="10" applyNumberFormat="1" applyFont="1" applyProtection="1"/>
    <xf numFmtId="175" fontId="26" fillId="0" borderId="0" xfId="10" applyNumberFormat="1" applyFont="1" applyProtection="1"/>
    <xf numFmtId="0" fontId="26" fillId="6" borderId="0" xfId="10" applyFont="1" applyFill="1" applyProtection="1"/>
    <xf numFmtId="0" fontId="26" fillId="8" borderId="0" xfId="10" applyFont="1" applyFill="1" applyProtection="1"/>
    <xf numFmtId="39" fontId="26" fillId="8" borderId="0" xfId="10" applyNumberFormat="1" applyFont="1" applyFill="1" applyProtection="1"/>
    <xf numFmtId="0" fontId="26" fillId="8" borderId="0" xfId="10" applyFont="1" applyFill="1"/>
    <xf numFmtId="0" fontId="26" fillId="9" borderId="0" xfId="10" applyFont="1" applyFill="1"/>
    <xf numFmtId="0" fontId="26" fillId="9" borderId="0" xfId="10" applyFont="1" applyFill="1" applyProtection="1"/>
    <xf numFmtId="39" fontId="26" fillId="9" borderId="0" xfId="10" applyNumberFormat="1" applyFont="1" applyFill="1" applyProtection="1"/>
    <xf numFmtId="0" fontId="26" fillId="7" borderId="0" xfId="10" applyFont="1" applyFill="1"/>
    <xf numFmtId="0" fontId="26" fillId="6" borderId="0" xfId="10" applyFont="1" applyFill="1"/>
    <xf numFmtId="0" fontId="23" fillId="0" borderId="8" xfId="1" applyFont="1" applyBorder="1"/>
    <xf numFmtId="0" fontId="23" fillId="0" borderId="10" xfId="1" applyFont="1" applyBorder="1"/>
    <xf numFmtId="0" fontId="23" fillId="0" borderId="0" xfId="1" applyFont="1" applyBorder="1"/>
    <xf numFmtId="0" fontId="23" fillId="0" borderId="8" xfId="1" applyFont="1" applyBorder="1" applyAlignment="1">
      <alignment horizontal="center"/>
    </xf>
    <xf numFmtId="0" fontId="23" fillId="0" borderId="11" xfId="1" applyFont="1" applyBorder="1" applyAlignment="1">
      <alignment horizontal="center"/>
    </xf>
    <xf numFmtId="0" fontId="23" fillId="0" borderId="0" xfId="1" applyFont="1" applyBorder="1" applyAlignment="1">
      <alignment horizontal="center"/>
    </xf>
    <xf numFmtId="0" fontId="23" fillId="0" borderId="0" xfId="1" applyFont="1" applyBorder="1" applyAlignment="1">
      <alignment horizontal="left"/>
    </xf>
    <xf numFmtId="0" fontId="23" fillId="0" borderId="14" xfId="1" applyFont="1" applyBorder="1" applyAlignment="1">
      <alignment horizontal="center"/>
    </xf>
    <xf numFmtId="0" fontId="23" fillId="0" borderId="7" xfId="1" applyFont="1" applyBorder="1" applyAlignment="1">
      <alignment horizontal="center"/>
    </xf>
    <xf numFmtId="0" fontId="23" fillId="0" borderId="12" xfId="1" applyFont="1" applyBorder="1" applyAlignment="1">
      <alignment horizontal="center"/>
    </xf>
    <xf numFmtId="173" fontId="23" fillId="0" borderId="0" xfId="3" applyNumberFormat="1" applyFont="1"/>
    <xf numFmtId="173" fontId="23" fillId="0" borderId="0" xfId="3" applyNumberFormat="1" applyFont="1" applyBorder="1"/>
    <xf numFmtId="173" fontId="23" fillId="0" borderId="29" xfId="3" applyNumberFormat="1" applyFont="1" applyBorder="1"/>
    <xf numFmtId="0" fontId="54" fillId="0" borderId="0" xfId="10" applyFont="1"/>
    <xf numFmtId="173" fontId="26" fillId="0" borderId="0" xfId="3" applyNumberFormat="1" applyFont="1"/>
    <xf numFmtId="0" fontId="26" fillId="0" borderId="1" xfId="10" applyFont="1" applyBorder="1"/>
    <xf numFmtId="0" fontId="54" fillId="0" borderId="1" xfId="10" applyFont="1" applyBorder="1"/>
    <xf numFmtId="173" fontId="26" fillId="0" borderId="1" xfId="3" applyNumberFormat="1" applyFont="1" applyBorder="1"/>
    <xf numFmtId="174" fontId="26" fillId="0" borderId="0" xfId="2" applyNumberFormat="1" applyFont="1"/>
    <xf numFmtId="0" fontId="26" fillId="0" borderId="0" xfId="10" applyFont="1" applyFill="1" applyProtection="1"/>
    <xf numFmtId="0" fontId="26" fillId="0" borderId="0" xfId="10" applyFont="1" applyFill="1" applyAlignment="1" applyProtection="1">
      <alignment horizontal="center"/>
    </xf>
    <xf numFmtId="10" fontId="26" fillId="0" borderId="0" xfId="10" applyNumberFormat="1" applyFont="1" applyFill="1" applyProtection="1"/>
    <xf numFmtId="0" fontId="26" fillId="0" borderId="0" xfId="10" applyFont="1" applyFill="1"/>
    <xf numFmtId="10" fontId="26" fillId="0" borderId="0" xfId="10" applyNumberFormat="1" applyFont="1" applyFill="1" applyBorder="1" applyProtection="1"/>
    <xf numFmtId="39" fontId="26" fillId="0" borderId="0" xfId="10" applyNumberFormat="1" applyFont="1" applyFill="1" applyProtection="1"/>
    <xf numFmtId="174" fontId="26" fillId="0" borderId="1" xfId="2" applyNumberFormat="1" applyFont="1" applyBorder="1"/>
    <xf numFmtId="173" fontId="26" fillId="0" borderId="0" xfId="97" applyNumberFormat="1" applyFont="1"/>
    <xf numFmtId="173" fontId="54" fillId="0" borderId="0" xfId="97" applyNumberFormat="1" applyFont="1"/>
    <xf numFmtId="173" fontId="26" fillId="0" borderId="0" xfId="97" applyNumberFormat="1" applyFont="1" applyProtection="1"/>
    <xf numFmtId="174" fontId="23" fillId="0" borderId="0" xfId="96" applyNumberFormat="1" applyFont="1" applyFill="1"/>
    <xf numFmtId="174" fontId="24" fillId="0" borderId="0" xfId="96" applyNumberFormat="1" applyFont="1" applyFill="1" applyAlignment="1">
      <alignment horizontal="centerContinuous"/>
    </xf>
    <xf numFmtId="174" fontId="24" fillId="0" borderId="30" xfId="96" applyNumberFormat="1" applyFont="1" applyFill="1" applyBorder="1"/>
    <xf numFmtId="174" fontId="24" fillId="0" borderId="0" xfId="96" applyNumberFormat="1" applyFont="1" applyFill="1"/>
    <xf numFmtId="174" fontId="25" fillId="0" borderId="0" xfId="96" applyNumberFormat="1" applyFont="1" applyFill="1"/>
    <xf numFmtId="174" fontId="25" fillId="0" borderId="0" xfId="96" applyNumberFormat="1" applyFont="1" applyFill="1" applyProtection="1"/>
    <xf numFmtId="174" fontId="23" fillId="0" borderId="31" xfId="96" applyNumberFormat="1" applyFont="1" applyFill="1" applyBorder="1" applyProtection="1"/>
    <xf numFmtId="174" fontId="23" fillId="0" borderId="0" xfId="96" applyNumberFormat="1" applyFont="1" applyFill="1" applyBorder="1" applyProtection="1"/>
    <xf numFmtId="174" fontId="25" fillId="0" borderId="31" xfId="96" applyNumberFormat="1" applyFont="1" applyFill="1" applyBorder="1" applyProtection="1"/>
    <xf numFmtId="174" fontId="23" fillId="0" borderId="0" xfId="96" applyNumberFormat="1" applyFont="1" applyFill="1" applyProtection="1"/>
    <xf numFmtId="174" fontId="24" fillId="0" borderId="0" xfId="96" applyNumberFormat="1" applyFont="1" applyFill="1" applyProtection="1"/>
    <xf numFmtId="174" fontId="23" fillId="0" borderId="30" xfId="96" applyNumberFormat="1" applyFont="1" applyFill="1" applyBorder="1" applyProtection="1"/>
    <xf numFmtId="174" fontId="23" fillId="0" borderId="0" xfId="96" applyNumberFormat="1" applyFont="1" applyProtection="1"/>
    <xf numFmtId="174" fontId="23" fillId="0" borderId="31" xfId="96" applyNumberFormat="1" applyFont="1" applyBorder="1" applyProtection="1"/>
    <xf numFmtId="174" fontId="23" fillId="0" borderId="0" xfId="96" applyNumberFormat="1" applyFont="1"/>
    <xf numFmtId="174" fontId="23" fillId="0" borderId="29" xfId="96" applyNumberFormat="1" applyFont="1" applyBorder="1" applyProtection="1"/>
    <xf numFmtId="0" fontId="23" fillId="0" borderId="14" xfId="1" applyFont="1" applyFill="1" applyBorder="1" applyAlignment="1">
      <alignment horizontal="center"/>
    </xf>
    <xf numFmtId="174" fontId="23" fillId="0" borderId="4" xfId="96" applyNumberFormat="1" applyFont="1" applyFill="1" applyBorder="1" applyProtection="1"/>
    <xf numFmtId="0" fontId="26" fillId="0" borderId="0" xfId="10" applyFont="1" applyAlignment="1">
      <alignment horizontal="center"/>
    </xf>
    <xf numFmtId="7" fontId="26" fillId="0" borderId="0" xfId="10" applyNumberFormat="1" applyFont="1" applyProtection="1"/>
    <xf numFmtId="39" fontId="26" fillId="0" borderId="31" xfId="10" applyNumberFormat="1" applyFont="1" applyBorder="1" applyProtection="1"/>
    <xf numFmtId="39" fontId="26" fillId="0" borderId="0" xfId="10" applyNumberFormat="1" applyFont="1" applyBorder="1" applyProtection="1"/>
    <xf numFmtId="39" fontId="26" fillId="0" borderId="30" xfId="10" applyNumberFormat="1" applyFont="1" applyBorder="1" applyProtection="1"/>
    <xf numFmtId="0" fontId="26" fillId="0" borderId="0" xfId="10" applyFont="1" applyBorder="1" applyProtection="1"/>
    <xf numFmtId="173" fontId="23" fillId="0" borderId="0" xfId="1" applyNumberFormat="1" applyFont="1"/>
    <xf numFmtId="173" fontId="26" fillId="0" borderId="0" xfId="10" applyNumberFormat="1" applyFont="1"/>
    <xf numFmtId="173" fontId="23" fillId="0" borderId="0" xfId="3" applyNumberFormat="1" applyFont="1" applyFill="1"/>
    <xf numFmtId="0" fontId="26" fillId="8" borderId="0" xfId="10" applyFont="1" applyFill="1" applyBorder="1" applyProtection="1"/>
    <xf numFmtId="0" fontId="26" fillId="0" borderId="0" xfId="10" applyFont="1" applyFill="1" applyBorder="1" applyAlignment="1" applyProtection="1">
      <alignment horizontal="center"/>
    </xf>
    <xf numFmtId="0" fontId="26" fillId="0" borderId="0" xfId="10" applyFont="1" applyFill="1" applyBorder="1" applyProtection="1"/>
    <xf numFmtId="39" fontId="26" fillId="0" borderId="0" xfId="10" applyNumberFormat="1" applyFont="1" applyFill="1" applyBorder="1" applyProtection="1"/>
    <xf numFmtId="39" fontId="26" fillId="0" borderId="0" xfId="10" applyNumberFormat="1" applyFont="1"/>
    <xf numFmtId="39" fontId="26" fillId="0" borderId="0" xfId="10" applyNumberFormat="1" applyFont="1" applyFill="1"/>
    <xf numFmtId="173" fontId="23" fillId="0" borderId="0" xfId="3" applyNumberFormat="1" applyFont="1" applyFill="1" applyBorder="1"/>
    <xf numFmtId="172" fontId="56" fillId="0" borderId="0" xfId="0" applyFont="1" applyAlignment="1"/>
    <xf numFmtId="0" fontId="56" fillId="0" borderId="0" xfId="96" applyNumberFormat="1" applyFont="1" applyAlignment="1">
      <alignment horizontal="center"/>
    </xf>
    <xf numFmtId="0" fontId="56" fillId="0" borderId="0" xfId="0" applyNumberFormat="1" applyFont="1" applyAlignment="1"/>
    <xf numFmtId="172" fontId="6" fillId="0" borderId="0" xfId="201" applyFont="1" applyAlignment="1"/>
    <xf numFmtId="172" fontId="6" fillId="0" borderId="0" xfId="201" applyFont="1" applyAlignment="1">
      <alignment horizontal="right"/>
    </xf>
    <xf numFmtId="172" fontId="56" fillId="0" borderId="0" xfId="201" applyFont="1" applyAlignment="1"/>
    <xf numFmtId="0" fontId="6" fillId="0" borderId="0" xfId="201" applyNumberFormat="1" applyFont="1" applyAlignment="1" applyProtection="1">
      <protection locked="0"/>
    </xf>
    <xf numFmtId="0" fontId="6" fillId="0" borderId="0" xfId="201" applyNumberFormat="1" applyFont="1" applyAlignment="1" applyProtection="1">
      <alignment horizontal="left"/>
      <protection locked="0"/>
    </xf>
    <xf numFmtId="0" fontId="6" fillId="0" borderId="0" xfId="201" applyNumberFormat="1" applyFont="1" applyProtection="1">
      <protection locked="0"/>
    </xf>
    <xf numFmtId="0" fontId="6" fillId="0" borderId="0" xfId="201" applyNumberFormat="1" applyFont="1"/>
    <xf numFmtId="0" fontId="6" fillId="0" borderId="0" xfId="201" applyNumberFormat="1" applyFont="1" applyAlignment="1">
      <alignment horizontal="right"/>
    </xf>
    <xf numFmtId="0" fontId="6" fillId="0" borderId="0" xfId="201" applyNumberFormat="1" applyFont="1" applyAlignment="1">
      <alignment horizontal="center"/>
    </xf>
    <xf numFmtId="0" fontId="6" fillId="2" borderId="0" xfId="201" applyNumberFormat="1" applyFont="1" applyFill="1" applyProtection="1">
      <protection locked="0"/>
    </xf>
    <xf numFmtId="172" fontId="6" fillId="2" borderId="0" xfId="201" applyFont="1" applyFill="1" applyAlignment="1"/>
    <xf numFmtId="0" fontId="6" fillId="2" borderId="0" xfId="201" applyNumberFormat="1" applyFont="1" applyFill="1"/>
    <xf numFmtId="0" fontId="6" fillId="2" borderId="0" xfId="201" applyNumberFormat="1" applyFont="1" applyFill="1" applyAlignment="1" applyProtection="1">
      <alignment horizontal="right"/>
      <protection locked="0"/>
    </xf>
    <xf numFmtId="3" fontId="6" fillId="0" borderId="0" xfId="201" applyNumberFormat="1" applyFont="1" applyAlignment="1"/>
    <xf numFmtId="0" fontId="6" fillId="0" borderId="0" xfId="201" applyNumberFormat="1" applyFont="1" applyAlignment="1" applyProtection="1">
      <alignment horizontal="center"/>
      <protection locked="0"/>
    </xf>
    <xf numFmtId="49" fontId="6" fillId="7" borderId="0" xfId="201" applyNumberFormat="1" applyFont="1" applyFill="1"/>
    <xf numFmtId="0" fontId="6" fillId="7" borderId="0" xfId="201" applyNumberFormat="1" applyFont="1" applyFill="1"/>
    <xf numFmtId="49" fontId="6" fillId="0" borderId="0" xfId="201" applyNumberFormat="1" applyFont="1"/>
    <xf numFmtId="0" fontId="6" fillId="0" borderId="1" xfId="201" applyNumberFormat="1" applyFont="1" applyBorder="1" applyAlignment="1" applyProtection="1">
      <alignment horizontal="center"/>
      <protection locked="0"/>
    </xf>
    <xf numFmtId="3" fontId="6" fillId="0" borderId="0" xfId="201" applyNumberFormat="1" applyFont="1"/>
    <xf numFmtId="42" fontId="6" fillId="0" borderId="0" xfId="201" applyNumberFormat="1" applyFont="1"/>
    <xf numFmtId="0" fontId="6" fillId="0" borderId="0" xfId="201" applyNumberFormat="1" applyFont="1" applyAlignment="1"/>
    <xf numFmtId="0" fontId="6" fillId="0" borderId="1" xfId="201" applyNumberFormat="1" applyFont="1" applyBorder="1" applyAlignment="1" applyProtection="1">
      <alignment horizontal="centerContinuous"/>
      <protection locked="0"/>
    </xf>
    <xf numFmtId="166" fontId="6" fillId="0" borderId="0" xfId="201" applyNumberFormat="1" applyFont="1" applyAlignment="1"/>
    <xf numFmtId="3" fontId="6" fillId="2" borderId="0" xfId="201" applyNumberFormat="1" applyFont="1" applyFill="1"/>
    <xf numFmtId="0" fontId="8" fillId="0" borderId="0" xfId="201" applyNumberFormat="1" applyFont="1"/>
    <xf numFmtId="3" fontId="6" fillId="0" borderId="1" xfId="201" applyNumberFormat="1" applyFont="1" applyBorder="1" applyAlignment="1"/>
    <xf numFmtId="3" fontId="6" fillId="0" borderId="0" xfId="201" applyNumberFormat="1" applyFont="1" applyAlignment="1">
      <alignment horizontal="fill"/>
    </xf>
    <xf numFmtId="42" fontId="6" fillId="0" borderId="2" xfId="201" applyNumberFormat="1" applyFont="1" applyBorder="1" applyAlignment="1" applyProtection="1">
      <alignment horizontal="right"/>
      <protection locked="0"/>
    </xf>
    <xf numFmtId="3" fontId="6" fillId="0" borderId="0" xfId="201" applyNumberFormat="1" applyFont="1" applyFill="1" applyBorder="1"/>
    <xf numFmtId="3" fontId="6" fillId="2" borderId="0" xfId="201" applyNumberFormat="1" applyFont="1" applyFill="1" applyBorder="1"/>
    <xf numFmtId="3" fontId="6" fillId="2" borderId="1" xfId="201" applyNumberFormat="1" applyFont="1" applyFill="1" applyBorder="1"/>
    <xf numFmtId="168" fontId="6" fillId="0" borderId="0" xfId="201" applyNumberFormat="1" applyFont="1"/>
    <xf numFmtId="168" fontId="6" fillId="0" borderId="0" xfId="201" applyNumberFormat="1" applyFont="1" applyAlignment="1">
      <alignment horizontal="center"/>
    </xf>
    <xf numFmtId="172" fontId="6" fillId="0" borderId="0" xfId="201" applyFont="1" applyAlignment="1">
      <alignment horizontal="center"/>
    </xf>
    <xf numFmtId="171" fontId="6" fillId="0" borderId="0" xfId="201" applyNumberFormat="1" applyFont="1" applyAlignment="1"/>
    <xf numFmtId="171" fontId="6" fillId="2" borderId="0" xfId="201" applyNumberFormat="1" applyFont="1" applyFill="1" applyProtection="1">
      <protection locked="0"/>
    </xf>
    <xf numFmtId="171" fontId="6" fillId="0" borderId="0" xfId="201" applyNumberFormat="1" applyFont="1" applyProtection="1">
      <protection locked="0"/>
    </xf>
    <xf numFmtId="0" fontId="6" fillId="0" borderId="0" xfId="201" applyNumberFormat="1" applyFont="1" applyAlignment="1">
      <alignment horizontal="left"/>
    </xf>
    <xf numFmtId="49" fontId="6" fillId="0" borderId="0" xfId="201" applyNumberFormat="1" applyFont="1" applyAlignment="1">
      <alignment horizontal="left"/>
    </xf>
    <xf numFmtId="49" fontId="6" fillId="0" borderId="0" xfId="201" applyNumberFormat="1" applyFont="1" applyAlignment="1">
      <alignment horizontal="center"/>
    </xf>
    <xf numFmtId="3" fontId="9" fillId="0" borderId="0" xfId="201" applyNumberFormat="1" applyFont="1" applyAlignment="1">
      <alignment horizontal="center"/>
    </xf>
    <xf numFmtId="0" fontId="9" fillId="0" borderId="0" xfId="201" applyNumberFormat="1" applyFont="1" applyAlignment="1" applyProtection="1">
      <alignment horizontal="center"/>
      <protection locked="0"/>
    </xf>
    <xf numFmtId="0" fontId="9" fillId="0" borderId="0" xfId="201" applyNumberFormat="1" applyFont="1" applyAlignment="1"/>
    <xf numFmtId="172" fontId="9" fillId="0" borderId="0" xfId="201" applyFont="1" applyAlignment="1">
      <alignment horizontal="center"/>
    </xf>
    <xf numFmtId="3" fontId="9" fillId="0" borderId="0" xfId="201" applyNumberFormat="1" applyFont="1" applyAlignment="1"/>
    <xf numFmtId="165" fontId="6" fillId="0" borderId="0" xfId="201" applyNumberFormat="1" applyFont="1" applyAlignment="1"/>
    <xf numFmtId="3" fontId="6" fillId="2" borderId="1" xfId="201" applyNumberFormat="1" applyFont="1" applyFill="1" applyBorder="1" applyAlignment="1"/>
    <xf numFmtId="164" fontId="6" fillId="0" borderId="0" xfId="201" applyNumberFormat="1" applyFont="1" applyAlignment="1">
      <alignment horizontal="center"/>
    </xf>
    <xf numFmtId="3" fontId="6" fillId="2" borderId="0" xfId="221" applyNumberFormat="1" applyFont="1" applyFill="1" applyAlignment="1"/>
    <xf numFmtId="0" fontId="6" fillId="0" borderId="0" xfId="201" applyNumberFormat="1" applyFont="1" applyAlignment="1">
      <alignment horizontal="fill"/>
    </xf>
    <xf numFmtId="3" fontId="6" fillId="2" borderId="0" xfId="201" applyNumberFormat="1" applyFont="1" applyFill="1" applyAlignment="1"/>
    <xf numFmtId="165" fontId="6" fillId="0" borderId="0" xfId="201" applyNumberFormat="1" applyFont="1" applyAlignment="1">
      <alignment horizontal="right"/>
    </xf>
    <xf numFmtId="3" fontId="6" fillId="2" borderId="0" xfId="201" applyNumberFormat="1" applyFont="1" applyFill="1" applyBorder="1" applyAlignment="1"/>
    <xf numFmtId="3" fontId="6" fillId="0" borderId="0" xfId="201" applyNumberFormat="1" applyFont="1" applyAlignment="1">
      <alignment horizontal="center"/>
    </xf>
    <xf numFmtId="3" fontId="6" fillId="2" borderId="1" xfId="221" applyNumberFormat="1" applyFont="1" applyFill="1" applyBorder="1" applyAlignment="1"/>
    <xf numFmtId="0" fontId="6" fillId="0" borderId="0" xfId="221" applyNumberFormat="1" applyFont="1" applyAlignment="1"/>
    <xf numFmtId="172" fontId="6" fillId="0" borderId="1" xfId="201" applyFont="1" applyBorder="1" applyAlignment="1"/>
    <xf numFmtId="3" fontId="6" fillId="0" borderId="2" xfId="201" applyNumberFormat="1" applyFont="1" applyBorder="1" applyAlignment="1"/>
    <xf numFmtId="3" fontId="6" fillId="0" borderId="0" xfId="201" applyNumberFormat="1" applyFont="1" applyAlignment="1">
      <alignment horizontal="right"/>
    </xf>
    <xf numFmtId="0" fontId="6" fillId="0" borderId="0" xfId="201" applyNumberFormat="1" applyFont="1" applyFill="1" applyAlignment="1" applyProtection="1">
      <alignment horizontal="center"/>
      <protection locked="0"/>
    </xf>
    <xf numFmtId="0" fontId="6" fillId="0" borderId="0" xfId="201" applyNumberFormat="1" applyFont="1" applyFill="1" applyAlignment="1"/>
    <xf numFmtId="172" fontId="6" fillId="0" borderId="0" xfId="201" applyFont="1" applyFill="1" applyAlignment="1"/>
    <xf numFmtId="3" fontId="13" fillId="0" borderId="0" xfId="201" applyNumberFormat="1" applyFont="1" applyAlignment="1"/>
    <xf numFmtId="3" fontId="6" fillId="0" borderId="0" xfId="201" applyNumberFormat="1" applyFont="1" applyFill="1" applyAlignment="1"/>
    <xf numFmtId="0" fontId="6" fillId="0" borderId="0" xfId="201" applyNumberFormat="1" applyFont="1" applyFill="1" applyAlignment="1">
      <alignment horizontal="fill"/>
    </xf>
    <xf numFmtId="166" fontId="6" fillId="0" borderId="0" xfId="201" applyNumberFormat="1" applyFont="1" applyAlignment="1">
      <alignment horizontal="right"/>
    </xf>
    <xf numFmtId="10" fontId="6" fillId="0" borderId="0" xfId="201" applyNumberFormat="1" applyFont="1" applyAlignment="1">
      <alignment horizontal="left"/>
    </xf>
    <xf numFmtId="166" fontId="6" fillId="0" borderId="0" xfId="201" applyNumberFormat="1" applyFont="1" applyAlignment="1">
      <alignment horizontal="center"/>
    </xf>
    <xf numFmtId="164" fontId="6" fillId="0" borderId="0" xfId="201" applyNumberFormat="1" applyFont="1" applyAlignment="1">
      <alignment horizontal="left"/>
    </xf>
    <xf numFmtId="10" fontId="6" fillId="0" borderId="0" xfId="201" applyNumberFormat="1" applyFont="1" applyFill="1" applyAlignment="1">
      <alignment horizontal="right"/>
    </xf>
    <xf numFmtId="169" fontId="6" fillId="0" borderId="0" xfId="201" applyNumberFormat="1" applyFont="1" applyFill="1" applyAlignment="1">
      <alignment horizontal="right"/>
    </xf>
    <xf numFmtId="164" fontId="6" fillId="0" borderId="0" xfId="201" applyNumberFormat="1" applyFont="1" applyAlignment="1" applyProtection="1">
      <alignment horizontal="left"/>
      <protection locked="0"/>
    </xf>
    <xf numFmtId="3" fontId="6" fillId="0" borderId="0" xfId="201" applyNumberFormat="1" applyFont="1" applyFill="1" applyAlignment="1">
      <alignment horizontal="right"/>
    </xf>
    <xf numFmtId="167" fontId="6" fillId="0" borderId="0" xfId="201" applyNumberFormat="1" applyFont="1" applyAlignment="1"/>
    <xf numFmtId="3" fontId="6" fillId="0" borderId="0" xfId="201" applyNumberFormat="1" applyFont="1" applyBorder="1" applyAlignment="1"/>
    <xf numFmtId="0" fontId="6" fillId="2" borderId="0" xfId="201" applyNumberFormat="1" applyFont="1" applyFill="1" applyBorder="1" applyAlignment="1"/>
    <xf numFmtId="0" fontId="6" fillId="2" borderId="1" xfId="201" applyNumberFormat="1" applyFont="1" applyFill="1" applyBorder="1" applyAlignment="1"/>
    <xf numFmtId="3" fontId="6" fillId="0" borderId="2" xfId="201" applyNumberFormat="1" applyFont="1" applyFill="1" applyBorder="1" applyAlignment="1"/>
    <xf numFmtId="0" fontId="6" fillId="0" borderId="0" xfId="201" applyNumberFormat="1" applyFont="1" applyFill="1"/>
    <xf numFmtId="0" fontId="7" fillId="0" borderId="0" xfId="201" applyNumberFormat="1" applyFont="1" applyAlignment="1" applyProtection="1">
      <alignment horizontal="center"/>
      <protection locked="0"/>
    </xf>
    <xf numFmtId="172" fontId="7" fillId="0" borderId="0" xfId="201" applyFont="1" applyAlignment="1"/>
    <xf numFmtId="3" fontId="7" fillId="0" borderId="0" xfId="201" applyNumberFormat="1" applyFont="1" applyAlignment="1"/>
    <xf numFmtId="0" fontId="7" fillId="0" borderId="0" xfId="201" applyNumberFormat="1" applyFont="1"/>
    <xf numFmtId="0" fontId="10" fillId="0" borderId="0" xfId="201" applyNumberFormat="1" applyFont="1"/>
    <xf numFmtId="0" fontId="6" fillId="0" borderId="1" xfId="201" applyNumberFormat="1" applyFont="1" applyBorder="1" applyProtection="1">
      <protection locked="0"/>
    </xf>
    <xf numFmtId="0" fontId="6" fillId="0" borderId="1" xfId="201" applyNumberFormat="1" applyFont="1" applyBorder="1"/>
    <xf numFmtId="49" fontId="6" fillId="0" borderId="0" xfId="201" applyNumberFormat="1" applyFont="1" applyAlignment="1"/>
    <xf numFmtId="172" fontId="6" fillId="0" borderId="0" xfId="201" applyFont="1" applyFill="1" applyBorder="1" applyAlignment="1"/>
    <xf numFmtId="172" fontId="12" fillId="0" borderId="0" xfId="201" applyFont="1" applyFill="1" applyBorder="1" applyAlignment="1"/>
    <xf numFmtId="170" fontId="6" fillId="0" borderId="0" xfId="201" applyNumberFormat="1" applyFont="1" applyFill="1" applyBorder="1" applyAlignment="1"/>
    <xf numFmtId="3" fontId="8" fillId="0" borderId="0" xfId="201" applyNumberFormat="1" applyFont="1" applyFill="1" applyBorder="1" applyAlignment="1"/>
    <xf numFmtId="0" fontId="6" fillId="0" borderId="0" xfId="201" applyNumberFormat="1" applyFont="1" applyFill="1" applyBorder="1"/>
    <xf numFmtId="172" fontId="8" fillId="0" borderId="0" xfId="201" applyFont="1" applyFill="1" applyBorder="1" applyAlignment="1"/>
    <xf numFmtId="0" fontId="6" fillId="0" borderId="0" xfId="201" applyNumberFormat="1" applyFont="1" applyFill="1" applyBorder="1" applyAlignment="1">
      <alignment horizontal="center"/>
    </xf>
    <xf numFmtId="172" fontId="11" fillId="0" borderId="0" xfId="201" applyFont="1" applyFill="1" applyBorder="1"/>
    <xf numFmtId="165" fontId="6" fillId="0" borderId="0" xfId="201" applyNumberFormat="1" applyFont="1"/>
    <xf numFmtId="172" fontId="8" fillId="0" borderId="0" xfId="201" applyFont="1" applyFill="1" applyBorder="1"/>
    <xf numFmtId="3" fontId="6" fillId="0" borderId="0" xfId="201" applyNumberFormat="1" applyFont="1" applyFill="1" applyBorder="1" applyAlignment="1"/>
    <xf numFmtId="166" fontId="6" fillId="0" borderId="0" xfId="201" applyNumberFormat="1" applyFont="1"/>
    <xf numFmtId="3" fontId="6" fillId="0" borderId="1" xfId="201" applyNumberFormat="1" applyFont="1" applyBorder="1" applyAlignment="1">
      <alignment horizontal="center"/>
    </xf>
    <xf numFmtId="4" fontId="6" fillId="0" borderId="0" xfId="201" applyNumberFormat="1" applyFont="1" applyAlignment="1"/>
    <xf numFmtId="3" fontId="6" fillId="0" borderId="0" xfId="201" applyNumberFormat="1" applyFont="1" applyBorder="1" applyAlignment="1">
      <alignment horizontal="center"/>
    </xf>
    <xf numFmtId="0" fontId="6" fillId="0" borderId="0" xfId="201" applyNumberFormat="1" applyFont="1" applyFill="1" applyBorder="1" applyAlignment="1"/>
    <xf numFmtId="166" fontId="6" fillId="0" borderId="0" xfId="201" applyNumberFormat="1" applyFont="1" applyAlignment="1" applyProtection="1">
      <alignment horizontal="center"/>
      <protection locked="0"/>
    </xf>
    <xf numFmtId="0" fontId="6" fillId="0" borderId="1" xfId="201" applyNumberFormat="1" applyFont="1" applyBorder="1" applyAlignment="1"/>
    <xf numFmtId="170" fontId="6" fillId="2" borderId="0" xfId="201" applyNumberFormat="1" applyFont="1" applyFill="1" applyAlignment="1"/>
    <xf numFmtId="9" fontId="6" fillId="0" borderId="0" xfId="201" applyNumberFormat="1" applyFont="1" applyAlignment="1"/>
    <xf numFmtId="169" fontId="6" fillId="0" borderId="0" xfId="201" applyNumberFormat="1" applyFont="1" applyAlignment="1"/>
    <xf numFmtId="10" fontId="6" fillId="0" borderId="0" xfId="201" applyNumberFormat="1" applyFont="1" applyAlignment="1"/>
    <xf numFmtId="3" fontId="6" fillId="0" borderId="0" xfId="201" quotePrefix="1" applyNumberFormat="1" applyFont="1" applyAlignment="1"/>
    <xf numFmtId="9" fontId="6" fillId="0" borderId="1" xfId="201" applyNumberFormat="1" applyFont="1" applyBorder="1" applyAlignment="1"/>
    <xf numFmtId="169" fontId="6" fillId="0" borderId="1" xfId="201" applyNumberFormat="1" applyFont="1" applyBorder="1" applyAlignment="1"/>
    <xf numFmtId="9" fontId="6" fillId="0" borderId="0" xfId="201" applyNumberFormat="1" applyFont="1" applyFill="1" applyAlignment="1"/>
    <xf numFmtId="10" fontId="6" fillId="2" borderId="0" xfId="201" applyNumberFormat="1" applyFont="1" applyFill="1" applyAlignment="1"/>
    <xf numFmtId="0" fontId="7" fillId="0" borderId="0" xfId="201" applyNumberFormat="1" applyFont="1" applyProtection="1">
      <protection locked="0"/>
    </xf>
    <xf numFmtId="172" fontId="6" fillId="0" borderId="0" xfId="201" applyFont="1" applyFill="1" applyAlignment="1" applyProtection="1"/>
    <xf numFmtId="172" fontId="6" fillId="0" borderId="0" xfId="201" applyFont="1" applyBorder="1" applyAlignment="1"/>
    <xf numFmtId="0" fontId="6" fillId="0" borderId="0" xfId="201" applyNumberFormat="1" applyFont="1" applyBorder="1" applyProtection="1">
      <protection locked="0"/>
    </xf>
    <xf numFmtId="171" fontId="6" fillId="0" borderId="0" xfId="201" applyNumberFormat="1" applyFont="1" applyBorder="1" applyProtection="1">
      <protection locked="0"/>
    </xf>
    <xf numFmtId="170" fontId="6" fillId="0" borderId="0" xfId="201" applyNumberFormat="1" applyFont="1" applyFill="1" applyBorder="1" applyProtection="1"/>
    <xf numFmtId="170" fontId="6" fillId="2" borderId="0" xfId="201" applyNumberFormat="1" applyFont="1" applyFill="1" applyBorder="1" applyProtection="1"/>
    <xf numFmtId="170" fontId="6" fillId="2" borderId="0" xfId="201" applyNumberFormat="1" applyFont="1" applyFill="1" applyBorder="1" applyAlignment="1" applyProtection="1">
      <protection locked="0"/>
    </xf>
    <xf numFmtId="0" fontId="6" fillId="0" borderId="0" xfId="201" applyNumberFormat="1" applyFont="1" applyBorder="1" applyAlignment="1" applyProtection="1">
      <protection locked="0"/>
    </xf>
    <xf numFmtId="0" fontId="6" fillId="0" borderId="0" xfId="201" applyNumberFormat="1" applyFont="1" applyFill="1" applyBorder="1" applyAlignment="1" applyProtection="1">
      <protection locked="0"/>
    </xf>
    <xf numFmtId="0" fontId="6" fillId="0" borderId="0" xfId="201" applyNumberFormat="1" applyFont="1" applyFill="1" applyBorder="1" applyProtection="1">
      <protection locked="0"/>
    </xf>
    <xf numFmtId="0" fontId="6" fillId="0" borderId="1" xfId="201" applyNumberFormat="1" applyFont="1" applyFill="1" applyBorder="1" applyAlignment="1" applyProtection="1">
      <protection locked="0"/>
    </xf>
    <xf numFmtId="0" fontId="6" fillId="0" borderId="1" xfId="201" applyNumberFormat="1" applyFont="1" applyFill="1" applyBorder="1" applyProtection="1">
      <protection locked="0"/>
    </xf>
    <xf numFmtId="170" fontId="6" fillId="2" borderId="1" xfId="201" applyNumberFormat="1" applyFont="1" applyFill="1" applyBorder="1" applyAlignment="1" applyProtection="1">
      <protection locked="0"/>
    </xf>
    <xf numFmtId="170" fontId="6" fillId="0" borderId="0" xfId="201" applyNumberFormat="1" applyFont="1" applyFill="1" applyBorder="1" applyAlignment="1" applyProtection="1"/>
    <xf numFmtId="3" fontId="8" fillId="0" borderId="0" xfId="201" applyNumberFormat="1" applyFont="1" applyAlignment="1">
      <alignment horizontal="left"/>
    </xf>
    <xf numFmtId="172" fontId="6" fillId="0" borderId="0" xfId="201" applyNumberFormat="1" applyFont="1" applyAlignment="1" applyProtection="1">
      <protection locked="0"/>
    </xf>
    <xf numFmtId="0" fontId="7" fillId="0" borderId="0" xfId="201" applyNumberFormat="1" applyFont="1" applyAlignment="1" applyProtection="1">
      <protection locked="0"/>
    </xf>
    <xf numFmtId="3" fontId="6" fillId="0" borderId="0" xfId="201" applyNumberFormat="1" applyFont="1" applyProtection="1">
      <protection locked="0"/>
    </xf>
    <xf numFmtId="170" fontId="6" fillId="0" borderId="0" xfId="201" applyNumberFormat="1" applyFont="1" applyAlignment="1" applyProtection="1">
      <alignment horizontal="right"/>
      <protection locked="0"/>
    </xf>
    <xf numFmtId="170" fontId="6" fillId="0" borderId="0" xfId="201" applyNumberFormat="1" applyFont="1" applyProtection="1">
      <protection locked="0"/>
    </xf>
    <xf numFmtId="3" fontId="6" fillId="0" borderId="0" xfId="201" applyNumberFormat="1" applyFont="1" applyFill="1" applyAlignment="1" applyProtection="1"/>
    <xf numFmtId="0" fontId="6" fillId="0" borderId="0" xfId="201" applyNumberFormat="1" applyFont="1" applyAlignment="1" applyProtection="1">
      <alignment horizontal="left" indent="8"/>
      <protection locked="0"/>
    </xf>
    <xf numFmtId="0" fontId="6" fillId="0" borderId="0" xfId="201" applyNumberFormat="1" applyFont="1" applyAlignment="1" applyProtection="1">
      <alignment horizontal="center" vertical="top" wrapText="1"/>
      <protection locked="0"/>
    </xf>
    <xf numFmtId="0" fontId="6" fillId="0" borderId="0" xfId="201" applyNumberFormat="1" applyFont="1" applyFill="1" applyAlignment="1" applyProtection="1">
      <alignment horizontal="left" vertical="top" wrapText="1" indent="8"/>
      <protection locked="0"/>
    </xf>
    <xf numFmtId="0" fontId="6" fillId="0" borderId="0" xfId="201" applyNumberFormat="1" applyFont="1" applyFill="1" applyAlignment="1" applyProtection="1">
      <alignment vertical="top" wrapText="1"/>
      <protection locked="0"/>
    </xf>
    <xf numFmtId="10" fontId="6" fillId="2" borderId="0" xfId="201" applyNumberFormat="1" applyFont="1" applyFill="1" applyAlignment="1" applyProtection="1">
      <alignment vertical="top" wrapText="1"/>
      <protection locked="0"/>
    </xf>
    <xf numFmtId="3" fontId="6" fillId="0" borderId="0" xfId="201" applyNumberFormat="1" applyFont="1" applyAlignment="1">
      <alignment vertical="top" wrapText="1"/>
    </xf>
    <xf numFmtId="0" fontId="6" fillId="0" borderId="0" xfId="201" applyNumberFormat="1" applyFont="1" applyAlignment="1" applyProtection="1">
      <alignment vertical="top" wrapText="1"/>
      <protection locked="0"/>
    </xf>
    <xf numFmtId="0" fontId="8" fillId="0" borderId="0" xfId="201" applyNumberFormat="1" applyFont="1" applyFill="1" applyAlignment="1" applyProtection="1">
      <alignment horizontal="left"/>
      <protection locked="0"/>
    </xf>
    <xf numFmtId="172" fontId="6" fillId="0" borderId="0" xfId="201" applyFont="1" applyAlignment="1">
      <alignment horizontal="center" vertical="top" wrapText="1"/>
    </xf>
    <xf numFmtId="172" fontId="6" fillId="0" borderId="0" xfId="201" applyFont="1" applyFill="1" applyAlignment="1">
      <alignment horizontal="center" vertical="top" wrapText="1"/>
    </xf>
    <xf numFmtId="0" fontId="6" fillId="0" borderId="0" xfId="201" applyNumberFormat="1" applyFont="1" applyFill="1" applyAlignment="1">
      <alignment horizontal="left" vertical="top"/>
    </xf>
    <xf numFmtId="0" fontId="7" fillId="0" borderId="0" xfId="201" applyNumberFormat="1" applyFont="1" applyAlignment="1" applyProtection="1">
      <alignment vertical="top" wrapText="1"/>
      <protection locked="0"/>
    </xf>
    <xf numFmtId="0" fontId="6" fillId="0" borderId="0" xfId="201" applyNumberFormat="1" applyFont="1" applyFill="1" applyAlignment="1">
      <alignment vertical="top"/>
    </xf>
    <xf numFmtId="39" fontId="26" fillId="13" borderId="31" xfId="10" applyNumberFormat="1" applyFont="1" applyFill="1" applyBorder="1" applyProtection="1"/>
    <xf numFmtId="0" fontId="26" fillId="10" borderId="33" xfId="10" applyFont="1" applyFill="1" applyBorder="1" applyProtection="1"/>
    <xf numFmtId="0" fontId="26" fillId="0" borderId="34" xfId="10" applyFont="1" applyFill="1" applyBorder="1" applyProtection="1"/>
    <xf numFmtId="0" fontId="26" fillId="7" borderId="36" xfId="10" applyFont="1" applyFill="1" applyBorder="1" applyProtection="1"/>
    <xf numFmtId="0" fontId="26" fillId="8" borderId="38" xfId="10" applyFont="1" applyFill="1" applyBorder="1" applyProtection="1"/>
    <xf numFmtId="0" fontId="26" fillId="0" borderId="1" xfId="10" applyFont="1" applyFill="1" applyBorder="1" applyProtection="1"/>
    <xf numFmtId="173" fontId="54" fillId="14" borderId="29" xfId="97" applyNumberFormat="1" applyFont="1" applyFill="1" applyBorder="1"/>
    <xf numFmtId="173" fontId="54" fillId="14" borderId="0" xfId="97" applyNumberFormat="1" applyFont="1" applyFill="1"/>
    <xf numFmtId="0" fontId="62" fillId="0" borderId="0" xfId="224" applyFont="1" applyAlignment="1">
      <alignment horizontal="center"/>
    </xf>
    <xf numFmtId="0" fontId="66" fillId="0" borderId="0" xfId="224" applyFont="1" applyAlignment="1">
      <alignment horizontal="center"/>
    </xf>
    <xf numFmtId="4" fontId="65" fillId="0" borderId="0" xfId="224" applyNumberFormat="1" applyFont="1"/>
    <xf numFmtId="0" fontId="67" fillId="0" borderId="0" xfId="224" applyFont="1"/>
    <xf numFmtId="172" fontId="56" fillId="0" borderId="0" xfId="0" applyFont="1" applyFill="1" applyAlignment="1"/>
    <xf numFmtId="173" fontId="68" fillId="0" borderId="0" xfId="97" applyNumberFormat="1" applyFont="1" applyFill="1" applyAlignment="1"/>
    <xf numFmtId="173" fontId="68" fillId="0" borderId="28" xfId="97" applyNumberFormat="1" applyFont="1" applyFill="1" applyBorder="1" applyAlignment="1"/>
    <xf numFmtId="7" fontId="23" fillId="0" borderId="0" xfId="1" applyNumberFormat="1" applyFont="1"/>
    <xf numFmtId="4" fontId="26" fillId="0" borderId="0" xfId="10" applyNumberFormat="1" applyFont="1" applyFill="1" applyProtection="1"/>
    <xf numFmtId="0" fontId="26" fillId="0" borderId="0" xfId="10" applyFont="1" applyFill="1" applyAlignment="1" applyProtection="1">
      <alignment horizontal="centerContinuous"/>
    </xf>
    <xf numFmtId="175" fontId="26" fillId="0" borderId="0" xfId="10" applyNumberFormat="1" applyFont="1" applyFill="1" applyProtection="1"/>
    <xf numFmtId="0" fontId="26" fillId="0" borderId="31" xfId="10" applyFont="1" applyFill="1" applyBorder="1" applyAlignment="1" applyProtection="1">
      <alignment horizontal="centerContinuous"/>
    </xf>
    <xf numFmtId="0" fontId="26" fillId="0" borderId="31" xfId="10" applyFont="1" applyFill="1" applyBorder="1" applyAlignment="1" applyProtection="1">
      <alignment horizontal="center"/>
    </xf>
    <xf numFmtId="0" fontId="24" fillId="0" borderId="31" xfId="4" applyFont="1" applyFill="1" applyBorder="1" applyAlignment="1">
      <alignment horizontal="center"/>
    </xf>
    <xf numFmtId="0" fontId="23" fillId="0" borderId="0" xfId="4" applyFont="1" applyFill="1"/>
    <xf numFmtId="173" fontId="57" fillId="0" borderId="0" xfId="97" applyNumberFormat="1" applyFont="1" applyFill="1" applyAlignment="1"/>
    <xf numFmtId="172" fontId="57" fillId="0" borderId="0" xfId="220" applyNumberFormat="1" applyFill="1" applyAlignment="1"/>
    <xf numFmtId="0" fontId="23" fillId="0" borderId="0" xfId="1" applyFont="1" applyFill="1" applyBorder="1" applyAlignment="1">
      <alignment horizontal="center"/>
    </xf>
    <xf numFmtId="173" fontId="23" fillId="0" borderId="40" xfId="3" applyNumberFormat="1" applyFont="1" applyBorder="1"/>
    <xf numFmtId="173" fontId="23" fillId="0" borderId="40" xfId="3" applyNumberFormat="1" applyFont="1" applyFill="1" applyBorder="1"/>
    <xf numFmtId="0" fontId="66" fillId="0" borderId="0" xfId="226" quotePrefix="1" applyFont="1" applyAlignment="1"/>
    <xf numFmtId="0" fontId="23" fillId="0" borderId="0" xfId="226" applyNumberFormat="1" applyFont="1" applyAlignment="1" applyProtection="1">
      <protection locked="0"/>
    </xf>
    <xf numFmtId="0" fontId="23" fillId="0" borderId="0" xfId="226" applyNumberFormat="1" applyFont="1" applyBorder="1" applyAlignment="1" applyProtection="1">
      <protection locked="0"/>
    </xf>
    <xf numFmtId="0" fontId="23" fillId="0" borderId="0" xfId="226" applyNumberFormat="1" applyFont="1" applyFill="1" applyBorder="1" applyAlignment="1" applyProtection="1">
      <protection locked="0"/>
    </xf>
    <xf numFmtId="173" fontId="23" fillId="0" borderId="28" xfId="227" applyNumberFormat="1" applyFont="1" applyBorder="1" applyAlignment="1"/>
    <xf numFmtId="173" fontId="23" fillId="0" borderId="0" xfId="227" applyNumberFormat="1" applyFont="1" applyBorder="1" applyAlignment="1"/>
    <xf numFmtId="173" fontId="23" fillId="0" borderId="0" xfId="227" applyNumberFormat="1" applyFont="1" applyAlignment="1"/>
    <xf numFmtId="173" fontId="23" fillId="0" borderId="9" xfId="227" applyNumberFormat="1" applyFont="1" applyBorder="1" applyAlignment="1"/>
    <xf numFmtId="173" fontId="56" fillId="0" borderId="28" xfId="97" applyNumberFormat="1" applyFont="1" applyFill="1" applyBorder="1" applyAlignment="1"/>
    <xf numFmtId="173" fontId="23" fillId="0" borderId="0" xfId="97" applyNumberFormat="1" applyFont="1"/>
    <xf numFmtId="44" fontId="62" fillId="0" borderId="0" xfId="97" applyFont="1" applyFill="1" applyAlignment="1">
      <alignment horizontal="center"/>
    </xf>
    <xf numFmtId="0" fontId="24" fillId="0" borderId="0" xfId="226" quotePrefix="1" applyFont="1" applyFill="1" applyAlignment="1"/>
    <xf numFmtId="173" fontId="23" fillId="0" borderId="0" xfId="227" applyNumberFormat="1" applyFont="1" applyFill="1" applyAlignment="1"/>
    <xf numFmtId="39" fontId="26" fillId="15" borderId="0" xfId="10" applyNumberFormat="1" applyFont="1" applyFill="1" applyProtection="1"/>
    <xf numFmtId="10" fontId="26" fillId="15" borderId="0" xfId="10" applyNumberFormat="1" applyFont="1" applyFill="1" applyProtection="1"/>
    <xf numFmtId="0" fontId="26" fillId="16" borderId="0" xfId="10" applyFont="1" applyFill="1" applyAlignment="1" applyProtection="1">
      <alignment horizontal="center"/>
    </xf>
    <xf numFmtId="0" fontId="26" fillId="16" borderId="0" xfId="10" applyFont="1" applyFill="1" applyProtection="1"/>
    <xf numFmtId="39" fontId="26" fillId="16" borderId="0" xfId="10" applyNumberFormat="1" applyFont="1" applyFill="1" applyProtection="1"/>
    <xf numFmtId="10" fontId="26" fillId="16" borderId="0" xfId="10" applyNumberFormat="1" applyFont="1" applyFill="1" applyProtection="1"/>
    <xf numFmtId="43" fontId="26" fillId="16" borderId="0" xfId="96" applyFont="1" applyFill="1" applyProtection="1"/>
    <xf numFmtId="0" fontId="26" fillId="16" borderId="0" xfId="10" applyFont="1" applyFill="1"/>
    <xf numFmtId="10" fontId="26" fillId="13" borderId="0" xfId="10" applyNumberFormat="1" applyFont="1" applyFill="1" applyProtection="1"/>
    <xf numFmtId="0" fontId="26" fillId="16" borderId="34" xfId="10" applyFont="1" applyFill="1" applyBorder="1" applyAlignment="1" applyProtection="1">
      <alignment horizontal="center"/>
    </xf>
    <xf numFmtId="0" fontId="26" fillId="16" borderId="34" xfId="10" applyFont="1" applyFill="1" applyBorder="1" applyProtection="1"/>
    <xf numFmtId="39" fontId="26" fillId="16" borderId="34" xfId="10" applyNumberFormat="1" applyFont="1" applyFill="1" applyBorder="1" applyProtection="1"/>
    <xf numFmtId="10" fontId="26" fillId="16" borderId="34" xfId="10" applyNumberFormat="1" applyFont="1" applyFill="1" applyBorder="1" applyProtection="1"/>
    <xf numFmtId="39" fontId="26" fillId="16" borderId="35" xfId="10" applyNumberFormat="1" applyFont="1" applyFill="1" applyBorder="1" applyProtection="1"/>
    <xf numFmtId="0" fontId="26" fillId="16" borderId="0" xfId="10" applyFont="1" applyFill="1" applyBorder="1" applyAlignment="1" applyProtection="1">
      <alignment horizontal="center"/>
    </xf>
    <xf numFmtId="0" fontId="26" fillId="16" borderId="0" xfId="10" applyFont="1" applyFill="1" applyBorder="1" applyProtection="1"/>
    <xf numFmtId="39" fontId="26" fillId="16" borderId="0" xfId="10" applyNumberFormat="1" applyFont="1" applyFill="1" applyBorder="1" applyProtection="1"/>
    <xf numFmtId="10" fontId="26" fillId="16" borderId="0" xfId="10" applyNumberFormat="1" applyFont="1" applyFill="1" applyBorder="1" applyProtection="1"/>
    <xf numFmtId="39" fontId="26" fillId="16" borderId="37" xfId="10" applyNumberFormat="1" applyFont="1" applyFill="1" applyBorder="1" applyProtection="1"/>
    <xf numFmtId="0" fontId="26" fillId="16" borderId="1" xfId="10" applyFont="1" applyFill="1" applyBorder="1" applyAlignment="1" applyProtection="1">
      <alignment horizontal="center"/>
    </xf>
    <xf numFmtId="0" fontId="26" fillId="16" borderId="1" xfId="10" applyFont="1" applyFill="1" applyBorder="1" applyProtection="1"/>
    <xf numFmtId="39" fontId="26" fillId="16" borderId="1" xfId="10" applyNumberFormat="1" applyFont="1" applyFill="1" applyBorder="1" applyProtection="1"/>
    <xf numFmtId="10" fontId="26" fillId="16" borderId="1" xfId="10" applyNumberFormat="1" applyFont="1" applyFill="1" applyBorder="1" applyProtection="1"/>
    <xf numFmtId="39" fontId="26" fillId="16" borderId="39" xfId="10" applyNumberFormat="1" applyFont="1" applyFill="1" applyBorder="1" applyProtection="1"/>
    <xf numFmtId="0" fontId="54" fillId="0" borderId="0" xfId="10" applyFont="1" applyFill="1"/>
    <xf numFmtId="174" fontId="23" fillId="0" borderId="0" xfId="96" applyNumberFormat="1" applyFont="1" applyBorder="1"/>
    <xf numFmtId="174" fontId="23" fillId="0" borderId="28" xfId="96" applyNumberFormat="1" applyFont="1" applyFill="1" applyBorder="1" applyProtection="1"/>
    <xf numFmtId="0" fontId="56" fillId="0" borderId="0" xfId="1" applyFont="1" applyAlignment="1">
      <alignment horizontal="center"/>
    </xf>
    <xf numFmtId="0" fontId="56" fillId="0" borderId="0" xfId="1" applyFont="1" applyAlignment="1">
      <alignment horizontal="left"/>
    </xf>
    <xf numFmtId="14" fontId="56" fillId="0" borderId="0" xfId="1" applyNumberFormat="1" applyFont="1" applyAlignment="1">
      <alignment horizontal="left"/>
    </xf>
    <xf numFmtId="174" fontId="56" fillId="0" borderId="0" xfId="96" applyNumberFormat="1" applyFont="1"/>
    <xf numFmtId="0" fontId="56" fillId="0" borderId="0" xfId="1" applyFont="1"/>
    <xf numFmtId="0" fontId="56" fillId="0" borderId="11" xfId="1" applyFont="1" applyBorder="1" applyAlignment="1">
      <alignment horizontal="center"/>
    </xf>
    <xf numFmtId="0" fontId="56" fillId="0" borderId="3" xfId="1" applyFont="1" applyBorder="1" applyAlignment="1">
      <alignment horizontal="center"/>
    </xf>
    <xf numFmtId="0" fontId="56" fillId="0" borderId="12" xfId="1" applyFont="1" applyBorder="1" applyAlignment="1">
      <alignment horizontal="center"/>
    </xf>
    <xf numFmtId="0" fontId="56" fillId="0" borderId="5" xfId="1" applyFont="1" applyBorder="1" applyAlignment="1">
      <alignment horizontal="center"/>
    </xf>
    <xf numFmtId="0" fontId="56" fillId="0" borderId="13" xfId="1" applyFont="1" applyBorder="1"/>
    <xf numFmtId="0" fontId="56" fillId="0" borderId="0" xfId="1" applyFont="1" applyBorder="1"/>
    <xf numFmtId="37" fontId="56" fillId="0" borderId="11" xfId="1" applyNumberFormat="1" applyFont="1" applyBorder="1"/>
    <xf numFmtId="37" fontId="56" fillId="0" borderId="3" xfId="1" applyNumberFormat="1" applyFont="1" applyBorder="1"/>
    <xf numFmtId="0" fontId="56" fillId="0" borderId="12" xfId="1" applyFont="1" applyBorder="1"/>
    <xf numFmtId="0" fontId="56" fillId="0" borderId="4" xfId="1" applyFont="1" applyBorder="1"/>
    <xf numFmtId="173" fontId="56" fillId="0" borderId="12" xfId="3" applyNumberFormat="1" applyFont="1" applyBorder="1"/>
    <xf numFmtId="173" fontId="56" fillId="0" borderId="5" xfId="3" applyNumberFormat="1" applyFont="1" applyBorder="1"/>
    <xf numFmtId="174" fontId="56" fillId="0" borderId="12" xfId="2" applyNumberFormat="1" applyFont="1" applyBorder="1"/>
    <xf numFmtId="174" fontId="56" fillId="0" borderId="5" xfId="2" applyNumberFormat="1" applyFont="1" applyBorder="1"/>
    <xf numFmtId="0" fontId="56" fillId="0" borderId="0" xfId="1" applyFont="1" applyFill="1" applyBorder="1"/>
    <xf numFmtId="174" fontId="56" fillId="0" borderId="13" xfId="2" applyNumberFormat="1" applyFont="1" applyFill="1" applyBorder="1"/>
    <xf numFmtId="174" fontId="56" fillId="0" borderId="3" xfId="2" applyNumberFormat="1" applyFont="1" applyFill="1" applyBorder="1"/>
    <xf numFmtId="0" fontId="56" fillId="0" borderId="0" xfId="1" applyFont="1" applyFill="1" applyAlignment="1">
      <alignment horizontal="left"/>
    </xf>
    <xf numFmtId="0" fontId="56" fillId="0" borderId="4" xfId="1" applyFont="1" applyFill="1" applyBorder="1" applyAlignment="1">
      <alignment horizontal="left" indent="1"/>
    </xf>
    <xf numFmtId="174" fontId="56" fillId="0" borderId="12" xfId="2" applyNumberFormat="1" applyFont="1" applyFill="1" applyBorder="1"/>
    <xf numFmtId="174" fontId="56" fillId="0" borderId="5" xfId="2" applyNumberFormat="1" applyFont="1" applyFill="1" applyBorder="1"/>
    <xf numFmtId="0" fontId="56" fillId="0" borderId="13" xfId="1" applyFont="1" applyFill="1" applyBorder="1"/>
    <xf numFmtId="0" fontId="56" fillId="0" borderId="14" xfId="1" applyFont="1" applyFill="1" applyBorder="1"/>
    <xf numFmtId="0" fontId="56" fillId="0" borderId="28" xfId="1" applyFont="1" applyFill="1" applyBorder="1"/>
    <xf numFmtId="174" fontId="56" fillId="0" borderId="14" xfId="2" applyNumberFormat="1" applyFont="1" applyFill="1" applyBorder="1"/>
    <xf numFmtId="174" fontId="56" fillId="0" borderId="17" xfId="2" applyNumberFormat="1" applyFont="1" applyFill="1" applyBorder="1"/>
    <xf numFmtId="0" fontId="56" fillId="0" borderId="14" xfId="1" applyFont="1" applyBorder="1"/>
    <xf numFmtId="173" fontId="55" fillId="0" borderId="27" xfId="3" applyNumberFormat="1" applyFont="1" applyFill="1" applyBorder="1"/>
    <xf numFmtId="173" fontId="55" fillId="0" borderId="24" xfId="3" applyNumberFormat="1" applyFont="1" applyFill="1" applyBorder="1"/>
    <xf numFmtId="173" fontId="55" fillId="0" borderId="25" xfId="3" applyNumberFormat="1" applyFont="1" applyFill="1" applyBorder="1"/>
    <xf numFmtId="0" fontId="56" fillId="0" borderId="3" xfId="1" applyFont="1" applyFill="1" applyBorder="1"/>
    <xf numFmtId="37" fontId="56" fillId="0" borderId="3" xfId="1" applyNumberFormat="1" applyFont="1" applyFill="1" applyBorder="1"/>
    <xf numFmtId="0" fontId="56" fillId="0" borderId="5" xfId="1" applyFont="1" applyFill="1" applyBorder="1" applyAlignment="1">
      <alignment horizontal="left" indent="1"/>
    </xf>
    <xf numFmtId="174" fontId="56" fillId="0" borderId="5" xfId="2" applyNumberFormat="1" applyFont="1" applyFill="1" applyBorder="1" applyAlignment="1">
      <alignment horizontal="right"/>
    </xf>
    <xf numFmtId="174" fontId="56" fillId="0" borderId="3" xfId="2" applyNumberFormat="1" applyFont="1" applyFill="1" applyBorder="1" applyAlignment="1">
      <alignment horizontal="right"/>
    </xf>
    <xf numFmtId="0" fontId="56" fillId="0" borderId="17" xfId="1" applyFont="1" applyFill="1" applyBorder="1"/>
    <xf numFmtId="174" fontId="56" fillId="0" borderId="17" xfId="2" applyNumberFormat="1" applyFont="1" applyFill="1" applyBorder="1" applyAlignment="1">
      <alignment horizontal="right"/>
    </xf>
    <xf numFmtId="37" fontId="56" fillId="0" borderId="3" xfId="1" applyNumberFormat="1" applyFont="1" applyFill="1" applyBorder="1" applyAlignment="1">
      <alignment horizontal="right"/>
    </xf>
    <xf numFmtId="0" fontId="56" fillId="0" borderId="0" xfId="1" applyFont="1" applyFill="1"/>
    <xf numFmtId="37" fontId="56" fillId="0" borderId="0" xfId="1" applyNumberFormat="1" applyFont="1" applyFill="1"/>
    <xf numFmtId="37" fontId="56" fillId="0" borderId="10" xfId="1" applyNumberFormat="1" applyFont="1" applyFill="1" applyBorder="1"/>
    <xf numFmtId="0" fontId="56" fillId="0" borderId="7" xfId="1" applyFont="1" applyFill="1" applyBorder="1"/>
    <xf numFmtId="37" fontId="56" fillId="0" borderId="4" xfId="1" applyNumberFormat="1" applyFont="1" applyFill="1" applyBorder="1"/>
    <xf numFmtId="37" fontId="56" fillId="0" borderId="5" xfId="1" applyNumberFormat="1" applyFont="1" applyFill="1" applyBorder="1"/>
    <xf numFmtId="37" fontId="56" fillId="0" borderId="0" xfId="1" applyNumberFormat="1" applyFont="1"/>
    <xf numFmtId="0" fontId="56" fillId="0" borderId="10" xfId="1" applyFont="1" applyBorder="1" applyAlignment="1">
      <alignment horizontal="center"/>
    </xf>
    <xf numFmtId="0" fontId="56" fillId="0" borderId="13" xfId="1" applyFont="1" applyFill="1" applyBorder="1" applyAlignment="1">
      <alignment horizontal="center"/>
    </xf>
    <xf numFmtId="0" fontId="56" fillId="0" borderId="14" xfId="1" applyFont="1" applyBorder="1" applyAlignment="1">
      <alignment horizontal="center"/>
    </xf>
    <xf numFmtId="173" fontId="56" fillId="0" borderId="14" xfId="3" applyNumberFormat="1" applyFont="1" applyBorder="1"/>
    <xf numFmtId="173" fontId="55" fillId="0" borderId="14" xfId="3" applyNumberFormat="1" applyFont="1" applyBorder="1"/>
    <xf numFmtId="174" fontId="56" fillId="0" borderId="14" xfId="2" applyNumberFormat="1" applyFont="1" applyBorder="1"/>
    <xf numFmtId="174" fontId="55" fillId="0" borderId="14" xfId="2" applyNumberFormat="1" applyFont="1" applyBorder="1"/>
    <xf numFmtId="173" fontId="56" fillId="0" borderId="14" xfId="3" applyNumberFormat="1" applyFont="1" applyFill="1" applyBorder="1"/>
    <xf numFmtId="174" fontId="55" fillId="0" borderId="14" xfId="2" applyNumberFormat="1" applyFont="1" applyFill="1" applyBorder="1"/>
    <xf numFmtId="174" fontId="56" fillId="0" borderId="11" xfId="2" applyNumberFormat="1" applyFont="1" applyFill="1" applyBorder="1"/>
    <xf numFmtId="174" fontId="55" fillId="0" borderId="11" xfId="2" applyNumberFormat="1" applyFont="1" applyFill="1" applyBorder="1"/>
    <xf numFmtId="174" fontId="56" fillId="0" borderId="0" xfId="1" applyNumberFormat="1" applyFont="1"/>
    <xf numFmtId="0" fontId="55" fillId="0" borderId="18" xfId="1" applyFont="1" applyBorder="1"/>
    <xf numFmtId="173" fontId="55" fillId="0" borderId="27" xfId="3" applyNumberFormat="1" applyFont="1" applyBorder="1"/>
    <xf numFmtId="173" fontId="55" fillId="0" borderId="23" xfId="3" applyNumberFormat="1" applyFont="1" applyFill="1" applyBorder="1"/>
    <xf numFmtId="173" fontId="55" fillId="0" borderId="26" xfId="3" applyNumberFormat="1" applyFont="1" applyFill="1" applyBorder="1"/>
    <xf numFmtId="173" fontId="55" fillId="0" borderId="16" xfId="3" applyNumberFormat="1" applyFont="1" applyFill="1" applyBorder="1"/>
    <xf numFmtId="0" fontId="55" fillId="0" borderId="14" xfId="1" applyFont="1" applyBorder="1"/>
    <xf numFmtId="173" fontId="55" fillId="0" borderId="12" xfId="3" applyNumberFormat="1" applyFont="1" applyBorder="1"/>
    <xf numFmtId="173" fontId="55" fillId="0" borderId="12" xfId="3" applyNumberFormat="1" applyFont="1" applyFill="1" applyBorder="1"/>
    <xf numFmtId="173" fontId="56" fillId="0" borderId="0" xfId="3" applyNumberFormat="1" applyFont="1" applyFill="1"/>
    <xf numFmtId="173" fontId="55" fillId="0" borderId="23" xfId="3" applyNumberFormat="1" applyFont="1" applyBorder="1"/>
    <xf numFmtId="173" fontId="55" fillId="0" borderId="26" xfId="3" applyNumberFormat="1" applyFont="1" applyBorder="1"/>
    <xf numFmtId="173" fontId="55" fillId="0" borderId="16" xfId="3" applyNumberFormat="1" applyFont="1" applyBorder="1"/>
    <xf numFmtId="174" fontId="56" fillId="0" borderId="11" xfId="2" applyNumberFormat="1" applyFont="1" applyBorder="1"/>
    <xf numFmtId="173" fontId="56" fillId="0" borderId="11" xfId="3" applyNumberFormat="1" applyFont="1" applyBorder="1"/>
    <xf numFmtId="37" fontId="55" fillId="0" borderId="12" xfId="1" applyNumberFormat="1" applyFont="1" applyBorder="1"/>
    <xf numFmtId="174" fontId="55" fillId="0" borderId="11" xfId="2" applyNumberFormat="1" applyFont="1" applyBorder="1"/>
    <xf numFmtId="173" fontId="56" fillId="0" borderId="0" xfId="1" applyNumberFormat="1" applyFont="1" applyBorder="1"/>
    <xf numFmtId="173" fontId="56" fillId="0" borderId="0" xfId="97" applyNumberFormat="1" applyFont="1" applyBorder="1"/>
    <xf numFmtId="173" fontId="56" fillId="0" borderId="0" xfId="1" applyNumberFormat="1" applyFont="1"/>
    <xf numFmtId="0" fontId="55" fillId="0" borderId="0" xfId="1" applyFont="1" applyBorder="1" applyAlignment="1">
      <alignment horizontal="left"/>
    </xf>
    <xf numFmtId="0" fontId="56" fillId="0" borderId="10" xfId="1" applyFont="1" applyBorder="1"/>
    <xf numFmtId="0" fontId="56" fillId="0" borderId="10" xfId="1" applyFont="1" applyFill="1" applyBorder="1" applyAlignment="1">
      <alignment horizontal="center"/>
    </xf>
    <xf numFmtId="0" fontId="56" fillId="0" borderId="5" xfId="1" applyFont="1" applyBorder="1"/>
    <xf numFmtId="0" fontId="56" fillId="0" borderId="5" xfId="1" applyFont="1" applyFill="1" applyBorder="1" applyAlignment="1">
      <alignment horizontal="center"/>
    </xf>
    <xf numFmtId="173" fontId="56" fillId="0" borderId="5" xfId="3" applyNumberFormat="1" applyFont="1" applyFill="1" applyBorder="1"/>
    <xf numFmtId="0" fontId="56" fillId="0" borderId="17" xfId="1" applyFont="1" applyBorder="1"/>
    <xf numFmtId="0" fontId="56" fillId="0" borderId="13" xfId="1" applyFont="1" applyBorder="1" applyAlignment="1">
      <alignment horizontal="center"/>
    </xf>
    <xf numFmtId="0" fontId="56" fillId="0" borderId="3" xfId="1" applyFont="1" applyBorder="1"/>
    <xf numFmtId="0" fontId="56" fillId="0" borderId="23" xfId="1" applyFont="1" applyBorder="1" applyAlignment="1">
      <alignment horizontal="center"/>
    </xf>
    <xf numFmtId="0" fontId="56" fillId="0" borderId="24" xfId="1" applyFont="1" applyBorder="1"/>
    <xf numFmtId="174" fontId="55" fillId="0" borderId="25" xfId="2" applyNumberFormat="1" applyFont="1" applyFill="1" applyBorder="1"/>
    <xf numFmtId="0" fontId="55" fillId="0" borderId="24" xfId="1" applyFont="1" applyBorder="1"/>
    <xf numFmtId="37" fontId="56" fillId="0" borderId="0" xfId="1" applyNumberFormat="1" applyFont="1" applyFill="1" applyBorder="1"/>
    <xf numFmtId="43" fontId="56" fillId="0" borderId="11" xfId="2" applyFont="1" applyFill="1" applyBorder="1"/>
    <xf numFmtId="37" fontId="56" fillId="0" borderId="13" xfId="2" applyNumberFormat="1" applyFont="1" applyFill="1" applyBorder="1"/>
    <xf numFmtId="37" fontId="56" fillId="0" borderId="14" xfId="2" applyNumberFormat="1" applyFont="1" applyFill="1" applyBorder="1"/>
    <xf numFmtId="37" fontId="56" fillId="0" borderId="12" xfId="2" applyNumberFormat="1" applyFont="1" applyFill="1" applyBorder="1"/>
    <xf numFmtId="37" fontId="56" fillId="0" borderId="0" xfId="2" applyNumberFormat="1" applyFont="1" applyFill="1" applyBorder="1"/>
    <xf numFmtId="43" fontId="56" fillId="0" borderId="0" xfId="2" applyFont="1" applyFill="1" applyBorder="1"/>
    <xf numFmtId="0" fontId="56" fillId="0" borderId="11" xfId="1" applyFont="1" applyFill="1" applyBorder="1" applyAlignment="1">
      <alignment horizontal="center"/>
    </xf>
    <xf numFmtId="0" fontId="56" fillId="0" borderId="3" xfId="1" applyFont="1" applyFill="1" applyBorder="1" applyAlignment="1">
      <alignment horizontal="center"/>
    </xf>
    <xf numFmtId="0" fontId="56" fillId="0" borderId="12" xfId="1" applyFont="1" applyFill="1" applyBorder="1" applyAlignment="1">
      <alignment horizontal="center"/>
    </xf>
    <xf numFmtId="0" fontId="55" fillId="0" borderId="11" xfId="1" applyFont="1" applyFill="1" applyBorder="1" applyAlignment="1">
      <alignment horizontal="center"/>
    </xf>
    <xf numFmtId="0" fontId="56" fillId="0" borderId="12" xfId="1" applyFont="1" applyFill="1" applyBorder="1" applyAlignment="1">
      <alignment horizontal="left" indent="1"/>
    </xf>
    <xf numFmtId="173" fontId="56" fillId="0" borderId="12" xfId="3" applyNumberFormat="1" applyFont="1" applyFill="1" applyBorder="1"/>
    <xf numFmtId="0" fontId="56" fillId="0" borderId="12" xfId="1" applyFont="1" applyFill="1" applyBorder="1"/>
    <xf numFmtId="0" fontId="56" fillId="0" borderId="14" xfId="1" applyFont="1" applyFill="1" applyBorder="1" applyAlignment="1">
      <alignment horizontal="center"/>
    </xf>
    <xf numFmtId="0" fontId="56" fillId="0" borderId="13" xfId="1" applyFont="1" applyFill="1" applyBorder="1" applyAlignment="1">
      <alignment horizontal="left" indent="1"/>
    </xf>
    <xf numFmtId="0" fontId="55" fillId="0" borderId="15" xfId="1" applyFont="1" applyFill="1" applyBorder="1"/>
    <xf numFmtId="37" fontId="55" fillId="0" borderId="16" xfId="2" applyNumberFormat="1" applyFont="1" applyFill="1" applyBorder="1"/>
    <xf numFmtId="0" fontId="56" fillId="0" borderId="17" xfId="1" applyFont="1" applyFill="1" applyBorder="1" applyAlignment="1">
      <alignment horizontal="center"/>
    </xf>
    <xf numFmtId="0" fontId="55" fillId="0" borderId="18" xfId="1" applyFont="1" applyFill="1" applyBorder="1"/>
    <xf numFmtId="37" fontId="56" fillId="0" borderId="3" xfId="2" applyNumberFormat="1" applyFont="1" applyFill="1" applyBorder="1"/>
    <xf numFmtId="0" fontId="55" fillId="0" borderId="13" xfId="1" applyFont="1" applyFill="1" applyBorder="1" applyAlignment="1">
      <alignment horizontal="center"/>
    </xf>
    <xf numFmtId="0" fontId="56" fillId="0" borderId="6" xfId="1" applyFont="1" applyFill="1" applyBorder="1"/>
    <xf numFmtId="0" fontId="55" fillId="0" borderId="11" xfId="1" applyFont="1" applyFill="1" applyBorder="1"/>
    <xf numFmtId="37" fontId="55" fillId="0" borderId="11" xfId="2" applyNumberFormat="1" applyFont="1" applyFill="1" applyBorder="1"/>
    <xf numFmtId="0" fontId="55" fillId="0" borderId="19" xfId="1" applyFont="1" applyFill="1" applyBorder="1"/>
    <xf numFmtId="0" fontId="55" fillId="0" borderId="7" xfId="1" applyFont="1" applyFill="1" applyBorder="1"/>
    <xf numFmtId="174" fontId="55" fillId="0" borderId="16" xfId="2" applyNumberFormat="1" applyFont="1" applyFill="1" applyBorder="1"/>
    <xf numFmtId="0" fontId="55" fillId="0" borderId="12" xfId="1" applyFont="1" applyFill="1" applyBorder="1" applyAlignment="1">
      <alignment horizontal="center"/>
    </xf>
    <xf numFmtId="0" fontId="56" fillId="0" borderId="12" xfId="1" quotePrefix="1" applyFont="1" applyFill="1" applyBorder="1" applyAlignment="1">
      <alignment horizontal="left" indent="1"/>
    </xf>
    <xf numFmtId="0" fontId="55" fillId="0" borderId="13" xfId="1" applyFont="1" applyFill="1" applyBorder="1"/>
    <xf numFmtId="174" fontId="55" fillId="0" borderId="13" xfId="2" applyNumberFormat="1" applyFont="1" applyFill="1" applyBorder="1"/>
    <xf numFmtId="0" fontId="56" fillId="0" borderId="20" xfId="1" applyFont="1" applyFill="1" applyBorder="1" applyAlignment="1">
      <alignment horizontal="center"/>
    </xf>
    <xf numFmtId="0" fontId="55" fillId="0" borderId="21" xfId="1" applyFont="1" applyFill="1" applyBorder="1"/>
    <xf numFmtId="0" fontId="56" fillId="0" borderId="22" xfId="1" applyFont="1" applyFill="1" applyBorder="1" applyAlignment="1">
      <alignment horizontal="center"/>
    </xf>
    <xf numFmtId="173" fontId="56" fillId="0" borderId="29" xfId="1" applyNumberFormat="1" applyFont="1" applyFill="1" applyBorder="1"/>
    <xf numFmtId="0" fontId="1" fillId="0" borderId="0" xfId="224" applyFont="1"/>
    <xf numFmtId="0" fontId="1" fillId="0" borderId="0" xfId="224" quotePrefix="1" applyFont="1"/>
    <xf numFmtId="44" fontId="1" fillId="0" borderId="0" xfId="97" applyFont="1"/>
    <xf numFmtId="4" fontId="1" fillId="0" borderId="0" xfId="224" applyNumberFormat="1" applyFont="1"/>
    <xf numFmtId="44" fontId="1" fillId="0" borderId="0" xfId="97" applyFont="1" applyFill="1"/>
    <xf numFmtId="44" fontId="1" fillId="0" borderId="29" xfId="97" applyFont="1" applyFill="1" applyBorder="1"/>
    <xf numFmtId="0" fontId="1" fillId="0" borderId="0" xfId="226" applyFont="1" applyAlignment="1"/>
    <xf numFmtId="173" fontId="1" fillId="0" borderId="0" xfId="99" applyNumberFormat="1" applyFont="1"/>
    <xf numFmtId="44" fontId="1" fillId="0" borderId="0" xfId="99" applyFont="1"/>
    <xf numFmtId="173" fontId="1" fillId="0" borderId="29" xfId="97" applyNumberFormat="1" applyFont="1" applyFill="1" applyBorder="1"/>
    <xf numFmtId="173" fontId="23" fillId="0" borderId="0" xfId="97" applyNumberFormat="1" applyFont="1" applyFill="1"/>
    <xf numFmtId="173" fontId="56" fillId="0" borderId="11" xfId="3" applyNumberFormat="1" applyFont="1" applyFill="1" applyBorder="1"/>
    <xf numFmtId="173" fontId="56" fillId="0" borderId="0" xfId="97" applyNumberFormat="1" applyFont="1" applyFill="1"/>
    <xf numFmtId="0" fontId="5" fillId="0" borderId="0" xfId="103" applyFont="1" applyFill="1" applyAlignment="1">
      <alignment horizontal="center"/>
    </xf>
    <xf numFmtId="0" fontId="56" fillId="0" borderId="0" xfId="96" applyNumberFormat="1" applyFont="1" applyFill="1" applyAlignment="1">
      <alignment horizontal="center"/>
    </xf>
    <xf numFmtId="0" fontId="56" fillId="0" borderId="0" xfId="0" applyNumberFormat="1" applyFont="1" applyFill="1" applyAlignment="1"/>
    <xf numFmtId="0" fontId="1" fillId="0" borderId="0" xfId="224" applyFont="1" applyFill="1"/>
    <xf numFmtId="0" fontId="62" fillId="0" borderId="0" xfId="224" applyFont="1" applyFill="1" applyAlignment="1">
      <alignment horizontal="center"/>
    </xf>
    <xf numFmtId="4" fontId="23" fillId="0" borderId="0" xfId="0" applyNumberFormat="1" applyFont="1" applyFill="1"/>
    <xf numFmtId="0" fontId="61" fillId="0" borderId="0" xfId="224" applyFont="1" applyFill="1"/>
    <xf numFmtId="173" fontId="56" fillId="0" borderId="0" xfId="97" applyNumberFormat="1" applyFont="1" applyFill="1" applyAlignment="1"/>
    <xf numFmtId="173" fontId="56" fillId="0" borderId="0" xfId="97" applyNumberFormat="1" applyFont="1" applyAlignment="1"/>
    <xf numFmtId="173" fontId="56" fillId="0" borderId="0" xfId="97" applyNumberFormat="1" applyFont="1" applyBorder="1" applyAlignment="1"/>
    <xf numFmtId="0" fontId="26" fillId="0" borderId="0" xfId="10" applyFont="1" applyAlignment="1">
      <alignment horizontal="right"/>
    </xf>
    <xf numFmtId="0" fontId="6" fillId="0" borderId="0" xfId="0" applyNumberFormat="1" applyFont="1" applyFill="1"/>
    <xf numFmtId="172" fontId="6" fillId="0" borderId="0" xfId="0" applyFont="1" applyAlignment="1">
      <alignment horizontal="center"/>
    </xf>
    <xf numFmtId="0" fontId="6" fillId="0" borderId="0" xfId="0" applyNumberFormat="1" applyFont="1"/>
    <xf numFmtId="0" fontId="6" fillId="0" borderId="0" xfId="0" applyNumberFormat="1" applyFont="1" applyAlignment="1" applyProtection="1">
      <alignment horizontal="center"/>
      <protection locked="0"/>
    </xf>
    <xf numFmtId="3" fontId="6" fillId="7" borderId="0" xfId="0" applyNumberFormat="1" applyFont="1" applyFill="1" applyAlignment="1"/>
    <xf numFmtId="3" fontId="6" fillId="0" borderId="0" xfId="0" applyNumberFormat="1" applyFont="1" applyBorder="1" applyAlignment="1"/>
    <xf numFmtId="3" fontId="6" fillId="7" borderId="1" xfId="0" applyNumberFormat="1" applyFont="1" applyFill="1" applyBorder="1" applyAlignment="1"/>
    <xf numFmtId="174" fontId="26" fillId="0" borderId="0" xfId="96" applyNumberFormat="1" applyFont="1" applyFill="1"/>
    <xf numFmtId="173" fontId="26" fillId="0" borderId="0" xfId="97" applyNumberFormat="1" applyFont="1" applyFill="1"/>
    <xf numFmtId="173" fontId="26" fillId="7" borderId="0" xfId="97" applyNumberFormat="1" applyFont="1" applyFill="1"/>
    <xf numFmtId="173" fontId="26" fillId="7" borderId="28" xfId="97" applyNumberFormat="1" applyFont="1" applyFill="1" applyBorder="1"/>
    <xf numFmtId="173" fontId="26" fillId="0" borderId="0" xfId="97" applyNumberFormat="1" applyFont="1" applyFill="1" applyAlignment="1">
      <alignment horizontal="right"/>
    </xf>
    <xf numFmtId="0" fontId="15" fillId="0" borderId="0" xfId="1" applyFont="1"/>
    <xf numFmtId="0" fontId="15" fillId="0" borderId="0" xfId="1" applyFont="1" applyAlignment="1">
      <alignment horizontal="center"/>
    </xf>
    <xf numFmtId="173" fontId="15" fillId="0" borderId="0" xfId="97" applyNumberFormat="1" applyFont="1"/>
    <xf numFmtId="0" fontId="15" fillId="0" borderId="0" xfId="1" applyFont="1" applyFill="1"/>
    <xf numFmtId="173" fontId="15" fillId="0" borderId="28" xfId="97" applyNumberFormat="1" applyFont="1" applyFill="1" applyBorder="1"/>
    <xf numFmtId="174" fontId="26" fillId="0" borderId="0" xfId="2" applyNumberFormat="1" applyFont="1" applyFill="1"/>
    <xf numFmtId="44" fontId="26" fillId="0" borderId="0" xfId="97" applyFont="1" applyFill="1"/>
    <xf numFmtId="173" fontId="54" fillId="0" borderId="0" xfId="97" applyNumberFormat="1" applyFont="1" applyFill="1"/>
    <xf numFmtId="0" fontId="6" fillId="0" borderId="0" xfId="201" applyNumberFormat="1" applyFont="1" applyFill="1" applyAlignment="1">
      <alignment vertical="top" wrapText="1"/>
    </xf>
    <xf numFmtId="0" fontId="6" fillId="0" borderId="0" xfId="201" applyNumberFormat="1" applyFont="1" applyFill="1" applyAlignment="1" applyProtection="1">
      <alignment vertical="top" wrapText="1"/>
      <protection locked="0"/>
    </xf>
    <xf numFmtId="0" fontId="6" fillId="0" borderId="0" xfId="0" applyNumberFormat="1" applyFont="1" applyAlignment="1" applyProtection="1">
      <alignment vertical="top" wrapText="1"/>
      <protection locked="0"/>
    </xf>
    <xf numFmtId="0" fontId="6" fillId="0" borderId="0" xfId="201" applyNumberFormat="1" applyFont="1" applyAlignment="1" applyProtection="1">
      <alignment vertical="top" wrapText="1"/>
      <protection locked="0"/>
    </xf>
    <xf numFmtId="0" fontId="6" fillId="0" borderId="0" xfId="201" applyNumberFormat="1" applyFont="1" applyFill="1" applyBorder="1" applyAlignment="1">
      <alignment horizontal="center"/>
    </xf>
    <xf numFmtId="3" fontId="6" fillId="0" borderId="0" xfId="201" applyNumberFormat="1" applyFont="1" applyAlignment="1">
      <alignment horizontal="right"/>
    </xf>
    <xf numFmtId="49" fontId="55" fillId="0" borderId="0" xfId="1" applyNumberFormat="1" applyFont="1" applyFill="1" applyAlignment="1">
      <alignment horizontal="center"/>
    </xf>
    <xf numFmtId="0" fontId="55" fillId="0" borderId="0" xfId="1" applyFont="1" applyFill="1" applyAlignment="1">
      <alignment horizontal="center"/>
    </xf>
    <xf numFmtId="14" fontId="55" fillId="0" borderId="0" xfId="1" applyNumberFormat="1" applyFont="1" applyFill="1" applyAlignment="1">
      <alignment horizontal="center"/>
    </xf>
    <xf numFmtId="0" fontId="55" fillId="0" borderId="4" xfId="1" applyFont="1" applyFill="1" applyBorder="1" applyAlignment="1">
      <alignment horizontal="center"/>
    </xf>
    <xf numFmtId="0" fontId="55" fillId="0" borderId="0" xfId="1" applyFont="1" applyAlignment="1">
      <alignment horizontal="center"/>
    </xf>
    <xf numFmtId="14" fontId="55" fillId="0" borderId="0" xfId="1" applyNumberFormat="1" applyFont="1" applyAlignment="1">
      <alignment horizontal="center"/>
    </xf>
    <xf numFmtId="0" fontId="55" fillId="0" borderId="4" xfId="1" applyFont="1" applyBorder="1" applyAlignment="1">
      <alignment horizontal="center"/>
    </xf>
    <xf numFmtId="0" fontId="56" fillId="0" borderId="8" xfId="1" applyFont="1" applyFill="1" applyBorder="1" applyAlignment="1">
      <alignment horizontal="left"/>
    </xf>
    <xf numFmtId="0" fontId="56" fillId="0" borderId="9" xfId="1" applyFont="1" applyFill="1" applyBorder="1" applyAlignment="1">
      <alignment horizontal="left"/>
    </xf>
    <xf numFmtId="0" fontId="56" fillId="0" borderId="0" xfId="1" applyFont="1" applyAlignment="1">
      <alignment horizontal="center"/>
    </xf>
    <xf numFmtId="0" fontId="23" fillId="0" borderId="7" xfId="1" applyFont="1" applyBorder="1" applyAlignment="1">
      <alignment horizontal="left"/>
    </xf>
    <xf numFmtId="0" fontId="23" fillId="0" borderId="5" xfId="1" applyFont="1" applyBorder="1" applyAlignment="1">
      <alignment horizontal="left"/>
    </xf>
    <xf numFmtId="49" fontId="24" fillId="0" borderId="0" xfId="1" applyNumberFormat="1" applyFont="1" applyAlignment="1">
      <alignment horizontal="center"/>
    </xf>
    <xf numFmtId="0" fontId="24" fillId="0" borderId="0" xfId="1" applyFont="1" applyAlignment="1">
      <alignment horizontal="center"/>
    </xf>
    <xf numFmtId="14" fontId="24" fillId="0" borderId="0" xfId="1" applyNumberFormat="1" applyFont="1" applyAlignment="1">
      <alignment horizontal="center"/>
    </xf>
    <xf numFmtId="0" fontId="23" fillId="0" borderId="14" xfId="1" applyFont="1" applyBorder="1" applyAlignment="1">
      <alignment horizontal="center"/>
    </xf>
    <xf numFmtId="49" fontId="55" fillId="0" borderId="0" xfId="1" applyNumberFormat="1" applyFont="1" applyAlignment="1">
      <alignment horizontal="center"/>
    </xf>
    <xf numFmtId="0" fontId="56" fillId="0" borderId="0" xfId="0" applyNumberFormat="1" applyFont="1" applyFill="1" applyAlignment="1">
      <alignment horizontal="center"/>
    </xf>
    <xf numFmtId="172" fontId="56" fillId="0" borderId="0" xfId="201" applyFont="1" applyBorder="1" applyAlignment="1"/>
    <xf numFmtId="173" fontId="56" fillId="0" borderId="0" xfId="97" applyNumberFormat="1" applyFont="1" applyBorder="1" applyAlignment="1">
      <alignment horizontal="center"/>
    </xf>
    <xf numFmtId="172" fontId="56" fillId="0" borderId="0" xfId="201" applyFont="1" applyBorder="1" applyAlignment="1">
      <alignment horizontal="center"/>
    </xf>
    <xf numFmtId="170" fontId="56" fillId="0" borderId="0" xfId="201" applyNumberFormat="1" applyFont="1" applyFill="1" applyBorder="1" applyAlignment="1"/>
    <xf numFmtId="9" fontId="56" fillId="0" borderId="0" xfId="228" applyFont="1" applyBorder="1" applyAlignment="1"/>
    <xf numFmtId="172" fontId="56" fillId="0" borderId="0" xfId="201" applyFont="1" applyFill="1" applyBorder="1" applyAlignment="1"/>
    <xf numFmtId="170" fontId="56" fillId="0" borderId="0" xfId="201" applyNumberFormat="1" applyFont="1" applyBorder="1" applyAlignment="1"/>
    <xf numFmtId="173" fontId="56" fillId="0" borderId="0" xfId="97" applyNumberFormat="1" applyFont="1" applyFill="1" applyBorder="1" applyAlignment="1"/>
    <xf numFmtId="173" fontId="64" fillId="0" borderId="0" xfId="97" applyNumberFormat="1" applyFont="1" applyBorder="1" applyAlignment="1"/>
    <xf numFmtId="172" fontId="64" fillId="0" borderId="0" xfId="201" applyFont="1" applyBorder="1" applyAlignment="1"/>
    <xf numFmtId="172" fontId="7" fillId="0" borderId="0" xfId="201" applyFont="1" applyBorder="1" applyAlignment="1"/>
    <xf numFmtId="3" fontId="56" fillId="0" borderId="0" xfId="0" applyNumberFormat="1" applyFont="1" applyFill="1" applyBorder="1" applyAlignment="1"/>
    <xf numFmtId="9" fontId="56" fillId="0" borderId="0" xfId="228" applyFont="1" applyFill="1" applyBorder="1" applyAlignment="1"/>
    <xf numFmtId="178" fontId="56" fillId="0" borderId="0" xfId="96" applyNumberFormat="1" applyFont="1" applyBorder="1" applyAlignment="1"/>
    <xf numFmtId="174" fontId="56" fillId="0" borderId="0" xfId="1" applyNumberFormat="1" applyFont="1" applyBorder="1"/>
  </cellXfs>
  <cellStyles count="229">
    <cellStyle name="Accent1" xfId="220" builtinId="29"/>
    <cellStyle name="Accent4 2" xfId="104"/>
    <cellStyle name="C00A" xfId="12"/>
    <cellStyle name="C00B" xfId="13"/>
    <cellStyle name="C00L" xfId="14"/>
    <cellStyle name="C01A" xfId="15"/>
    <cellStyle name="C01B" xfId="16"/>
    <cellStyle name="C01H" xfId="17"/>
    <cellStyle name="C01L" xfId="18"/>
    <cellStyle name="C02A" xfId="19"/>
    <cellStyle name="C02B" xfId="20"/>
    <cellStyle name="C02H" xfId="21"/>
    <cellStyle name="C02L" xfId="22"/>
    <cellStyle name="C03A" xfId="23"/>
    <cellStyle name="C03B" xfId="24"/>
    <cellStyle name="C03H" xfId="25"/>
    <cellStyle name="C03L" xfId="26"/>
    <cellStyle name="C04A" xfId="27"/>
    <cellStyle name="C04B" xfId="28"/>
    <cellStyle name="C04H" xfId="29"/>
    <cellStyle name="C04L" xfId="30"/>
    <cellStyle name="C05A" xfId="31"/>
    <cellStyle name="C05B" xfId="32"/>
    <cellStyle name="C05H" xfId="33"/>
    <cellStyle name="C05L" xfId="34"/>
    <cellStyle name="C06A" xfId="35"/>
    <cellStyle name="C06B" xfId="36"/>
    <cellStyle name="C06H" xfId="37"/>
    <cellStyle name="C06L" xfId="38"/>
    <cellStyle name="C07A" xfId="39"/>
    <cellStyle name="C07B" xfId="40"/>
    <cellStyle name="C07H" xfId="41"/>
    <cellStyle name="C07L" xfId="42"/>
    <cellStyle name="Comma" xfId="96" builtinId="3"/>
    <cellStyle name="Comma [2]" xfId="105"/>
    <cellStyle name="Comma 10" xfId="106"/>
    <cellStyle name="Comma 11" xfId="107"/>
    <cellStyle name="Comma 12" xfId="108"/>
    <cellStyle name="Comma 13" xfId="109"/>
    <cellStyle name="Comma 14" xfId="110"/>
    <cellStyle name="Comma 15" xfId="111"/>
    <cellStyle name="Comma 16" xfId="112"/>
    <cellStyle name="Comma 17" xfId="113"/>
    <cellStyle name="Comma 18" xfId="114"/>
    <cellStyle name="Comma 19" xfId="115"/>
    <cellStyle name="Comma 2" xfId="2"/>
    <cellStyle name="Comma 2 2" xfId="116"/>
    <cellStyle name="Comma 20" xfId="117"/>
    <cellStyle name="Comma 21" xfId="118"/>
    <cellStyle name="Comma 22" xfId="119"/>
    <cellStyle name="Comma 23" xfId="120"/>
    <cellStyle name="Comma 24" xfId="121"/>
    <cellStyle name="Comma 25" xfId="122"/>
    <cellStyle name="Comma 26" xfId="123"/>
    <cellStyle name="Comma 27" xfId="124"/>
    <cellStyle name="Comma 28" xfId="125"/>
    <cellStyle name="Comma 29" xfId="126"/>
    <cellStyle name="Comma 3" xfId="98"/>
    <cellStyle name="Comma 3 2" xfId="127"/>
    <cellStyle name="Comma 30" xfId="128"/>
    <cellStyle name="Comma 31" xfId="129"/>
    <cellStyle name="Comma 32" xfId="130"/>
    <cellStyle name="Comma 33" xfId="131"/>
    <cellStyle name="Comma 34" xfId="132"/>
    <cellStyle name="Comma 35" xfId="133"/>
    <cellStyle name="Comma 36" xfId="134"/>
    <cellStyle name="Comma 37" xfId="135"/>
    <cellStyle name="Comma 38" xfId="136"/>
    <cellStyle name="Comma 39" xfId="137"/>
    <cellStyle name="Comma 4" xfId="138"/>
    <cellStyle name="Comma 40" xfId="139"/>
    <cellStyle name="Comma 41" xfId="140"/>
    <cellStyle name="Comma 42" xfId="141"/>
    <cellStyle name="Comma 43" xfId="142"/>
    <cellStyle name="Comma 44" xfId="143"/>
    <cellStyle name="Comma 45" xfId="144"/>
    <cellStyle name="Comma 46" xfId="145"/>
    <cellStyle name="Comma 47" xfId="146"/>
    <cellStyle name="Comma 48" xfId="147"/>
    <cellStyle name="Comma 49" xfId="148"/>
    <cellStyle name="Comma 5" xfId="149"/>
    <cellStyle name="Comma 50" xfId="150"/>
    <cellStyle name="Comma 51" xfId="151"/>
    <cellStyle name="Comma 52" xfId="152"/>
    <cellStyle name="Comma 53" xfId="153"/>
    <cellStyle name="Comma 54" xfId="154"/>
    <cellStyle name="Comma 55" xfId="155"/>
    <cellStyle name="Comma 56" xfId="156"/>
    <cellStyle name="Comma 57" xfId="157"/>
    <cellStyle name="Comma 58" xfId="158"/>
    <cellStyle name="Comma 59" xfId="159"/>
    <cellStyle name="Comma 6" xfId="160"/>
    <cellStyle name="Comma 6 2" xfId="161"/>
    <cellStyle name="Comma 60" xfId="162"/>
    <cellStyle name="Comma 61" xfId="163"/>
    <cellStyle name="Comma 62" xfId="164"/>
    <cellStyle name="Comma 63" xfId="165"/>
    <cellStyle name="Comma 64" xfId="166"/>
    <cellStyle name="Comma 65" xfId="167"/>
    <cellStyle name="Comma 66" xfId="168"/>
    <cellStyle name="Comma 67" xfId="169"/>
    <cellStyle name="Comma 68" xfId="170"/>
    <cellStyle name="Comma 69" xfId="171"/>
    <cellStyle name="Comma 7" xfId="172"/>
    <cellStyle name="Comma 70" xfId="173"/>
    <cellStyle name="Comma 71" xfId="174"/>
    <cellStyle name="Comma 72" xfId="175"/>
    <cellStyle name="Comma 73" xfId="176"/>
    <cellStyle name="Comma 74" xfId="177"/>
    <cellStyle name="Comma 75" xfId="178"/>
    <cellStyle name="Comma 76" xfId="179"/>
    <cellStyle name="Comma 77" xfId="180"/>
    <cellStyle name="Comma 78" xfId="181"/>
    <cellStyle name="Comma 79" xfId="182"/>
    <cellStyle name="Comma 8" xfId="183"/>
    <cellStyle name="Comma 80" xfId="184"/>
    <cellStyle name="Comma 81" xfId="185"/>
    <cellStyle name="Comma 82" xfId="186"/>
    <cellStyle name="Comma 83" xfId="187"/>
    <cellStyle name="Comma 84" xfId="188"/>
    <cellStyle name="Comma 85" xfId="189"/>
    <cellStyle name="Comma 86" xfId="190"/>
    <cellStyle name="Comma 9" xfId="191"/>
    <cellStyle name="Comma0" xfId="43"/>
    <cellStyle name="Currency" xfId="97" builtinId="4"/>
    <cellStyle name="Currency [2]" xfId="192"/>
    <cellStyle name="Currency 2" xfId="3"/>
    <cellStyle name="Currency 3" xfId="99"/>
    <cellStyle name="Currency 3 2" xfId="193"/>
    <cellStyle name="Currency 3 3" xfId="222"/>
    <cellStyle name="Currency 4" xfId="194"/>
    <cellStyle name="Currency 4 2" xfId="195"/>
    <cellStyle name="Currency 5" xfId="196"/>
    <cellStyle name="Currency 6" xfId="197"/>
    <cellStyle name="Currency 7" xfId="198"/>
    <cellStyle name="Currency 7 2" xfId="227"/>
    <cellStyle name="Currency 8" xfId="225"/>
    <cellStyle name="Currency0" xfId="44"/>
    <cellStyle name="Date" xfId="45"/>
    <cellStyle name="Fixed" xfId="46"/>
    <cellStyle name="FRxAmtStyle" xfId="199"/>
    <cellStyle name="Grey" xfId="47"/>
    <cellStyle name="Heading1" xfId="48"/>
    <cellStyle name="Heading2" xfId="49"/>
    <cellStyle name="Input [yellow]" xfId="50"/>
    <cellStyle name="Normal" xfId="0" builtinId="0"/>
    <cellStyle name="Normal - Style1" xfId="51"/>
    <cellStyle name="Normal 10" xfId="103"/>
    <cellStyle name="Normal 10 2" xfId="226"/>
    <cellStyle name="Normal 11" xfId="200"/>
    <cellStyle name="Normal 12" xfId="221"/>
    <cellStyle name="Normal 13" xfId="224"/>
    <cellStyle name="Normal 2" xfId="1"/>
    <cellStyle name="Normal 2 2" xfId="201"/>
    <cellStyle name="Normal 2 3" xfId="223"/>
    <cellStyle name="Normal 3" xfId="10"/>
    <cellStyle name="Normal 3 2" xfId="100"/>
    <cellStyle name="Normal 3 3" xfId="202"/>
    <cellStyle name="Normal 33" xfId="203"/>
    <cellStyle name="Normal 34" xfId="204"/>
    <cellStyle name="Normal 4" xfId="101"/>
    <cellStyle name="Normal 4 2" xfId="205"/>
    <cellStyle name="Normal 4 3" xfId="206"/>
    <cellStyle name="Normal 4 4" xfId="207"/>
    <cellStyle name="Normal 5" xfId="102"/>
    <cellStyle name="Normal 6" xfId="208"/>
    <cellStyle name="Normal 6 2" xfId="209"/>
    <cellStyle name="Normal 6 3" xfId="210"/>
    <cellStyle name="Normal 7" xfId="211"/>
    <cellStyle name="Normal 8" xfId="212"/>
    <cellStyle name="Normal 9" xfId="213"/>
    <cellStyle name="Normal_Sheet10" xfId="9"/>
    <cellStyle name="Normal_Sheet3" xfId="4"/>
    <cellStyle name="Normal_Sheet6" xfId="5"/>
    <cellStyle name="Normal_Sheet7" xfId="6"/>
    <cellStyle name="Normal_Sheet8" xfId="8"/>
    <cellStyle name="Normal_Sheet9" xfId="7"/>
    <cellStyle name="Percent" xfId="228" builtinId="5"/>
    <cellStyle name="Percent [2]" xfId="52"/>
    <cellStyle name="Percent 2" xfId="11"/>
    <cellStyle name="Percent 2 2" xfId="214"/>
    <cellStyle name="Percent 3" xfId="215"/>
    <cellStyle name="Percent 3 2" xfId="216"/>
    <cellStyle name="Percent 4" xfId="217"/>
    <cellStyle name="Percent 5" xfId="218"/>
    <cellStyle name="Percent 6" xfId="219"/>
    <cellStyle name="PSChar" xfId="53"/>
    <cellStyle name="PSDate" xfId="54"/>
    <cellStyle name="PSDec" xfId="55"/>
    <cellStyle name="PSdesc" xfId="56"/>
    <cellStyle name="PSHeading" xfId="57"/>
    <cellStyle name="PSInt" xfId="58"/>
    <cellStyle name="PSSpacer" xfId="59"/>
    <cellStyle name="PStest" xfId="60"/>
    <cellStyle name="R00A" xfId="61"/>
    <cellStyle name="R00B" xfId="62"/>
    <cellStyle name="R00L" xfId="63"/>
    <cellStyle name="R01A" xfId="64"/>
    <cellStyle name="R01B" xfId="65"/>
    <cellStyle name="R01H" xfId="66"/>
    <cellStyle name="R01L" xfId="67"/>
    <cellStyle name="R02A" xfId="68"/>
    <cellStyle name="R02B" xfId="69"/>
    <cellStyle name="R02H" xfId="70"/>
    <cellStyle name="R02L" xfId="71"/>
    <cellStyle name="R03A" xfId="72"/>
    <cellStyle name="R03B" xfId="73"/>
    <cellStyle name="R03H" xfId="74"/>
    <cellStyle name="R03L" xfId="75"/>
    <cellStyle name="R04A" xfId="76"/>
    <cellStyle name="R04B" xfId="77"/>
    <cellStyle name="R04H" xfId="78"/>
    <cellStyle name="R04L" xfId="79"/>
    <cellStyle name="R05A" xfId="80"/>
    <cellStyle name="R05B" xfId="81"/>
    <cellStyle name="R05H" xfId="82"/>
    <cellStyle name="R05L" xfId="83"/>
    <cellStyle name="R06A" xfId="84"/>
    <cellStyle name="R06B" xfId="85"/>
    <cellStyle name="R06H" xfId="86"/>
    <cellStyle name="R06L" xfId="87"/>
    <cellStyle name="R07A" xfId="88"/>
    <cellStyle name="R07B" xfId="89"/>
    <cellStyle name="R07H" xfId="90"/>
    <cellStyle name="R07L" xfId="91"/>
    <cellStyle name="STYLE1" xfId="92"/>
    <cellStyle name="STYLE2" xfId="93"/>
    <cellStyle name="STYLE3" xfId="94"/>
    <cellStyle name="STYLE4" xfId="9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FFFF99"/>
      <color rgb="FFFFCCFF"/>
      <color rgb="FFFF99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mnguyen\My%20Documents\ca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ATE%20STUDY_1\Detroit%20Lakes%20-%202015%20Electric\DL%20Files\DL%20Electric%20Depreciation%20123114%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b36\rate%20studies\RATE%20STUDY_1\Dande%202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ATE%20STUDY_1\dande%202_5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ATE%20STUDY_1\Dande%202_6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pkettles\Local%20Settings\Temporary%20Internet%20Files\OLKE\GF%20200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ATE%20STUDY_1\Worthington%20-%202013%20Electric\Wgton%20File\Brewster\Brewster%202013%2006_includes%202012%20wapa%20mres%20split%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ATE%20STUDY_1\Worthington%20-%202013%20Electric\Excel\Wgton_Study_Approved%20Rates%202013-12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inancing%20Plan\2009\Capital%20Financing%20Model%20Slower%20Pace03-03-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ATE%20STUDY_1\Plato%20Billing6_205%20Dec%201%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 depreciation from Pam"/>
      <sheetName val="Deprec. 2014 Adjusted for Att O"/>
      <sheetName val="Dep Sched 2011 from Att O"/>
    </sheetNames>
    <sheetDataSet>
      <sheetData sheetId="0"/>
      <sheetData sheetId="1"/>
      <sheetData sheetId="2">
        <row r="187">
          <cell r="N187">
            <v>2.5000000000000001E-2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95_003"/>
      <sheetName val="M01_057"/>
      <sheetName val="M01_056"/>
      <sheetName val="M01_055"/>
      <sheetName val="M01_054"/>
      <sheetName val="M01_053"/>
      <sheetName val="M01_052"/>
      <sheetName val="M01_051"/>
      <sheetName val="M01_050"/>
      <sheetName val="M01_049"/>
      <sheetName val="M01_048"/>
      <sheetName val="M01_047"/>
      <sheetName val="M01_046"/>
      <sheetName val="M01_045"/>
      <sheetName val="M00_001"/>
      <sheetName val="DANDE"/>
      <sheetName val="M01_044"/>
      <sheetName val="M01_043"/>
      <sheetName val="M01_042"/>
      <sheetName val="M01_041"/>
      <sheetName val="M01_040"/>
      <sheetName val="M01_039"/>
      <sheetName val="M01_038"/>
      <sheetName val="M01_037"/>
      <sheetName val="M01_036"/>
      <sheetName val="M01_035"/>
      <sheetName val="M01_034"/>
      <sheetName val="M01_033"/>
      <sheetName val="M01_032"/>
      <sheetName val="M01_031"/>
      <sheetName val="M01_030"/>
      <sheetName val="M01_029"/>
      <sheetName val="M01_028"/>
      <sheetName val="M01_027"/>
      <sheetName val="M01_026"/>
      <sheetName val="M01_025"/>
      <sheetName val="M01_024"/>
      <sheetName val="M01_023"/>
      <sheetName val="M01_022"/>
      <sheetName val="M01_021"/>
      <sheetName val="M01_020"/>
      <sheetName val="M01_019"/>
      <sheetName val="M01_018"/>
      <sheetName val="M01_017"/>
      <sheetName val="M01_016"/>
      <sheetName val="M01_015"/>
      <sheetName val="M01_014"/>
      <sheetName val="M01_013"/>
      <sheetName val="M01_012"/>
      <sheetName val="M01_011"/>
      <sheetName val="M01_010"/>
      <sheetName val="M01_009"/>
      <sheetName val="M01_008"/>
      <sheetName val="M01_007"/>
      <sheetName val="M01_006"/>
      <sheetName val="M01_005"/>
      <sheetName val="M01_004"/>
      <sheetName val="M01_003"/>
      <sheetName val="M01_002"/>
      <sheetName val="M01_001"/>
      <sheetName val="M01_058"/>
      <sheetName val="Sioux Center - outlet"/>
      <sheetName val="Sioux Center - towngate"/>
      <sheetName val="M00_002"/>
      <sheetName val="M00_003"/>
      <sheetName val="el"/>
      <sheetName val="M00_004"/>
      <sheetName val="M00_005"/>
      <sheetName val="M00_006"/>
      <sheetName val="M00_057"/>
      <sheetName val="M00_056"/>
      <sheetName val="M00_055"/>
      <sheetName val="M00_054"/>
      <sheetName val="M00_053"/>
      <sheetName val="M00_052"/>
      <sheetName val="M00_051"/>
      <sheetName val="M00_050"/>
      <sheetName val="M00_049"/>
      <sheetName val="M00_048"/>
      <sheetName val="M00_047"/>
      <sheetName val="M00_046"/>
      <sheetName val="M00_045"/>
      <sheetName val="M00_044"/>
      <sheetName val="M00_043"/>
      <sheetName val="M00_042"/>
      <sheetName val="M00_041"/>
      <sheetName val="M00_040"/>
      <sheetName val="M00_039"/>
      <sheetName val="M00_038"/>
      <sheetName val="M00_037"/>
      <sheetName val="M00_036"/>
      <sheetName val="M00_035"/>
      <sheetName val="M00_034"/>
      <sheetName val="M00_033"/>
      <sheetName val="M00_032"/>
      <sheetName val="M00_031"/>
      <sheetName val="M00_030"/>
      <sheetName val="M00_029"/>
      <sheetName val="M00_028"/>
      <sheetName val="M00_027"/>
      <sheetName val="M00_026"/>
      <sheetName val="M00_025"/>
      <sheetName val="M00_024"/>
      <sheetName val="M00_023"/>
      <sheetName val="M00_022"/>
      <sheetName val="M00_021"/>
      <sheetName val="M00_020"/>
      <sheetName val="M00_019"/>
      <sheetName val="M00_018"/>
      <sheetName val="M00_017"/>
      <sheetName val="M00_016"/>
      <sheetName val="M00_015"/>
      <sheetName val="M00_014"/>
      <sheetName val="M00_013"/>
      <sheetName val="M00_012"/>
      <sheetName val="M00_011"/>
      <sheetName val="M00_010"/>
      <sheetName val="M00_009"/>
      <sheetName val="M00_008"/>
      <sheetName val="M00_0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002_004"/>
      <sheetName val="M002_005"/>
      <sheetName val="M002_006"/>
      <sheetName val="M002_001"/>
      <sheetName val="M002_002"/>
      <sheetName val="DANDE"/>
      <sheetName val="M002_003"/>
      <sheetName val="M002_011"/>
      <sheetName val="M002_007"/>
      <sheetName val="M002_008"/>
      <sheetName val="M002_009"/>
      <sheetName val="Adrian TG Nov"/>
      <sheetName val="M002_006 (2)"/>
      <sheetName val="lmu"/>
      <sheetName val="M002_010"/>
      <sheetName val="TG 9-21"/>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002_001"/>
      <sheetName val="M003_005"/>
      <sheetName val="M002_002"/>
      <sheetName val="M003_001"/>
      <sheetName val="M003_002"/>
      <sheetName val="M003_003"/>
      <sheetName val="M002_003"/>
      <sheetName val="M003_004"/>
      <sheetName val="mmu"/>
      <sheetName val="M003_006"/>
      <sheetName val="M003_007"/>
      <sheetName val="M003_008"/>
      <sheetName val="M002_004"/>
      <sheetName val="M003_009"/>
      <sheetName val="DANDE"/>
      <sheetName val="Sheet1"/>
      <sheetName val="M002_005"/>
      <sheetName val="M002_007"/>
      <sheetName val="M002_006"/>
      <sheetName val="M002_008"/>
      <sheetName val="M002_009"/>
      <sheetName val="M002_010"/>
      <sheetName val="Towngate"/>
      <sheetName val="M002_011"/>
      <sheetName val="M002_012"/>
      <sheetName val="M002_013"/>
      <sheetName val="M001_058"/>
      <sheetName val="M001_057"/>
      <sheetName val="M001_056"/>
      <sheetName val="M001_055"/>
      <sheetName val="M001_054"/>
      <sheetName val="M001_053"/>
      <sheetName val="M001_052"/>
      <sheetName val="M001_051"/>
      <sheetName val="M001_050"/>
      <sheetName val="M001_049"/>
      <sheetName val="M001_048"/>
      <sheetName val="M001_047"/>
      <sheetName val="M001_046"/>
      <sheetName val="M001_045"/>
      <sheetName val="M001_044"/>
      <sheetName val="M001_043"/>
      <sheetName val="M001_042"/>
      <sheetName val="M001_041"/>
      <sheetName val="M001_040"/>
      <sheetName val="M001_039"/>
      <sheetName val="M001_038"/>
      <sheetName val="M001_037"/>
      <sheetName val="M001_036"/>
      <sheetName val="M001_035"/>
      <sheetName val="M001_034"/>
      <sheetName val="M001_033"/>
      <sheetName val="M001_032"/>
      <sheetName val="M001_031"/>
      <sheetName val="M001_030"/>
      <sheetName val="M001_029"/>
      <sheetName val="M001_028"/>
      <sheetName val="M001_027"/>
      <sheetName val="M001_026"/>
      <sheetName val="M001_025"/>
      <sheetName val="M001_024"/>
      <sheetName val="M001_023"/>
      <sheetName val="M001_022"/>
      <sheetName val="M001_021"/>
      <sheetName val="M001_020"/>
      <sheetName val="M001_019"/>
      <sheetName val="M001_018"/>
      <sheetName val="M001_016"/>
      <sheetName val="M001_015"/>
      <sheetName val="M001_014"/>
      <sheetName val="M001_013"/>
      <sheetName val="M001_012"/>
      <sheetName val="M001_011"/>
      <sheetName val="M001_010"/>
      <sheetName val="M001_009"/>
      <sheetName val="M001_008"/>
      <sheetName val="M001_007"/>
      <sheetName val="M001_006"/>
      <sheetName val="M001_005"/>
      <sheetName val="M001_004"/>
      <sheetName val="M001_003"/>
      <sheetName val="M001_002"/>
      <sheetName val="M001_001"/>
      <sheetName val="Denison"/>
      <sheetName val="M003_004b tg"/>
      <sheetName val="M003_006 (2)"/>
      <sheetName val="Sales Nov"/>
      <sheetName val="Towngate Nov"/>
    </sheetNames>
    <sheetDataSet>
      <sheetData sheetId="0"/>
      <sheetData sheetId="1"/>
      <sheetData sheetId="2"/>
      <sheetData sheetId="3"/>
      <sheetData sheetId="4"/>
      <sheetData sheetId="5"/>
      <sheetData sheetId="6"/>
      <sheetData sheetId="7" refreshError="1"/>
      <sheetData sheetId="8"/>
      <sheetData sheetId="9"/>
      <sheetData sheetId="10"/>
      <sheetData sheetId="11"/>
      <sheetData sheetId="12" refreshError="1"/>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efreshError="1"/>
      <sheetData sheetId="85"/>
      <sheetData sheetId="86"/>
      <sheetData sheetId="8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Q44">
            <v>3234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250TotCost_001"/>
      <sheetName val="000250Billing_001"/>
      <sheetName val="000256TotCost_001"/>
      <sheetName val="000256Billing_001"/>
      <sheetName val="000257TotCost_001"/>
      <sheetName val="000257TotCost_002"/>
      <sheetName val="000258TotCost_001"/>
      <sheetName val="000258Billing_001"/>
      <sheetName val="Billing"/>
      <sheetName val="FibroQueries"/>
      <sheetName val="RelNotes"/>
      <sheetName val="Bill Tbls"/>
      <sheetName val="Pl Tbls"/>
      <sheetName val="Sheet25"/>
      <sheetName val="Sheet1"/>
      <sheetName val="Plato Billing6_205 Dec 1 2014"/>
      <sheetName val="000251TotCost_001"/>
      <sheetName val="000251Billing_001"/>
      <sheetName val="000252TotCost_002"/>
      <sheetName val="000252Billing_002"/>
      <sheetName val="000252TotCost_001"/>
      <sheetName val="000252Billing_001"/>
      <sheetName val="000252TotCost_003"/>
      <sheetName val="000252Billing_003"/>
      <sheetName val="RateEdit"/>
      <sheetName val="000244Billing_001"/>
      <sheetName val="000244TotCost_002"/>
      <sheetName val="000244Billing_002"/>
      <sheetName val="000246EM_001"/>
      <sheetName val="000246TotCost_001"/>
      <sheetName val="000246Billing_001"/>
      <sheetName val="000246TotCost_002"/>
      <sheetName val="000246Billing_002"/>
      <sheetName val="000246TotCost_003"/>
      <sheetName val="000246Billing_003"/>
      <sheetName val="000246TotCost_004"/>
      <sheetName val="000254TotCost_001"/>
      <sheetName val="000254Billing_001"/>
      <sheetName val="000254TotCost_002"/>
      <sheetName val="000254Billing_002"/>
      <sheetName val="000255TotCost_001"/>
      <sheetName val="000255Billing_001"/>
      <sheetName val="000257TotCost_003"/>
      <sheetName val="000257Billing_001"/>
      <sheetName val="000258TotCost_002"/>
      <sheetName val="000257TotCost_004"/>
      <sheetName val="000257Billing_002"/>
      <sheetName val="000258TotCost_003"/>
      <sheetName val="000258Billing_002"/>
      <sheetName val="000260TotCost_001"/>
      <sheetName val="000260Billing_001"/>
      <sheetName val="000261EM_001"/>
      <sheetName val="000261TotCost_001"/>
      <sheetName val="000261Billing_001"/>
      <sheetName val="000261TotCost_002"/>
      <sheetName val="000261Billing_002"/>
      <sheetName val="000270EM_001"/>
      <sheetName val="000270TotCost_001"/>
      <sheetName val="000270Billing_001"/>
      <sheetName val="000270TotCost_002"/>
      <sheetName val="000270Billing_002"/>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ow r="24">
          <cell r="AM24">
            <v>15247966.41</v>
          </cell>
        </row>
      </sheetData>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341"/>
  <sheetViews>
    <sheetView tabSelected="1" zoomScale="80" zoomScaleNormal="80" zoomScaleSheetLayoutView="85" workbookViewId="0">
      <selection activeCell="O80" sqref="O80:S130"/>
    </sheetView>
  </sheetViews>
  <sheetFormatPr defaultColWidth="8.90625" defaultRowHeight="15.6"/>
  <cols>
    <col min="1" max="1" width="6" style="112" customWidth="1"/>
    <col min="2" max="2" width="28.453125" style="112" customWidth="1"/>
    <col min="3" max="3" width="32.54296875" style="112" customWidth="1"/>
    <col min="4" max="4" width="11.90625" style="112" customWidth="1"/>
    <col min="5" max="5" width="4.90625" style="112" customWidth="1"/>
    <col min="6" max="6" width="4.6328125" style="112" customWidth="1"/>
    <col min="7" max="7" width="8" style="112" customWidth="1"/>
    <col min="8" max="8" width="3.90625" style="112" customWidth="1"/>
    <col min="9" max="9" width="10.90625" style="112" customWidth="1"/>
    <col min="10" max="10" width="2.08984375" style="112" customWidth="1"/>
    <col min="11" max="11" width="9.1796875" style="112" customWidth="1"/>
    <col min="12" max="13" width="8.90625" style="112"/>
    <col min="14" max="14" width="23.1796875" style="112" customWidth="1"/>
    <col min="15" max="15" width="11.6328125" style="481" bestFit="1" customWidth="1"/>
    <col min="16" max="16" width="10.54296875" style="114" bestFit="1" customWidth="1"/>
    <col min="17" max="19" width="8.90625" style="114"/>
    <col min="20" max="16384" width="8.90625" style="112"/>
  </cols>
  <sheetData>
    <row r="1" spans="1:18">
      <c r="K1" s="113" t="s">
        <v>770</v>
      </c>
    </row>
    <row r="2" spans="1:18">
      <c r="B2" s="115"/>
      <c r="C2" s="115"/>
      <c r="D2" s="116"/>
      <c r="E2" s="115"/>
      <c r="F2" s="115"/>
      <c r="G2" s="115"/>
      <c r="H2" s="117"/>
      <c r="I2" s="118"/>
      <c r="K2" s="119" t="s">
        <v>184</v>
      </c>
      <c r="L2" s="118"/>
      <c r="N2" s="118"/>
    </row>
    <row r="3" spans="1:18">
      <c r="B3" s="115"/>
      <c r="C3" s="115"/>
      <c r="D3" s="116"/>
      <c r="E3" s="115"/>
      <c r="F3" s="115"/>
      <c r="G3" s="115"/>
      <c r="H3" s="117"/>
      <c r="I3" s="117"/>
      <c r="J3" s="118"/>
      <c r="K3" s="120"/>
      <c r="L3" s="118"/>
      <c r="N3" s="118"/>
    </row>
    <row r="4" spans="1:18">
      <c r="B4" s="115" t="s">
        <v>0</v>
      </c>
      <c r="C4" s="115"/>
      <c r="D4" s="116" t="s">
        <v>1</v>
      </c>
      <c r="E4" s="115"/>
      <c r="F4" s="115"/>
      <c r="G4" s="115"/>
      <c r="H4" s="121"/>
      <c r="I4" s="122"/>
      <c r="J4" s="123"/>
      <c r="K4" s="124" t="s">
        <v>882</v>
      </c>
      <c r="L4" s="118"/>
      <c r="N4" s="118"/>
    </row>
    <row r="5" spans="1:18">
      <c r="B5" s="115"/>
      <c r="C5" s="125" t="s">
        <v>2</v>
      </c>
      <c r="D5" s="125" t="s">
        <v>3</v>
      </c>
      <c r="E5" s="125"/>
      <c r="F5" s="125"/>
      <c r="G5" s="125"/>
      <c r="H5" s="117"/>
      <c r="I5" s="117"/>
      <c r="J5" s="118"/>
      <c r="K5" s="118"/>
      <c r="L5" s="118"/>
      <c r="N5" s="118"/>
    </row>
    <row r="6" spans="1:18">
      <c r="B6" s="118"/>
      <c r="C6" s="118"/>
      <c r="D6" s="118"/>
      <c r="E6" s="118"/>
      <c r="F6" s="118"/>
      <c r="G6" s="118"/>
      <c r="H6" s="118"/>
      <c r="I6" s="118"/>
      <c r="J6" s="118"/>
      <c r="K6" s="118"/>
      <c r="L6" s="118"/>
      <c r="N6" s="118"/>
    </row>
    <row r="7" spans="1:18">
      <c r="A7" s="126"/>
      <c r="B7" s="118"/>
      <c r="C7" s="118"/>
      <c r="D7" s="127" t="s">
        <v>809</v>
      </c>
      <c r="E7" s="128"/>
      <c r="F7" s="128"/>
      <c r="G7" s="128"/>
      <c r="H7" s="118"/>
      <c r="I7" s="118"/>
      <c r="J7" s="118"/>
      <c r="K7" s="118"/>
      <c r="L7" s="118"/>
      <c r="N7" s="118"/>
    </row>
    <row r="8" spans="1:18">
      <c r="A8" s="126"/>
      <c r="B8" s="118"/>
      <c r="C8" s="118"/>
      <c r="D8" s="129"/>
      <c r="E8" s="118"/>
      <c r="F8" s="118"/>
      <c r="G8" s="118"/>
      <c r="H8" s="118"/>
      <c r="I8" s="118"/>
      <c r="J8" s="118"/>
      <c r="K8" s="118"/>
      <c r="L8" s="118"/>
      <c r="N8" s="118"/>
      <c r="O8" s="482"/>
      <c r="P8" s="528"/>
      <c r="Q8" s="528"/>
      <c r="R8" s="528"/>
    </row>
    <row r="9" spans="1:18">
      <c r="A9" s="126" t="s">
        <v>4</v>
      </c>
      <c r="B9" s="118"/>
      <c r="C9" s="118"/>
      <c r="D9" s="129"/>
      <c r="E9" s="118"/>
      <c r="F9" s="118"/>
      <c r="G9" s="118"/>
      <c r="H9" s="118"/>
      <c r="I9" s="126" t="s">
        <v>5</v>
      </c>
      <c r="J9" s="118"/>
      <c r="K9" s="118"/>
      <c r="L9" s="118"/>
      <c r="N9" s="118"/>
      <c r="O9" s="529"/>
      <c r="P9" s="530"/>
      <c r="Q9" s="528"/>
      <c r="R9" s="528"/>
    </row>
    <row r="10" spans="1:18" ht="16.2" thickBot="1">
      <c r="A10" s="130" t="s">
        <v>6</v>
      </c>
      <c r="B10" s="118"/>
      <c r="C10" s="118"/>
      <c r="D10" s="118"/>
      <c r="E10" s="118"/>
      <c r="F10" s="118"/>
      <c r="G10" s="118"/>
      <c r="H10" s="118"/>
      <c r="I10" s="130" t="s">
        <v>7</v>
      </c>
      <c r="J10" s="118"/>
      <c r="K10" s="118"/>
      <c r="L10" s="118"/>
      <c r="N10" s="118"/>
      <c r="O10" s="529"/>
      <c r="P10" s="530"/>
      <c r="Q10" s="530"/>
      <c r="R10" s="528"/>
    </row>
    <row r="11" spans="1:18">
      <c r="A11" s="126">
        <v>1</v>
      </c>
      <c r="B11" s="118" t="s">
        <v>249</v>
      </c>
      <c r="C11" s="118"/>
      <c r="D11" s="131"/>
      <c r="E11" s="118"/>
      <c r="F11" s="118"/>
      <c r="G11" s="118"/>
      <c r="H11" s="118"/>
      <c r="I11" s="132">
        <f>+I201</f>
        <v>325037.06489636336</v>
      </c>
      <c r="J11" s="118"/>
      <c r="K11" s="118"/>
      <c r="L11" s="118"/>
      <c r="N11" s="118"/>
      <c r="O11" s="482"/>
      <c r="P11" s="534"/>
      <c r="Q11" s="532"/>
      <c r="R11" s="528"/>
    </row>
    <row r="12" spans="1:18">
      <c r="A12" s="126"/>
      <c r="B12" s="118"/>
      <c r="C12" s="118"/>
      <c r="D12" s="118"/>
      <c r="E12" s="118"/>
      <c r="F12" s="118"/>
      <c r="G12" s="118"/>
      <c r="H12" s="118"/>
      <c r="I12" s="131"/>
      <c r="J12" s="118"/>
      <c r="K12" s="118"/>
      <c r="L12" s="118"/>
      <c r="N12" s="118"/>
      <c r="O12" s="482"/>
      <c r="P12" s="528"/>
      <c r="Q12" s="528"/>
      <c r="R12" s="528"/>
    </row>
    <row r="13" spans="1:18" ht="16.2" thickBot="1">
      <c r="A13" s="126" t="s">
        <v>2</v>
      </c>
      <c r="B13" s="133" t="s">
        <v>8</v>
      </c>
      <c r="C13" s="125" t="s">
        <v>175</v>
      </c>
      <c r="D13" s="130" t="s">
        <v>9</v>
      </c>
      <c r="E13" s="125"/>
      <c r="F13" s="134" t="s">
        <v>10</v>
      </c>
      <c r="G13" s="134"/>
      <c r="H13" s="118"/>
      <c r="I13" s="131"/>
      <c r="J13" s="118"/>
      <c r="K13" s="118"/>
      <c r="L13" s="118"/>
      <c r="N13" s="118"/>
      <c r="O13" s="482"/>
      <c r="P13" s="528"/>
      <c r="Q13" s="528"/>
      <c r="R13" s="528"/>
    </row>
    <row r="14" spans="1:18">
      <c r="A14" s="126">
        <v>2</v>
      </c>
      <c r="B14" s="133" t="s">
        <v>11</v>
      </c>
      <c r="C14" s="125" t="s">
        <v>168</v>
      </c>
      <c r="D14" s="125">
        <f>I261</f>
        <v>0</v>
      </c>
      <c r="E14" s="125"/>
      <c r="F14" s="125" t="s">
        <v>12</v>
      </c>
      <c r="G14" s="135">
        <f>I220</f>
        <v>1</v>
      </c>
      <c r="H14" s="125"/>
      <c r="I14" s="125">
        <f>+G14*D14</f>
        <v>0</v>
      </c>
      <c r="J14" s="118"/>
      <c r="K14" s="118"/>
      <c r="L14" s="118"/>
      <c r="N14" s="118"/>
      <c r="O14" s="482"/>
      <c r="P14" s="528"/>
      <c r="Q14" s="528"/>
      <c r="R14" s="528"/>
    </row>
    <row r="15" spans="1:18">
      <c r="A15" s="126">
        <v>3</v>
      </c>
      <c r="B15" s="133" t="s">
        <v>192</v>
      </c>
      <c r="C15" s="125" t="s">
        <v>169</v>
      </c>
      <c r="D15" s="125">
        <f>I268</f>
        <v>9621.65</v>
      </c>
      <c r="E15" s="125"/>
      <c r="F15" s="125" t="str">
        <f>+F14</f>
        <v>TP</v>
      </c>
      <c r="G15" s="135">
        <f>+G14</f>
        <v>1</v>
      </c>
      <c r="H15" s="125"/>
      <c r="I15" s="125">
        <f>+G15*D15</f>
        <v>9621.65</v>
      </c>
      <c r="J15" s="118"/>
      <c r="K15" s="118"/>
      <c r="N15" s="118"/>
      <c r="O15" s="482"/>
      <c r="P15" s="534"/>
      <c r="Q15" s="532"/>
      <c r="R15" s="528"/>
    </row>
    <row r="16" spans="1:18">
      <c r="A16" s="126">
        <v>4</v>
      </c>
      <c r="B16" s="133" t="s">
        <v>13</v>
      </c>
      <c r="C16" s="125"/>
      <c r="D16" s="136">
        <v>0</v>
      </c>
      <c r="E16" s="125"/>
      <c r="F16" s="125" t="s">
        <v>12</v>
      </c>
      <c r="G16" s="135">
        <f>+G14</f>
        <v>1</v>
      </c>
      <c r="H16" s="125"/>
      <c r="I16" s="125">
        <f>+G16*D16</f>
        <v>0</v>
      </c>
      <c r="J16" s="118"/>
      <c r="K16" s="118"/>
      <c r="L16" s="137"/>
      <c r="N16" s="118"/>
      <c r="O16" s="482"/>
      <c r="P16" s="528"/>
      <c r="Q16" s="528"/>
      <c r="R16" s="528"/>
    </row>
    <row r="17" spans="1:18" ht="16.2" thickBot="1">
      <c r="A17" s="126">
        <v>5</v>
      </c>
      <c r="B17" s="133" t="s">
        <v>14</v>
      </c>
      <c r="C17" s="125"/>
      <c r="D17" s="136">
        <v>0</v>
      </c>
      <c r="E17" s="125"/>
      <c r="F17" s="125" t="s">
        <v>12</v>
      </c>
      <c r="G17" s="135">
        <f>+G14</f>
        <v>1</v>
      </c>
      <c r="H17" s="125"/>
      <c r="I17" s="138">
        <f>+G17*D17</f>
        <v>0</v>
      </c>
      <c r="J17" s="118"/>
      <c r="K17" s="118"/>
      <c r="L17" s="137"/>
      <c r="N17" s="118"/>
      <c r="O17" s="482"/>
      <c r="P17" s="528"/>
      <c r="Q17" s="528"/>
      <c r="R17" s="528"/>
    </row>
    <row r="18" spans="1:18">
      <c r="A18" s="126">
        <v>6</v>
      </c>
      <c r="B18" s="133" t="s">
        <v>15</v>
      </c>
      <c r="C18" s="118"/>
      <c r="D18" s="139" t="s">
        <v>2</v>
      </c>
      <c r="E18" s="125"/>
      <c r="F18" s="125"/>
      <c r="G18" s="135"/>
      <c r="H18" s="125"/>
      <c r="I18" s="125">
        <f>SUM(I14:I17)</f>
        <v>9621.65</v>
      </c>
      <c r="J18" s="118"/>
      <c r="K18" s="118"/>
      <c r="L18" s="118"/>
      <c r="N18" s="118"/>
      <c r="O18" s="482"/>
      <c r="P18" s="528"/>
      <c r="Q18" s="528"/>
      <c r="R18" s="528"/>
    </row>
    <row r="19" spans="1:18">
      <c r="A19" s="126"/>
      <c r="B19" s="133"/>
      <c r="C19" s="118"/>
      <c r="I19" s="125"/>
      <c r="J19" s="118"/>
      <c r="K19" s="118"/>
      <c r="L19" s="118"/>
      <c r="N19" s="118"/>
      <c r="O19" s="482"/>
      <c r="P19" s="528"/>
      <c r="Q19" s="528"/>
      <c r="R19" s="528"/>
    </row>
    <row r="20" spans="1:18">
      <c r="A20" s="487" t="s">
        <v>967</v>
      </c>
      <c r="B20" s="2" t="s">
        <v>968</v>
      </c>
      <c r="C20" s="1"/>
      <c r="D20" s="1"/>
      <c r="E20" s="1"/>
      <c r="F20" s="1"/>
      <c r="G20" s="1"/>
      <c r="H20" s="1"/>
      <c r="I20" s="488">
        <v>0</v>
      </c>
      <c r="J20" s="118"/>
      <c r="K20" s="118"/>
      <c r="L20" s="118"/>
      <c r="N20" s="118"/>
      <c r="O20" s="482"/>
      <c r="P20" s="528"/>
      <c r="Q20" s="528"/>
      <c r="R20" s="528"/>
    </row>
    <row r="21" spans="1:18" ht="16.2" thickBot="1">
      <c r="A21" s="487" t="s">
        <v>969</v>
      </c>
      <c r="B21" s="2" t="s">
        <v>970</v>
      </c>
      <c r="C21" s="1"/>
      <c r="D21" s="1"/>
      <c r="E21" s="1"/>
      <c r="F21" s="1"/>
      <c r="G21" s="1"/>
      <c r="H21" s="1"/>
      <c r="I21" s="490">
        <v>0</v>
      </c>
      <c r="J21" s="118"/>
      <c r="K21" s="118"/>
      <c r="L21" s="118"/>
      <c r="N21" s="118"/>
      <c r="O21" s="482"/>
      <c r="P21" s="528"/>
      <c r="Q21" s="528"/>
      <c r="R21" s="528"/>
    </row>
    <row r="22" spans="1:18">
      <c r="A22" s="487" t="s">
        <v>971</v>
      </c>
      <c r="B22" s="2" t="s">
        <v>972</v>
      </c>
      <c r="C22" s="1"/>
      <c r="D22" s="1"/>
      <c r="E22" s="1"/>
      <c r="F22" s="1"/>
      <c r="G22" s="1"/>
      <c r="H22" s="1"/>
      <c r="I22" s="489">
        <f>I20+I21</f>
        <v>0</v>
      </c>
      <c r="J22" s="118"/>
      <c r="K22" s="118"/>
      <c r="L22" s="118"/>
      <c r="N22" s="118"/>
      <c r="O22" s="482"/>
      <c r="P22" s="528"/>
      <c r="Q22" s="528"/>
      <c r="R22" s="528"/>
    </row>
    <row r="23" spans="1:18">
      <c r="A23" s="487"/>
      <c r="B23" s="2"/>
      <c r="C23" s="1"/>
      <c r="D23" s="1"/>
      <c r="E23" s="1"/>
      <c r="F23" s="1"/>
      <c r="G23" s="1"/>
      <c r="H23" s="1"/>
      <c r="I23" s="489"/>
      <c r="J23" s="118"/>
      <c r="K23" s="118"/>
      <c r="L23" s="118"/>
      <c r="N23" s="118"/>
      <c r="O23" s="482"/>
      <c r="P23" s="528"/>
      <c r="Q23" s="528"/>
      <c r="R23" s="528"/>
    </row>
    <row r="24" spans="1:18" ht="16.2" thickBot="1">
      <c r="A24" s="126">
        <v>7</v>
      </c>
      <c r="B24" s="133" t="s">
        <v>16</v>
      </c>
      <c r="C24" s="486" t="s">
        <v>973</v>
      </c>
      <c r="D24" s="139" t="s">
        <v>2</v>
      </c>
      <c r="E24" s="125"/>
      <c r="F24" s="125"/>
      <c r="G24" s="125"/>
      <c r="H24" s="125"/>
      <c r="I24" s="140">
        <f>+I11-I18+I22</f>
        <v>315415.41489636333</v>
      </c>
      <c r="J24" s="118"/>
      <c r="K24" s="118"/>
      <c r="L24" s="118"/>
      <c r="N24" s="118"/>
      <c r="O24" s="482"/>
      <c r="P24" s="534"/>
      <c r="Q24" s="532"/>
      <c r="R24" s="528"/>
    </row>
    <row r="25" spans="1:18" ht="16.2" thickTop="1">
      <c r="A25" s="126"/>
      <c r="B25" s="133"/>
      <c r="C25" s="125"/>
      <c r="I25" s="125"/>
      <c r="J25" s="118"/>
      <c r="K25" s="118"/>
      <c r="L25" s="118"/>
      <c r="N25" s="118"/>
      <c r="O25" s="482"/>
      <c r="P25" s="528"/>
      <c r="Q25" s="528"/>
      <c r="R25" s="528"/>
    </row>
    <row r="26" spans="1:18">
      <c r="A26" s="126" t="s">
        <v>2</v>
      </c>
      <c r="B26" s="133" t="s">
        <v>17</v>
      </c>
      <c r="C26" s="118"/>
      <c r="D26" s="131"/>
      <c r="E26" s="118"/>
      <c r="F26" s="118"/>
      <c r="G26" s="118"/>
      <c r="H26" s="118"/>
      <c r="I26" s="131"/>
      <c r="J26" s="118"/>
      <c r="K26" s="118"/>
      <c r="L26" s="118"/>
      <c r="N26" s="118"/>
      <c r="O26" s="482"/>
      <c r="P26" s="528"/>
      <c r="Q26" s="528"/>
      <c r="R26" s="528"/>
    </row>
    <row r="27" spans="1:18">
      <c r="A27" s="126">
        <v>8</v>
      </c>
      <c r="B27" s="133" t="s">
        <v>18</v>
      </c>
      <c r="D27" s="131"/>
      <c r="E27" s="118"/>
      <c r="F27" s="118"/>
      <c r="G27" s="117" t="s">
        <v>19</v>
      </c>
      <c r="H27" s="118"/>
      <c r="I27" s="136">
        <v>0</v>
      </c>
      <c r="J27" s="118"/>
      <c r="K27" s="118"/>
      <c r="L27" s="1" t="s">
        <v>759</v>
      </c>
      <c r="O27" s="482"/>
      <c r="P27" s="528"/>
      <c r="Q27" s="528"/>
      <c r="R27" s="528"/>
    </row>
    <row r="28" spans="1:18">
      <c r="A28" s="126">
        <v>9</v>
      </c>
      <c r="B28" s="133" t="s">
        <v>20</v>
      </c>
      <c r="C28" s="125"/>
      <c r="D28" s="125"/>
      <c r="E28" s="125"/>
      <c r="F28" s="125"/>
      <c r="G28" s="125" t="s">
        <v>21</v>
      </c>
      <c r="H28" s="125"/>
      <c r="I28" s="136">
        <v>0</v>
      </c>
      <c r="J28" s="118"/>
      <c r="K28" s="118"/>
      <c r="L28" s="118"/>
    </row>
    <row r="29" spans="1:18">
      <c r="A29" s="126">
        <v>10</v>
      </c>
      <c r="B29" s="133" t="s">
        <v>22</v>
      </c>
      <c r="C29" s="118"/>
      <c r="D29" s="118"/>
      <c r="E29" s="118"/>
      <c r="F29" s="118"/>
      <c r="G29" s="117" t="s">
        <v>23</v>
      </c>
      <c r="H29" s="118"/>
      <c r="I29" s="136">
        <v>0</v>
      </c>
      <c r="J29" s="118"/>
      <c r="K29" s="118"/>
      <c r="L29" s="118"/>
    </row>
    <row r="30" spans="1:18">
      <c r="A30" s="126">
        <v>11</v>
      </c>
      <c r="B30" s="141" t="s">
        <v>24</v>
      </c>
      <c r="C30" s="118"/>
      <c r="D30" s="118"/>
      <c r="E30" s="118"/>
      <c r="F30" s="118"/>
      <c r="G30" s="117" t="s">
        <v>25</v>
      </c>
      <c r="H30" s="118"/>
      <c r="I30" s="136">
        <v>0</v>
      </c>
      <c r="J30" s="118"/>
      <c r="K30" s="118"/>
      <c r="L30" s="118"/>
    </row>
    <row r="31" spans="1:18">
      <c r="A31" s="126">
        <v>12</v>
      </c>
      <c r="B31" s="141" t="s">
        <v>26</v>
      </c>
      <c r="C31" s="118"/>
      <c r="D31" s="118"/>
      <c r="E31" s="118"/>
      <c r="F31" s="118"/>
      <c r="G31" s="117"/>
      <c r="H31" s="118"/>
      <c r="I31" s="136">
        <v>0</v>
      </c>
      <c r="J31" s="118"/>
      <c r="K31" s="118"/>
      <c r="L31" s="118"/>
    </row>
    <row r="32" spans="1:18">
      <c r="A32" s="126">
        <v>13</v>
      </c>
      <c r="B32" s="141" t="s">
        <v>176</v>
      </c>
      <c r="C32" s="118"/>
      <c r="D32" s="118"/>
      <c r="E32" s="118"/>
      <c r="F32" s="118"/>
      <c r="G32" s="117"/>
      <c r="H32" s="118"/>
      <c r="I32" s="142">
        <v>0</v>
      </c>
      <c r="J32" s="118"/>
      <c r="K32" s="118"/>
      <c r="L32" s="118"/>
    </row>
    <row r="33" spans="1:14" ht="16.2" thickBot="1">
      <c r="A33" s="126">
        <v>14</v>
      </c>
      <c r="B33" s="115" t="s">
        <v>170</v>
      </c>
      <c r="C33" s="118"/>
      <c r="D33" s="118"/>
      <c r="E33" s="118"/>
      <c r="F33" s="118"/>
      <c r="G33" s="118"/>
      <c r="H33" s="118"/>
      <c r="I33" s="143">
        <v>0</v>
      </c>
      <c r="J33" s="118"/>
      <c r="K33" s="118"/>
      <c r="L33" s="118"/>
    </row>
    <row r="34" spans="1:14">
      <c r="A34" s="126">
        <v>15</v>
      </c>
      <c r="B34" s="133" t="s">
        <v>209</v>
      </c>
      <c r="C34" s="118"/>
      <c r="D34" s="118"/>
      <c r="E34" s="118"/>
      <c r="F34" s="118"/>
      <c r="G34" s="118"/>
      <c r="H34" s="118"/>
      <c r="I34" s="131">
        <f>SUM(I27:I33)</f>
        <v>0</v>
      </c>
      <c r="J34" s="118"/>
      <c r="K34" s="118"/>
      <c r="L34" s="118"/>
    </row>
    <row r="35" spans="1:14">
      <c r="A35" s="126"/>
      <c r="B35" s="133"/>
      <c r="C35" s="118"/>
      <c r="D35" s="118"/>
      <c r="E35" s="118"/>
      <c r="F35" s="118"/>
      <c r="G35" s="118"/>
      <c r="H35" s="118"/>
      <c r="I35" s="131"/>
      <c r="J35" s="118"/>
      <c r="K35" s="118"/>
      <c r="L35" s="118"/>
      <c r="N35" s="118"/>
    </row>
    <row r="36" spans="1:14">
      <c r="A36" s="126">
        <v>16</v>
      </c>
      <c r="B36" s="133" t="s">
        <v>27</v>
      </c>
      <c r="C36" s="118" t="s">
        <v>208</v>
      </c>
      <c r="D36" s="144">
        <f>IF(I34&gt;0,I24/I34,0)</f>
        <v>0</v>
      </c>
      <c r="E36" s="118"/>
      <c r="F36" s="118"/>
      <c r="G36" s="118"/>
      <c r="H36" s="118"/>
      <c r="J36" s="118"/>
      <c r="K36" s="118"/>
      <c r="L36" s="118"/>
      <c r="N36" s="118"/>
    </row>
    <row r="37" spans="1:14">
      <c r="A37" s="126">
        <v>17</v>
      </c>
      <c r="B37" s="133" t="s">
        <v>210</v>
      </c>
      <c r="C37" s="118"/>
      <c r="D37" s="144">
        <f>+D36/12</f>
        <v>0</v>
      </c>
      <c r="E37" s="118"/>
      <c r="F37" s="118"/>
      <c r="G37" s="118"/>
      <c r="H37" s="118"/>
      <c r="J37" s="118"/>
      <c r="K37" s="118"/>
      <c r="L37" s="118"/>
      <c r="N37" s="118"/>
    </row>
    <row r="38" spans="1:14">
      <c r="A38" s="126"/>
      <c r="B38" s="133"/>
      <c r="C38" s="118"/>
      <c r="D38" s="144"/>
      <c r="E38" s="118"/>
      <c r="F38" s="118"/>
      <c r="G38" s="118"/>
      <c r="H38" s="118"/>
      <c r="J38" s="118"/>
      <c r="K38" s="118"/>
      <c r="L38" s="118"/>
      <c r="N38" s="118"/>
    </row>
    <row r="39" spans="1:14">
      <c r="A39" s="126"/>
      <c r="B39" s="133"/>
      <c r="C39" s="118"/>
      <c r="D39" s="145" t="s">
        <v>28</v>
      </c>
      <c r="E39" s="118"/>
      <c r="F39" s="118"/>
      <c r="G39" s="118"/>
      <c r="H39" s="118"/>
      <c r="I39" s="146" t="s">
        <v>29</v>
      </c>
      <c r="J39" s="118"/>
      <c r="K39" s="118"/>
      <c r="L39" s="118"/>
      <c r="N39" s="118"/>
    </row>
    <row r="40" spans="1:14">
      <c r="A40" s="126">
        <v>18</v>
      </c>
      <c r="B40" s="133" t="s">
        <v>30</v>
      </c>
      <c r="C40" s="118" t="s">
        <v>211</v>
      </c>
      <c r="D40" s="144">
        <f>+D36/52</f>
        <v>0</v>
      </c>
      <c r="E40" s="118"/>
      <c r="F40" s="118"/>
      <c r="G40" s="118"/>
      <c r="H40" s="118"/>
      <c r="I40" s="147">
        <f>+D36/52</f>
        <v>0</v>
      </c>
      <c r="J40" s="118"/>
      <c r="K40" s="118"/>
      <c r="L40" s="118"/>
      <c r="N40" s="118"/>
    </row>
    <row r="41" spans="1:14">
      <c r="A41" s="126">
        <v>19</v>
      </c>
      <c r="B41" s="133" t="s">
        <v>31</v>
      </c>
      <c r="C41" s="118" t="s">
        <v>250</v>
      </c>
      <c r="D41" s="144">
        <f>+D36/260</f>
        <v>0</v>
      </c>
      <c r="E41" s="118" t="s">
        <v>32</v>
      </c>
      <c r="G41" s="118"/>
      <c r="H41" s="118"/>
      <c r="I41" s="147">
        <f>+D36/365</f>
        <v>0</v>
      </c>
      <c r="J41" s="118"/>
      <c r="K41" s="118"/>
      <c r="L41" s="118"/>
      <c r="N41" s="118"/>
    </row>
    <row r="42" spans="1:14">
      <c r="A42" s="126">
        <v>20</v>
      </c>
      <c r="B42" s="133" t="s">
        <v>33</v>
      </c>
      <c r="C42" s="118" t="s">
        <v>251</v>
      </c>
      <c r="D42" s="144">
        <f>+D36/4160*1000</f>
        <v>0</v>
      </c>
      <c r="E42" s="118" t="s">
        <v>34</v>
      </c>
      <c r="G42" s="118"/>
      <c r="H42" s="118"/>
      <c r="I42" s="147">
        <f>+D36/8760*1000</f>
        <v>0</v>
      </c>
      <c r="J42" s="118"/>
      <c r="K42" s="118" t="s">
        <v>2</v>
      </c>
      <c r="L42" s="118"/>
      <c r="N42" s="118"/>
    </row>
    <row r="43" spans="1:14">
      <c r="A43" s="126"/>
      <c r="B43" s="133"/>
      <c r="C43" s="118" t="s">
        <v>35</v>
      </c>
      <c r="D43" s="118"/>
      <c r="E43" s="118" t="s">
        <v>36</v>
      </c>
      <c r="G43" s="118"/>
      <c r="H43" s="118"/>
      <c r="J43" s="118"/>
      <c r="K43" s="118" t="s">
        <v>2</v>
      </c>
      <c r="L43" s="118"/>
      <c r="N43" s="118"/>
    </row>
    <row r="44" spans="1:14">
      <c r="A44" s="126"/>
      <c r="B44" s="133"/>
      <c r="C44" s="118"/>
      <c r="D44" s="118"/>
      <c r="E44" s="118"/>
      <c r="G44" s="118"/>
      <c r="H44" s="118"/>
      <c r="J44" s="118"/>
      <c r="K44" s="118" t="s">
        <v>2</v>
      </c>
      <c r="L44" s="118"/>
      <c r="N44" s="118"/>
    </row>
    <row r="45" spans="1:14">
      <c r="A45" s="126">
        <v>21</v>
      </c>
      <c r="B45" s="133" t="s">
        <v>212</v>
      </c>
      <c r="C45" s="118" t="s">
        <v>203</v>
      </c>
      <c r="D45" s="148">
        <v>0</v>
      </c>
      <c r="E45" s="149" t="s">
        <v>37</v>
      </c>
      <c r="F45" s="149"/>
      <c r="G45" s="149"/>
      <c r="H45" s="149"/>
      <c r="I45" s="149">
        <f>D45</f>
        <v>0</v>
      </c>
      <c r="J45" s="149" t="s">
        <v>37</v>
      </c>
      <c r="K45" s="118"/>
      <c r="L45" s="118"/>
      <c r="N45" s="118"/>
    </row>
    <row r="46" spans="1:14">
      <c r="A46" s="126">
        <v>22</v>
      </c>
      <c r="B46" s="133"/>
      <c r="C46" s="118"/>
      <c r="D46" s="148">
        <v>0</v>
      </c>
      <c r="E46" s="149" t="s">
        <v>38</v>
      </c>
      <c r="F46" s="149"/>
      <c r="G46" s="149"/>
      <c r="H46" s="149"/>
      <c r="I46" s="149">
        <f>D46</f>
        <v>0</v>
      </c>
      <c r="J46" s="149" t="s">
        <v>38</v>
      </c>
      <c r="K46" s="118"/>
      <c r="L46" s="118"/>
      <c r="N46" s="118"/>
    </row>
    <row r="47" spans="1:14">
      <c r="J47" s="117"/>
      <c r="K47" s="118"/>
      <c r="L47" s="118"/>
      <c r="N47" s="118"/>
    </row>
    <row r="48" spans="1:14">
      <c r="J48" s="117"/>
      <c r="K48" s="118"/>
      <c r="L48" s="118"/>
      <c r="N48" s="118"/>
    </row>
    <row r="49" spans="10:14">
      <c r="J49" s="117"/>
      <c r="K49" s="118"/>
      <c r="L49" s="118"/>
      <c r="N49" s="118"/>
    </row>
    <row r="50" spans="10:14">
      <c r="J50" s="117"/>
      <c r="K50" s="118"/>
      <c r="L50" s="118"/>
      <c r="N50" s="118"/>
    </row>
    <row r="51" spans="10:14">
      <c r="J51" s="117"/>
      <c r="K51" s="118"/>
      <c r="L51" s="118"/>
      <c r="N51" s="118"/>
    </row>
    <row r="52" spans="10:14">
      <c r="J52" s="117"/>
      <c r="K52" s="118"/>
      <c r="L52" s="118"/>
      <c r="N52" s="118"/>
    </row>
    <row r="53" spans="10:14">
      <c r="J53" s="117"/>
      <c r="K53" s="118"/>
      <c r="L53" s="118"/>
      <c r="N53" s="118"/>
    </row>
    <row r="54" spans="10:14">
      <c r="J54" s="117"/>
      <c r="K54" s="118"/>
      <c r="L54" s="118"/>
      <c r="N54" s="118"/>
    </row>
    <row r="55" spans="10:14">
      <c r="J55" s="117"/>
      <c r="K55" s="118"/>
      <c r="L55" s="118"/>
      <c r="N55" s="118"/>
    </row>
    <row r="56" spans="10:14">
      <c r="J56" s="117"/>
      <c r="K56" s="118"/>
      <c r="L56" s="118"/>
      <c r="N56" s="118"/>
    </row>
    <row r="57" spans="10:14">
      <c r="J57" s="117"/>
      <c r="K57" s="118"/>
      <c r="L57" s="118"/>
      <c r="N57" s="118"/>
    </row>
    <row r="58" spans="10:14">
      <c r="J58" s="117"/>
      <c r="K58" s="118"/>
      <c r="L58" s="118"/>
      <c r="N58" s="118"/>
    </row>
    <row r="59" spans="10:14">
      <c r="J59" s="117"/>
      <c r="K59" s="118"/>
      <c r="L59" s="118"/>
      <c r="N59" s="118"/>
    </row>
    <row r="60" spans="10:14">
      <c r="J60" s="117"/>
      <c r="K60" s="118"/>
      <c r="L60" s="118"/>
      <c r="N60" s="118"/>
    </row>
    <row r="61" spans="10:14">
      <c r="J61" s="117"/>
      <c r="K61" s="118"/>
      <c r="L61" s="118"/>
      <c r="N61" s="118"/>
    </row>
    <row r="62" spans="10:14">
      <c r="J62" s="117"/>
      <c r="K62" s="118"/>
      <c r="L62" s="118"/>
      <c r="N62" s="118"/>
    </row>
    <row r="63" spans="10:14">
      <c r="J63" s="117"/>
      <c r="K63" s="118"/>
      <c r="L63" s="118"/>
      <c r="N63" s="118"/>
    </row>
    <row r="64" spans="10:14">
      <c r="J64" s="117"/>
      <c r="K64" s="118"/>
      <c r="L64" s="118"/>
      <c r="N64" s="118"/>
    </row>
    <row r="65" spans="1:19">
      <c r="J65" s="117"/>
      <c r="K65" s="118"/>
      <c r="L65" s="118"/>
      <c r="N65" s="118"/>
    </row>
    <row r="66" spans="1:19">
      <c r="J66" s="117"/>
      <c r="K66" s="118"/>
      <c r="L66" s="118"/>
      <c r="N66" s="118"/>
    </row>
    <row r="67" spans="1:19">
      <c r="J67" s="117"/>
      <c r="K67" s="118"/>
      <c r="L67" s="118"/>
      <c r="N67" s="118"/>
    </row>
    <row r="68" spans="1:19">
      <c r="J68" s="117"/>
      <c r="K68" s="118"/>
      <c r="L68" s="118"/>
      <c r="N68" s="118"/>
    </row>
    <row r="69" spans="1:19">
      <c r="J69" s="117"/>
      <c r="K69" s="118"/>
      <c r="L69" s="118"/>
      <c r="N69" s="118"/>
    </row>
    <row r="70" spans="1:19">
      <c r="J70" s="117"/>
      <c r="K70" s="118"/>
      <c r="L70" s="118"/>
      <c r="N70" s="118"/>
    </row>
    <row r="71" spans="1:19">
      <c r="J71" s="117"/>
      <c r="K71" s="118"/>
      <c r="L71" s="118"/>
      <c r="N71" s="118"/>
    </row>
    <row r="72" spans="1:19">
      <c r="J72" s="117"/>
      <c r="K72" s="113" t="s">
        <v>770</v>
      </c>
      <c r="L72" s="118"/>
      <c r="N72" s="118"/>
    </row>
    <row r="73" spans="1:19">
      <c r="B73" s="115"/>
      <c r="C73" s="115"/>
      <c r="D73" s="116"/>
      <c r="E73" s="115"/>
      <c r="F73" s="115"/>
      <c r="G73" s="115"/>
      <c r="H73" s="117"/>
      <c r="I73" s="117"/>
      <c r="K73" s="119" t="s">
        <v>185</v>
      </c>
      <c r="L73" s="119"/>
      <c r="N73" s="118"/>
    </row>
    <row r="74" spans="1:19">
      <c r="B74" s="118"/>
      <c r="C74" s="118"/>
      <c r="D74" s="118"/>
      <c r="E74" s="118"/>
      <c r="F74" s="118"/>
      <c r="G74" s="118"/>
      <c r="H74" s="118"/>
      <c r="I74" s="118"/>
      <c r="J74" s="118"/>
      <c r="K74" s="118"/>
      <c r="L74" s="118"/>
      <c r="N74" s="118"/>
    </row>
    <row r="75" spans="1:19">
      <c r="B75" s="133" t="str">
        <f>B4</f>
        <v xml:space="preserve">Formula Rate - Non-Levelized </v>
      </c>
      <c r="C75" s="133"/>
      <c r="D75" s="150" t="str">
        <f>D4</f>
        <v xml:space="preserve">   Rate Formula Template</v>
      </c>
      <c r="E75" s="133"/>
      <c r="F75" s="133"/>
      <c r="G75" s="133"/>
      <c r="H75" s="133"/>
      <c r="J75" s="133"/>
      <c r="K75" s="119" t="str">
        <f>K4</f>
        <v>For the 12 months ended 12/31/2014</v>
      </c>
      <c r="L75" s="118"/>
      <c r="N75" s="133"/>
    </row>
    <row r="76" spans="1:19">
      <c r="B76" s="133"/>
      <c r="C76" s="125" t="s">
        <v>2</v>
      </c>
      <c r="D76" s="125" t="str">
        <f>D5</f>
        <v>Utilizing EIA Form 412 Data</v>
      </c>
      <c r="E76" s="125"/>
      <c r="F76" s="125"/>
      <c r="G76" s="125"/>
      <c r="H76" s="125"/>
      <c r="I76" s="125"/>
      <c r="J76" s="125"/>
      <c r="K76" s="125"/>
      <c r="L76" s="118"/>
      <c r="N76" s="118"/>
    </row>
    <row r="77" spans="1:19">
      <c r="B77" s="133"/>
      <c r="C77" s="125" t="s">
        <v>2</v>
      </c>
      <c r="D77" s="125" t="s">
        <v>2</v>
      </c>
      <c r="E77" s="125"/>
      <c r="F77" s="125"/>
      <c r="G77" s="125" t="s">
        <v>2</v>
      </c>
      <c r="H77" s="125"/>
      <c r="I77" s="125"/>
      <c r="J77" s="125"/>
      <c r="K77" s="125"/>
      <c r="L77" s="133"/>
      <c r="N77" s="125"/>
    </row>
    <row r="78" spans="1:19">
      <c r="B78" s="133"/>
      <c r="C78" s="118"/>
      <c r="D78" s="125" t="str">
        <f>D7</f>
        <v>Detroit Lakes (Minnesota) Public Utilities</v>
      </c>
      <c r="E78" s="125"/>
      <c r="F78" s="125"/>
      <c r="G78" s="125"/>
      <c r="H78" s="125"/>
      <c r="I78" s="125"/>
      <c r="J78" s="125"/>
      <c r="K78" s="125"/>
      <c r="L78" s="133"/>
      <c r="N78" s="125"/>
    </row>
    <row r="79" spans="1:19">
      <c r="B79" s="120" t="s">
        <v>39</v>
      </c>
      <c r="C79" s="120" t="s">
        <v>40</v>
      </c>
      <c r="D79" s="120" t="s">
        <v>41</v>
      </c>
      <c r="E79" s="125" t="s">
        <v>2</v>
      </c>
      <c r="F79" s="125"/>
      <c r="G79" s="151" t="s">
        <v>42</v>
      </c>
      <c r="H79" s="125"/>
      <c r="I79" s="152" t="s">
        <v>43</v>
      </c>
      <c r="J79" s="125"/>
      <c r="K79" s="120"/>
      <c r="L79" s="133"/>
      <c r="N79" s="120"/>
    </row>
    <row r="80" spans="1:19">
      <c r="A80" s="126" t="s">
        <v>4</v>
      </c>
      <c r="B80" s="133"/>
      <c r="C80" s="153" t="s">
        <v>44</v>
      </c>
      <c r="D80" s="125"/>
      <c r="E80" s="125"/>
      <c r="F80" s="125"/>
      <c r="G80" s="126"/>
      <c r="H80" s="125"/>
      <c r="I80" s="154" t="s">
        <v>45</v>
      </c>
      <c r="J80" s="125"/>
      <c r="K80" s="120"/>
      <c r="L80" s="133"/>
      <c r="N80" s="120"/>
      <c r="O80" s="482"/>
      <c r="P80" s="528"/>
      <c r="Q80" s="528"/>
      <c r="R80" s="528"/>
      <c r="S80" s="528"/>
    </row>
    <row r="81" spans="1:19" ht="16.2" thickBot="1">
      <c r="A81" s="130" t="s">
        <v>6</v>
      </c>
      <c r="B81" s="155" t="s">
        <v>50</v>
      </c>
      <c r="C81" s="156" t="s">
        <v>46</v>
      </c>
      <c r="D81" s="154" t="s">
        <v>47</v>
      </c>
      <c r="E81" s="157"/>
      <c r="F81" s="154" t="s">
        <v>48</v>
      </c>
      <c r="H81" s="157"/>
      <c r="I81" s="126" t="s">
        <v>49</v>
      </c>
      <c r="J81" s="125"/>
      <c r="K81" s="120"/>
      <c r="L81" s="133"/>
      <c r="N81" s="120"/>
      <c r="O81" s="529"/>
      <c r="P81" s="530"/>
      <c r="Q81" s="528"/>
      <c r="R81" s="528"/>
      <c r="S81" s="528"/>
    </row>
    <row r="82" spans="1:19">
      <c r="A82" s="126"/>
      <c r="B82" s="133" t="s">
        <v>744</v>
      </c>
      <c r="C82" s="125"/>
      <c r="D82" s="125"/>
      <c r="E82" s="125"/>
      <c r="F82" s="125"/>
      <c r="G82" s="125"/>
      <c r="H82" s="125"/>
      <c r="I82" s="125"/>
      <c r="J82" s="125"/>
      <c r="K82" s="125"/>
      <c r="L82" s="133"/>
      <c r="N82" s="125"/>
      <c r="O82" s="529"/>
      <c r="P82" s="530"/>
      <c r="Q82" s="530"/>
      <c r="R82" s="528"/>
      <c r="S82" s="528"/>
    </row>
    <row r="83" spans="1:19">
      <c r="A83" s="126">
        <v>1</v>
      </c>
      <c r="B83" s="133" t="s">
        <v>51</v>
      </c>
      <c r="C83" s="125" t="s">
        <v>252</v>
      </c>
      <c r="D83" s="4">
        <f>+'Schedule 4'!G14</f>
        <v>2005646</v>
      </c>
      <c r="E83" s="125"/>
      <c r="F83" s="125" t="s">
        <v>52</v>
      </c>
      <c r="G83" s="158" t="s">
        <v>2</v>
      </c>
      <c r="H83" s="125"/>
      <c r="I83" s="125" t="s">
        <v>2</v>
      </c>
      <c r="J83" s="125"/>
      <c r="K83" s="125"/>
      <c r="L83" s="133" t="s">
        <v>939</v>
      </c>
      <c r="O83" s="482"/>
      <c r="P83" s="534"/>
      <c r="Q83" s="528"/>
      <c r="R83" s="528"/>
      <c r="S83" s="528"/>
    </row>
    <row r="84" spans="1:19">
      <c r="A84" s="126">
        <v>2</v>
      </c>
      <c r="B84" s="133" t="s">
        <v>53</v>
      </c>
      <c r="C84" s="125" t="s">
        <v>253</v>
      </c>
      <c r="D84" s="4">
        <f>+'Schedule 4'!G17</f>
        <v>2058527</v>
      </c>
      <c r="E84" s="125"/>
      <c r="F84" s="125" t="s">
        <v>12</v>
      </c>
      <c r="G84" s="158">
        <f>I220</f>
        <v>1</v>
      </c>
      <c r="H84" s="125"/>
      <c r="I84" s="125">
        <f>+G84*D84</f>
        <v>2058527</v>
      </c>
      <c r="J84" s="125"/>
      <c r="K84" s="125"/>
      <c r="L84" s="133" t="s">
        <v>940</v>
      </c>
      <c r="O84" s="482"/>
      <c r="P84" s="534"/>
      <c r="Q84" s="532"/>
      <c r="R84" s="528"/>
      <c r="S84" s="542"/>
    </row>
    <row r="85" spans="1:19">
      <c r="A85" s="126">
        <v>3</v>
      </c>
      <c r="B85" s="133" t="s">
        <v>54</v>
      </c>
      <c r="C85" s="125" t="s">
        <v>254</v>
      </c>
      <c r="D85" s="4">
        <f>+'Schedule 4'!G18</f>
        <v>21571539</v>
      </c>
      <c r="E85" s="125"/>
      <c r="F85" s="125" t="s">
        <v>52</v>
      </c>
      <c r="G85" s="158" t="s">
        <v>2</v>
      </c>
      <c r="H85" s="125"/>
      <c r="I85" s="125" t="s">
        <v>2</v>
      </c>
      <c r="J85" s="125"/>
      <c r="K85" s="125"/>
      <c r="L85" s="133" t="s">
        <v>941</v>
      </c>
      <c r="O85" s="482"/>
      <c r="P85" s="534"/>
      <c r="Q85" s="528"/>
      <c r="R85" s="528"/>
      <c r="S85" s="528"/>
    </row>
    <row r="86" spans="1:19">
      <c r="A86" s="126">
        <v>4</v>
      </c>
      <c r="B86" s="133" t="s">
        <v>55</v>
      </c>
      <c r="C86" s="125" t="s">
        <v>745</v>
      </c>
      <c r="D86" s="4">
        <f>+'Schedule 4'!G19+'Schedule 4'!G9</f>
        <v>3514225</v>
      </c>
      <c r="E86" s="125"/>
      <c r="F86" s="125" t="s">
        <v>56</v>
      </c>
      <c r="G86" s="158">
        <f>I236</f>
        <v>3.0305388591074104E-3</v>
      </c>
      <c r="H86" s="125"/>
      <c r="I86" s="125">
        <f>+G86*D86</f>
        <v>10649.99542214674</v>
      </c>
      <c r="J86" s="125"/>
      <c r="K86" s="125"/>
      <c r="L86" s="133" t="s">
        <v>946</v>
      </c>
      <c r="O86" s="482"/>
      <c r="P86" s="534"/>
      <c r="Q86" s="532"/>
      <c r="R86" s="528"/>
      <c r="S86" s="528"/>
    </row>
    <row r="87" spans="1:19" ht="16.2" thickBot="1">
      <c r="A87" s="126">
        <v>5</v>
      </c>
      <c r="B87" s="133" t="s">
        <v>57</v>
      </c>
      <c r="C87" s="125"/>
      <c r="D87" s="5">
        <v>0</v>
      </c>
      <c r="E87" s="125"/>
      <c r="F87" s="125" t="s">
        <v>58</v>
      </c>
      <c r="G87" s="158">
        <f>K240</f>
        <v>0</v>
      </c>
      <c r="H87" s="125"/>
      <c r="I87" s="138">
        <f>+G87*D87</f>
        <v>0</v>
      </c>
      <c r="J87" s="125"/>
      <c r="K87" s="125"/>
      <c r="L87" s="133"/>
      <c r="O87" s="482"/>
      <c r="P87" s="534"/>
      <c r="Q87" s="528"/>
      <c r="R87" s="528"/>
      <c r="S87" s="528"/>
    </row>
    <row r="88" spans="1:19">
      <c r="A88" s="126">
        <v>6</v>
      </c>
      <c r="B88" s="115" t="s">
        <v>213</v>
      </c>
      <c r="C88" s="125"/>
      <c r="D88" s="3">
        <f>SUM(D83:D87)</f>
        <v>29149937</v>
      </c>
      <c r="E88" s="125"/>
      <c r="F88" s="125" t="s">
        <v>59</v>
      </c>
      <c r="G88" s="160">
        <f>IF(I88&gt;0,I88/D88,0)</f>
        <v>7.0983926840807468E-2</v>
      </c>
      <c r="H88" s="125"/>
      <c r="I88" s="125">
        <f>SUM(I83:I87)</f>
        <v>2069176.9954221467</v>
      </c>
      <c r="J88" s="125"/>
      <c r="K88" s="160"/>
      <c r="L88" s="133"/>
      <c r="N88" s="125"/>
      <c r="O88" s="482"/>
      <c r="P88" s="534"/>
      <c r="Q88" s="532"/>
      <c r="R88" s="528"/>
      <c r="S88" s="528"/>
    </row>
    <row r="89" spans="1:19">
      <c r="B89" s="133"/>
      <c r="C89" s="125"/>
      <c r="D89" s="3"/>
      <c r="E89" s="125"/>
      <c r="F89" s="125"/>
      <c r="G89" s="160"/>
      <c r="H89" s="125"/>
      <c r="I89" s="125"/>
      <c r="J89" s="125"/>
      <c r="K89" s="160"/>
      <c r="L89" s="133"/>
      <c r="N89" s="125"/>
      <c r="O89" s="482"/>
      <c r="P89" s="528"/>
      <c r="Q89" s="528"/>
      <c r="R89" s="528"/>
      <c r="S89" s="528"/>
    </row>
    <row r="90" spans="1:19">
      <c r="B90" s="133" t="s">
        <v>746</v>
      </c>
      <c r="C90" s="125"/>
      <c r="D90" s="3"/>
      <c r="E90" s="125"/>
      <c r="F90" s="125"/>
      <c r="G90" s="125"/>
      <c r="H90" s="125"/>
      <c r="I90" s="125"/>
      <c r="J90" s="125"/>
      <c r="K90" s="125"/>
      <c r="L90" s="133"/>
      <c r="N90" s="125"/>
      <c r="O90" s="482"/>
      <c r="P90" s="528"/>
      <c r="Q90" s="528"/>
      <c r="R90" s="528"/>
      <c r="S90" s="528"/>
    </row>
    <row r="91" spans="1:19">
      <c r="A91" s="126">
        <v>7</v>
      </c>
      <c r="B91" s="133" t="str">
        <f>+B83</f>
        <v xml:space="preserve">  Production</v>
      </c>
      <c r="D91" s="6">
        <f>+'Schedule 4'!I14</f>
        <v>1625499</v>
      </c>
      <c r="E91" s="125"/>
      <c r="F91" s="125" t="str">
        <f t="shared" ref="F91:G95" si="0">+F83</f>
        <v>NA</v>
      </c>
      <c r="G91" s="158" t="str">
        <f t="shared" si="0"/>
        <v xml:space="preserve"> </v>
      </c>
      <c r="H91" s="125"/>
      <c r="I91" s="125" t="s">
        <v>2</v>
      </c>
      <c r="J91" s="125"/>
      <c r="K91" s="125"/>
      <c r="L91" s="133" t="s">
        <v>939</v>
      </c>
      <c r="N91" s="125"/>
      <c r="O91" s="482"/>
      <c r="P91" s="534"/>
      <c r="Q91" s="528"/>
      <c r="R91" s="528"/>
      <c r="S91" s="528"/>
    </row>
    <row r="92" spans="1:19">
      <c r="A92" s="126">
        <v>8</v>
      </c>
      <c r="B92" s="133" t="str">
        <f>+B84</f>
        <v xml:space="preserve">  Transmission</v>
      </c>
      <c r="D92" s="6">
        <f>+'Schedule 4'!I17</f>
        <v>537924</v>
      </c>
      <c r="E92" s="125"/>
      <c r="F92" s="125" t="str">
        <f t="shared" si="0"/>
        <v>TP</v>
      </c>
      <c r="G92" s="158">
        <f t="shared" si="0"/>
        <v>1</v>
      </c>
      <c r="H92" s="125"/>
      <c r="I92" s="125">
        <f>+G92*D92</f>
        <v>537924</v>
      </c>
      <c r="J92" s="125"/>
      <c r="K92" s="125"/>
      <c r="L92" s="133" t="s">
        <v>940</v>
      </c>
      <c r="N92" s="125"/>
      <c r="O92" s="482"/>
      <c r="P92" s="534"/>
      <c r="Q92" s="532"/>
      <c r="R92" s="528"/>
      <c r="S92" s="528"/>
    </row>
    <row r="93" spans="1:19">
      <c r="A93" s="126">
        <v>9</v>
      </c>
      <c r="B93" s="133" t="str">
        <f>+B85</f>
        <v xml:space="preserve">  Distribution</v>
      </c>
      <c r="D93" s="6">
        <f>+'Schedule 4'!I18</f>
        <v>9937497</v>
      </c>
      <c r="E93" s="125"/>
      <c r="F93" s="125" t="str">
        <f t="shared" si="0"/>
        <v>NA</v>
      </c>
      <c r="G93" s="158" t="str">
        <f t="shared" si="0"/>
        <v xml:space="preserve"> </v>
      </c>
      <c r="H93" s="125"/>
      <c r="I93" s="125" t="s">
        <v>2</v>
      </c>
      <c r="J93" s="125"/>
      <c r="K93" s="125"/>
      <c r="L93" s="133" t="s">
        <v>941</v>
      </c>
      <c r="N93" s="125"/>
      <c r="O93" s="482"/>
      <c r="P93" s="534"/>
      <c r="Q93" s="528"/>
      <c r="R93" s="528"/>
      <c r="S93" s="528"/>
    </row>
    <row r="94" spans="1:19">
      <c r="A94" s="126">
        <v>10</v>
      </c>
      <c r="B94" s="133" t="str">
        <f>+B86</f>
        <v xml:space="preserve">  General &amp; Intangible</v>
      </c>
      <c r="D94" s="6">
        <f>+'Schedule 4'!I19+'Schedule 4'!I9</f>
        <v>2163680</v>
      </c>
      <c r="E94" s="125"/>
      <c r="F94" s="125" t="str">
        <f t="shared" si="0"/>
        <v>W/S</v>
      </c>
      <c r="G94" s="158">
        <f t="shared" si="0"/>
        <v>3.0305388591074104E-3</v>
      </c>
      <c r="H94" s="125"/>
      <c r="I94" s="125">
        <f>+G94*D94</f>
        <v>6557.1163186735221</v>
      </c>
      <c r="J94" s="125"/>
      <c r="K94" s="125"/>
      <c r="L94" s="133" t="s">
        <v>946</v>
      </c>
      <c r="N94" s="125"/>
      <c r="O94" s="482"/>
      <c r="P94" s="534"/>
      <c r="Q94" s="532"/>
      <c r="R94" s="528"/>
      <c r="S94" s="528"/>
    </row>
    <row r="95" spans="1:19" ht="16.2" thickBot="1">
      <c r="A95" s="126">
        <v>11</v>
      </c>
      <c r="B95" s="133" t="str">
        <f>+B87</f>
        <v xml:space="preserve">  Common</v>
      </c>
      <c r="C95" s="125"/>
      <c r="D95" s="5">
        <v>0</v>
      </c>
      <c r="E95" s="125"/>
      <c r="F95" s="125" t="str">
        <f t="shared" si="0"/>
        <v>CE</v>
      </c>
      <c r="G95" s="158">
        <f t="shared" si="0"/>
        <v>0</v>
      </c>
      <c r="H95" s="125"/>
      <c r="I95" s="138">
        <f>+G95*D95</f>
        <v>0</v>
      </c>
      <c r="J95" s="125"/>
      <c r="K95" s="125"/>
      <c r="L95" s="133"/>
      <c r="N95" s="125"/>
      <c r="O95" s="482"/>
      <c r="P95" s="534"/>
      <c r="Q95" s="528"/>
      <c r="R95" s="528"/>
      <c r="S95" s="528"/>
    </row>
    <row r="96" spans="1:19">
      <c r="A96" s="126">
        <v>12</v>
      </c>
      <c r="B96" s="133" t="s">
        <v>214</v>
      </c>
      <c r="C96" s="125"/>
      <c r="D96" s="125">
        <f>SUM(D91:D95)</f>
        <v>14264600</v>
      </c>
      <c r="E96" s="125"/>
      <c r="F96" s="125"/>
      <c r="G96" s="125"/>
      <c r="H96" s="125"/>
      <c r="I96" s="125">
        <f>SUM(I91:I95)</f>
        <v>544481.11631867348</v>
      </c>
      <c r="J96" s="125"/>
      <c r="K96" s="125"/>
      <c r="L96" s="133"/>
      <c r="N96" s="162"/>
      <c r="O96" s="482"/>
      <c r="P96" s="534"/>
      <c r="Q96" s="532"/>
      <c r="R96" s="528"/>
      <c r="S96" s="528"/>
    </row>
    <row r="97" spans="1:19">
      <c r="A97" s="126"/>
      <c r="C97" s="125" t="s">
        <v>2</v>
      </c>
      <c r="E97" s="125"/>
      <c r="F97" s="125"/>
      <c r="G97" s="160"/>
      <c r="H97" s="125"/>
      <c r="J97" s="125"/>
      <c r="K97" s="160"/>
      <c r="L97" s="133"/>
      <c r="N97" s="125"/>
      <c r="O97" s="482"/>
      <c r="P97" s="528"/>
      <c r="Q97" s="528"/>
      <c r="R97" s="528"/>
      <c r="S97" s="528"/>
    </row>
    <row r="98" spans="1:19">
      <c r="A98" s="126"/>
      <c r="B98" s="133" t="s">
        <v>60</v>
      </c>
      <c r="C98" s="125"/>
      <c r="D98" s="125"/>
      <c r="E98" s="125"/>
      <c r="F98" s="125"/>
      <c r="G98" s="125"/>
      <c r="H98" s="125"/>
      <c r="I98" s="125"/>
      <c r="J98" s="125"/>
      <c r="K98" s="125"/>
      <c r="L98" s="133"/>
      <c r="N98" s="125"/>
      <c r="O98" s="482"/>
      <c r="P98" s="528"/>
      <c r="Q98" s="528"/>
      <c r="R98" s="528"/>
      <c r="S98" s="528"/>
    </row>
    <row r="99" spans="1:19">
      <c r="A99" s="126">
        <v>13</v>
      </c>
      <c r="B99" s="133" t="str">
        <f>+B91</f>
        <v xml:space="preserve">  Production</v>
      </c>
      <c r="C99" s="125" t="s">
        <v>215</v>
      </c>
      <c r="D99" s="125">
        <f>D83-D91</f>
        <v>380147</v>
      </c>
      <c r="E99" s="125"/>
      <c r="F99" s="125"/>
      <c r="G99" s="160"/>
      <c r="H99" s="125"/>
      <c r="I99" s="125" t="s">
        <v>2</v>
      </c>
      <c r="J99" s="125"/>
      <c r="K99" s="160"/>
      <c r="L99" s="133"/>
      <c r="N99" s="125"/>
      <c r="O99" s="482"/>
      <c r="P99" s="528"/>
      <c r="Q99" s="528"/>
      <c r="R99" s="528"/>
      <c r="S99" s="528"/>
    </row>
    <row r="100" spans="1:19">
      <c r="A100" s="126">
        <v>14</v>
      </c>
      <c r="B100" s="133" t="str">
        <f>+B92</f>
        <v xml:space="preserve">  Transmission</v>
      </c>
      <c r="C100" s="125" t="s">
        <v>216</v>
      </c>
      <c r="D100" s="125">
        <f>D84-D92</f>
        <v>1520603</v>
      </c>
      <c r="E100" s="125"/>
      <c r="F100" s="125"/>
      <c r="G100" s="158"/>
      <c r="H100" s="125"/>
      <c r="I100" s="125">
        <f>I84-I92</f>
        <v>1520603</v>
      </c>
      <c r="J100" s="125"/>
      <c r="K100" s="160"/>
      <c r="L100" s="133"/>
      <c r="N100" s="125"/>
      <c r="O100" s="482"/>
      <c r="P100" s="534"/>
      <c r="Q100" s="532"/>
      <c r="R100" s="528"/>
      <c r="S100" s="542"/>
    </row>
    <row r="101" spans="1:19">
      <c r="A101" s="126">
        <v>15</v>
      </c>
      <c r="B101" s="133" t="str">
        <f>+B93</f>
        <v xml:space="preserve">  Distribution</v>
      </c>
      <c r="C101" s="125" t="s">
        <v>217</v>
      </c>
      <c r="D101" s="125">
        <f>D85-D93</f>
        <v>11634042</v>
      </c>
      <c r="E101" s="125"/>
      <c r="F101" s="125"/>
      <c r="G101" s="160"/>
      <c r="H101" s="125"/>
      <c r="I101" s="125" t="s">
        <v>2</v>
      </c>
      <c r="J101" s="125"/>
      <c r="K101" s="160"/>
      <c r="L101" s="133"/>
      <c r="N101" s="125"/>
      <c r="O101" s="482"/>
      <c r="P101" s="528"/>
      <c r="Q101" s="528"/>
      <c r="R101" s="528"/>
      <c r="S101" s="528"/>
    </row>
    <row r="102" spans="1:19">
      <c r="A102" s="126">
        <v>16</v>
      </c>
      <c r="B102" s="133" t="str">
        <f>+B94</f>
        <v xml:space="preserve">  General &amp; Intangible</v>
      </c>
      <c r="C102" s="125" t="s">
        <v>218</v>
      </c>
      <c r="D102" s="125">
        <f>D86-D94</f>
        <v>1350545</v>
      </c>
      <c r="E102" s="125"/>
      <c r="F102" s="125"/>
      <c r="G102" s="160"/>
      <c r="H102" s="125"/>
      <c r="I102" s="125">
        <f>I86-I94</f>
        <v>4092.8791034732176</v>
      </c>
      <c r="J102" s="125"/>
      <c r="K102" s="160"/>
      <c r="L102" s="133"/>
      <c r="N102" s="125"/>
      <c r="O102" s="482"/>
      <c r="P102" s="534"/>
      <c r="Q102" s="532"/>
      <c r="R102" s="528"/>
      <c r="S102" s="528"/>
    </row>
    <row r="103" spans="1:19" ht="16.2" thickBot="1">
      <c r="A103" s="126">
        <v>17</v>
      </c>
      <c r="B103" s="133" t="str">
        <f>+B95</f>
        <v xml:space="preserve">  Common</v>
      </c>
      <c r="C103" s="125" t="s">
        <v>219</v>
      </c>
      <c r="D103" s="138">
        <f>D87-D95</f>
        <v>0</v>
      </c>
      <c r="E103" s="125"/>
      <c r="F103" s="125"/>
      <c r="G103" s="160"/>
      <c r="H103" s="125"/>
      <c r="I103" s="138">
        <f>I87-I95</f>
        <v>0</v>
      </c>
      <c r="J103" s="125"/>
      <c r="K103" s="160"/>
      <c r="L103" s="133"/>
      <c r="N103" s="125"/>
      <c r="O103" s="482"/>
      <c r="P103" s="528"/>
      <c r="Q103" s="528"/>
      <c r="R103" s="528"/>
      <c r="S103" s="528"/>
    </row>
    <row r="104" spans="1:19">
      <c r="A104" s="126">
        <v>18</v>
      </c>
      <c r="B104" s="133" t="s">
        <v>220</v>
      </c>
      <c r="C104" s="125"/>
      <c r="D104" s="125">
        <f>SUM(D99:D103)</f>
        <v>14885337</v>
      </c>
      <c r="E104" s="125"/>
      <c r="F104" s="125" t="s">
        <v>61</v>
      </c>
      <c r="G104" s="160">
        <f>IF(I104&gt;0,I104/D104,0)</f>
        <v>0.10242938262690815</v>
      </c>
      <c r="H104" s="125"/>
      <c r="I104" s="125">
        <f>SUM(I99:I103)</f>
        <v>1524695.8791034732</v>
      </c>
      <c r="J104" s="125"/>
      <c r="K104" s="125"/>
      <c r="L104" s="133"/>
      <c r="N104" s="139"/>
      <c r="O104" s="482"/>
      <c r="P104" s="534"/>
      <c r="Q104" s="532"/>
      <c r="R104" s="528"/>
      <c r="S104" s="528"/>
    </row>
    <row r="105" spans="1:19">
      <c r="A105" s="126"/>
      <c r="C105" s="125"/>
      <c r="E105" s="125"/>
      <c r="H105" s="125"/>
      <c r="J105" s="125"/>
      <c r="K105" s="160"/>
      <c r="L105" s="133"/>
      <c r="N105" s="125"/>
      <c r="O105" s="482"/>
      <c r="P105" s="528"/>
      <c r="Q105" s="528"/>
      <c r="R105" s="528"/>
      <c r="S105" s="528"/>
    </row>
    <row r="106" spans="1:19">
      <c r="A106" s="126"/>
      <c r="B106" s="115" t="s">
        <v>221</v>
      </c>
      <c r="C106" s="125"/>
      <c r="D106" s="125"/>
      <c r="E106" s="125"/>
      <c r="F106" s="125"/>
      <c r="G106" s="125"/>
      <c r="H106" s="125"/>
      <c r="I106" s="125"/>
      <c r="J106" s="125"/>
      <c r="K106" s="125"/>
      <c r="L106" s="133"/>
      <c r="N106" s="125" t="s">
        <v>2</v>
      </c>
      <c r="O106" s="482"/>
      <c r="P106" s="528"/>
      <c r="Q106" s="528"/>
      <c r="R106" s="528"/>
      <c r="S106" s="528"/>
    </row>
    <row r="107" spans="1:19">
      <c r="A107" s="126">
        <v>19</v>
      </c>
      <c r="B107" s="133" t="s">
        <v>62</v>
      </c>
      <c r="C107" s="125"/>
      <c r="D107" s="163">
        <v>0</v>
      </c>
      <c r="E107" s="125"/>
      <c r="F107" s="125"/>
      <c r="G107" s="164" t="s">
        <v>177</v>
      </c>
      <c r="H107" s="125"/>
      <c r="I107" s="125">
        <v>0</v>
      </c>
      <c r="J107" s="125"/>
      <c r="K107" s="160"/>
      <c r="L107" s="133"/>
      <c r="N107" s="160"/>
      <c r="O107" s="482"/>
      <c r="P107" s="528"/>
      <c r="Q107" s="528"/>
      <c r="R107" s="528"/>
      <c r="S107" s="528"/>
    </row>
    <row r="108" spans="1:19">
      <c r="A108" s="126">
        <v>20</v>
      </c>
      <c r="B108" s="133" t="s">
        <v>64</v>
      </c>
      <c r="C108" s="125"/>
      <c r="D108" s="163">
        <v>0</v>
      </c>
      <c r="E108" s="125"/>
      <c r="F108" s="125" t="s">
        <v>63</v>
      </c>
      <c r="G108" s="158">
        <f>+G104</f>
        <v>0.10242938262690815</v>
      </c>
      <c r="H108" s="125"/>
      <c r="I108" s="125">
        <f>D108*G108</f>
        <v>0</v>
      </c>
      <c r="J108" s="125"/>
      <c r="K108" s="160"/>
      <c r="L108" s="133"/>
      <c r="N108" s="160"/>
      <c r="O108" s="482"/>
      <c r="P108" s="528"/>
      <c r="Q108" s="528"/>
      <c r="R108" s="528"/>
      <c r="S108" s="528"/>
    </row>
    <row r="109" spans="1:19">
      <c r="A109" s="126">
        <v>21</v>
      </c>
      <c r="B109" s="133" t="s">
        <v>65</v>
      </c>
      <c r="C109" s="125"/>
      <c r="D109" s="165">
        <v>0</v>
      </c>
      <c r="E109" s="125"/>
      <c r="F109" s="125" t="s">
        <v>63</v>
      </c>
      <c r="G109" s="158">
        <f>+G108</f>
        <v>0.10242938262690815</v>
      </c>
      <c r="H109" s="125"/>
      <c r="I109" s="125">
        <f>D109*G109</f>
        <v>0</v>
      </c>
      <c r="J109" s="125"/>
      <c r="K109" s="160"/>
      <c r="L109" s="133"/>
      <c r="N109" s="160"/>
      <c r="O109" s="482"/>
      <c r="P109" s="528"/>
      <c r="Q109" s="528"/>
      <c r="R109" s="528"/>
      <c r="S109" s="528"/>
    </row>
    <row r="110" spans="1:19">
      <c r="A110" s="126">
        <v>22</v>
      </c>
      <c r="B110" s="133" t="s">
        <v>66</v>
      </c>
      <c r="C110" s="125"/>
      <c r="D110" s="165">
        <v>0</v>
      </c>
      <c r="E110" s="125"/>
      <c r="F110" s="125" t="str">
        <f>+F109</f>
        <v>NP</v>
      </c>
      <c r="G110" s="158">
        <f>+G109</f>
        <v>0.10242938262690815</v>
      </c>
      <c r="H110" s="125"/>
      <c r="I110" s="125">
        <f>D110*G110</f>
        <v>0</v>
      </c>
      <c r="J110" s="125"/>
      <c r="K110" s="160"/>
      <c r="L110" s="133"/>
      <c r="N110" s="160"/>
      <c r="O110" s="482"/>
      <c r="P110" s="528"/>
      <c r="Q110" s="528"/>
      <c r="R110" s="528"/>
      <c r="S110" s="528"/>
    </row>
    <row r="111" spans="1:19" ht="16.2" thickBot="1">
      <c r="A111" s="126">
        <v>23</v>
      </c>
      <c r="B111" s="112" t="s">
        <v>67</v>
      </c>
      <c r="D111" s="159">
        <v>0</v>
      </c>
      <c r="E111" s="125"/>
      <c r="F111" s="125" t="s">
        <v>63</v>
      </c>
      <c r="G111" s="158">
        <f>+G109</f>
        <v>0.10242938262690815</v>
      </c>
      <c r="H111" s="125"/>
      <c r="I111" s="138">
        <f>D111*G111</f>
        <v>0</v>
      </c>
      <c r="J111" s="125"/>
      <c r="K111" s="125"/>
      <c r="L111" s="133"/>
      <c r="N111" s="162"/>
      <c r="O111" s="482"/>
      <c r="P111" s="528"/>
      <c r="Q111" s="528"/>
      <c r="R111" s="528"/>
      <c r="S111" s="528"/>
    </row>
    <row r="112" spans="1:19">
      <c r="A112" s="126">
        <v>24</v>
      </c>
      <c r="B112" s="133" t="s">
        <v>68</v>
      </c>
      <c r="C112" s="125"/>
      <c r="D112" s="125">
        <f>SUM(D107:D111)</f>
        <v>0</v>
      </c>
      <c r="E112" s="125"/>
      <c r="F112" s="125"/>
      <c r="G112" s="125"/>
      <c r="H112" s="125"/>
      <c r="I112" s="125">
        <f>SUM(I107:I111)</f>
        <v>0</v>
      </c>
      <c r="J112" s="125"/>
      <c r="K112" s="160"/>
      <c r="L112" s="133"/>
      <c r="N112" s="125"/>
      <c r="O112" s="482"/>
      <c r="P112" s="528"/>
      <c r="Q112" s="528"/>
      <c r="R112" s="528"/>
      <c r="S112" s="528"/>
    </row>
    <row r="113" spans="1:19">
      <c r="A113" s="126"/>
      <c r="B113" s="133"/>
      <c r="C113" s="125"/>
      <c r="D113" s="125"/>
      <c r="E113" s="125"/>
      <c r="F113" s="125"/>
      <c r="G113" s="125"/>
      <c r="H113" s="125"/>
      <c r="I113" s="125"/>
      <c r="J113" s="125"/>
      <c r="K113" s="160"/>
      <c r="L113" s="133"/>
      <c r="N113" s="125"/>
      <c r="O113" s="482"/>
      <c r="P113" s="528"/>
      <c r="Q113" s="528"/>
      <c r="R113" s="528"/>
      <c r="S113" s="528"/>
    </row>
    <row r="114" spans="1:19">
      <c r="A114" s="126">
        <v>25</v>
      </c>
      <c r="B114" s="115" t="s">
        <v>69</v>
      </c>
      <c r="C114" s="125" t="s">
        <v>255</v>
      </c>
      <c r="D114" s="163">
        <f>+'Other Data'!D31</f>
        <v>0</v>
      </c>
      <c r="E114" s="125"/>
      <c r="F114" s="125" t="str">
        <f>+F92</f>
        <v>TP</v>
      </c>
      <c r="G114" s="158">
        <f>+G92</f>
        <v>1</v>
      </c>
      <c r="H114" s="125"/>
      <c r="I114" s="125">
        <f>+G114*D114</f>
        <v>0</v>
      </c>
      <c r="J114" s="125"/>
      <c r="K114" s="125"/>
      <c r="L114" s="133" t="s">
        <v>938</v>
      </c>
      <c r="N114" s="125"/>
      <c r="O114" s="482"/>
      <c r="P114" s="528"/>
      <c r="Q114" s="528"/>
      <c r="R114" s="528"/>
      <c r="S114" s="528"/>
    </row>
    <row r="115" spans="1:19">
      <c r="A115" s="126"/>
      <c r="B115" s="133"/>
      <c r="C115" s="125"/>
      <c r="D115" s="125"/>
      <c r="E115" s="125"/>
      <c r="F115" s="125"/>
      <c r="G115" s="125"/>
      <c r="H115" s="125"/>
      <c r="I115" s="125"/>
      <c r="J115" s="125"/>
      <c r="K115" s="125"/>
      <c r="L115" s="133"/>
      <c r="N115" s="125"/>
      <c r="O115" s="482"/>
      <c r="P115" s="528"/>
      <c r="Q115" s="528"/>
      <c r="R115" s="528"/>
      <c r="S115" s="528"/>
    </row>
    <row r="116" spans="1:19">
      <c r="A116" s="126"/>
      <c r="B116" s="133" t="s">
        <v>70</v>
      </c>
      <c r="C116" s="125" t="s">
        <v>72</v>
      </c>
      <c r="D116" s="125"/>
      <c r="E116" s="125"/>
      <c r="F116" s="125"/>
      <c r="G116" s="125"/>
      <c r="H116" s="125"/>
      <c r="I116" s="125"/>
      <c r="J116" s="125"/>
      <c r="K116" s="125"/>
      <c r="L116" s="133"/>
      <c r="N116" s="125"/>
      <c r="O116" s="482"/>
      <c r="P116" s="528"/>
      <c r="Q116" s="528"/>
      <c r="R116" s="528"/>
      <c r="S116" s="528"/>
    </row>
    <row r="117" spans="1:19">
      <c r="A117" s="126">
        <v>26</v>
      </c>
      <c r="B117" s="133" t="s">
        <v>71</v>
      </c>
      <c r="D117" s="125">
        <f>D158/8</f>
        <v>132572.20000000001</v>
      </c>
      <c r="E117" s="125"/>
      <c r="F117" s="125"/>
      <c r="G117" s="160"/>
      <c r="H117" s="125"/>
      <c r="I117" s="125">
        <f>I158/8</f>
        <v>5695.6730423954987</v>
      </c>
      <c r="J117" s="118"/>
      <c r="K117" s="160"/>
      <c r="L117" s="133"/>
      <c r="N117" s="166"/>
      <c r="O117" s="482"/>
      <c r="P117" s="534"/>
      <c r="Q117" s="532"/>
      <c r="R117" s="528"/>
      <c r="S117" s="528"/>
    </row>
    <row r="118" spans="1:19">
      <c r="A118" s="126">
        <v>27</v>
      </c>
      <c r="B118" s="133" t="s">
        <v>73</v>
      </c>
      <c r="C118" s="112" t="s">
        <v>222</v>
      </c>
      <c r="D118" s="163">
        <f>+'Other Data'!D11</f>
        <v>0</v>
      </c>
      <c r="E118" s="125"/>
      <c r="F118" s="125" t="s">
        <v>74</v>
      </c>
      <c r="G118" s="158">
        <f>I229</f>
        <v>1</v>
      </c>
      <c r="H118" s="125"/>
      <c r="I118" s="125">
        <f>G118*D118</f>
        <v>0</v>
      </c>
      <c r="J118" s="125" t="s">
        <v>2</v>
      </c>
      <c r="K118" s="160"/>
      <c r="L118" s="168" t="s">
        <v>937</v>
      </c>
      <c r="N118" s="166"/>
      <c r="O118" s="482"/>
      <c r="P118" s="534"/>
      <c r="Q118" s="532"/>
      <c r="R118" s="528"/>
      <c r="S118" s="528"/>
    </row>
    <row r="119" spans="1:19" ht="16.2" thickBot="1">
      <c r="A119" s="126">
        <v>28</v>
      </c>
      <c r="B119" s="133" t="s">
        <v>75</v>
      </c>
      <c r="C119" s="112" t="s">
        <v>256</v>
      </c>
      <c r="D119" s="167">
        <f>+'Schedule 2'!C43</f>
        <v>0</v>
      </c>
      <c r="E119" s="125"/>
      <c r="F119" s="125" t="s">
        <v>76</v>
      </c>
      <c r="G119" s="158">
        <f>+G88</f>
        <v>7.0983926840807468E-2</v>
      </c>
      <c r="H119" s="125"/>
      <c r="I119" s="138">
        <f>+G119*D119</f>
        <v>0</v>
      </c>
      <c r="J119" s="125"/>
      <c r="K119" s="160"/>
      <c r="L119" s="168" t="s">
        <v>942</v>
      </c>
      <c r="N119" s="166"/>
      <c r="O119" s="482"/>
      <c r="P119" s="534"/>
      <c r="Q119" s="532"/>
      <c r="R119" s="528"/>
      <c r="S119" s="528"/>
    </row>
    <row r="120" spans="1:19">
      <c r="A120" s="126">
        <v>29</v>
      </c>
      <c r="B120" s="133" t="s">
        <v>223</v>
      </c>
      <c r="C120" s="118"/>
      <c r="D120" s="125">
        <f>D117+D118+D119</f>
        <v>132572.20000000001</v>
      </c>
      <c r="E120" s="118"/>
      <c r="F120" s="118"/>
      <c r="G120" s="118"/>
      <c r="H120" s="118"/>
      <c r="I120" s="125">
        <f>I117+I118+I119</f>
        <v>5695.6730423954987</v>
      </c>
      <c r="J120" s="118"/>
      <c r="K120" s="118"/>
      <c r="L120" s="133"/>
      <c r="N120" s="162"/>
      <c r="O120" s="482"/>
      <c r="P120" s="534"/>
      <c r="Q120" s="532"/>
      <c r="R120" s="528"/>
      <c r="S120" s="528"/>
    </row>
    <row r="121" spans="1:19" ht="16.2" thickBot="1">
      <c r="C121" s="125"/>
      <c r="D121" s="169"/>
      <c r="E121" s="125"/>
      <c r="F121" s="125"/>
      <c r="G121" s="125"/>
      <c r="H121" s="125"/>
      <c r="I121" s="169"/>
      <c r="J121" s="125"/>
      <c r="K121" s="125"/>
      <c r="L121" s="133"/>
      <c r="N121" s="125"/>
      <c r="O121" s="482"/>
      <c r="P121" s="528"/>
      <c r="Q121" s="528"/>
      <c r="R121" s="528"/>
      <c r="S121" s="528"/>
    </row>
    <row r="122" spans="1:19" ht="16.2" thickBot="1">
      <c r="A122" s="126">
        <v>30</v>
      </c>
      <c r="B122" s="133" t="s">
        <v>77</v>
      </c>
      <c r="C122" s="125"/>
      <c r="D122" s="170">
        <f>+D120+D114+D112+D104</f>
        <v>15017909.199999999</v>
      </c>
      <c r="E122" s="125"/>
      <c r="F122" s="125"/>
      <c r="G122" s="160"/>
      <c r="H122" s="125"/>
      <c r="I122" s="170">
        <f>+I120+I114+I112+I104</f>
        <v>1530391.5521458685</v>
      </c>
      <c r="J122" s="125"/>
      <c r="K122" s="160"/>
      <c r="L122" s="133"/>
      <c r="N122" s="125"/>
      <c r="O122" s="482"/>
      <c r="P122" s="534"/>
      <c r="Q122" s="532"/>
      <c r="R122" s="528"/>
      <c r="S122" s="528"/>
    </row>
    <row r="123" spans="1:19" ht="16.2" thickTop="1">
      <c r="A123" s="126"/>
      <c r="B123" s="133"/>
      <c r="C123" s="125"/>
      <c r="D123" s="125"/>
      <c r="E123" s="125"/>
      <c r="F123" s="125"/>
      <c r="G123" s="125"/>
      <c r="H123" s="125"/>
      <c r="I123" s="125"/>
      <c r="J123" s="125"/>
      <c r="K123" s="125"/>
      <c r="L123" s="118"/>
      <c r="N123" s="125"/>
      <c r="O123" s="482"/>
      <c r="P123" s="528"/>
      <c r="Q123" s="528"/>
      <c r="R123" s="528"/>
      <c r="S123" s="528"/>
    </row>
    <row r="124" spans="1:19">
      <c r="A124" s="126"/>
      <c r="B124" s="133"/>
      <c r="C124" s="125"/>
      <c r="D124" s="125"/>
      <c r="E124" s="125"/>
      <c r="F124" s="125"/>
      <c r="G124" s="125"/>
      <c r="H124" s="125"/>
      <c r="I124" s="125"/>
      <c r="J124" s="125"/>
      <c r="K124" s="125"/>
      <c r="L124" s="118"/>
      <c r="N124" s="125"/>
      <c r="O124" s="482"/>
      <c r="P124" s="528"/>
      <c r="Q124" s="528"/>
      <c r="R124" s="528"/>
      <c r="S124" s="528"/>
    </row>
    <row r="125" spans="1:19">
      <c r="A125" s="126"/>
      <c r="B125" s="133"/>
      <c r="C125" s="125"/>
      <c r="D125" s="125"/>
      <c r="E125" s="125"/>
      <c r="F125" s="125"/>
      <c r="G125" s="125"/>
      <c r="H125" s="125"/>
      <c r="I125" s="125"/>
      <c r="J125" s="125"/>
      <c r="K125" s="125"/>
      <c r="L125" s="118"/>
      <c r="N125" s="125"/>
      <c r="O125" s="482"/>
      <c r="P125" s="528"/>
      <c r="Q125" s="528"/>
      <c r="R125" s="528"/>
      <c r="S125" s="528"/>
    </row>
    <row r="126" spans="1:19">
      <c r="A126" s="126"/>
      <c r="B126" s="133"/>
      <c r="C126" s="125"/>
      <c r="D126" s="125"/>
      <c r="E126" s="125"/>
      <c r="F126" s="125"/>
      <c r="G126" s="125"/>
      <c r="H126" s="125"/>
      <c r="I126" s="125"/>
      <c r="J126" s="125"/>
      <c r="K126" s="125"/>
      <c r="L126" s="118"/>
      <c r="N126" s="125"/>
      <c r="O126" s="482"/>
      <c r="P126" s="528"/>
      <c r="Q126" s="528"/>
      <c r="R126" s="528"/>
      <c r="S126" s="528"/>
    </row>
    <row r="127" spans="1:19">
      <c r="A127" s="126"/>
      <c r="B127" s="133"/>
      <c r="C127" s="125"/>
      <c r="D127" s="125"/>
      <c r="E127" s="125"/>
      <c r="F127" s="125"/>
      <c r="G127" s="125"/>
      <c r="H127" s="125"/>
      <c r="I127" s="125"/>
      <c r="J127" s="125"/>
      <c r="K127" s="125"/>
      <c r="L127" s="118"/>
      <c r="N127" s="125"/>
      <c r="O127" s="482"/>
      <c r="P127" s="528"/>
      <c r="Q127" s="528"/>
      <c r="R127" s="528"/>
      <c r="S127" s="528"/>
    </row>
    <row r="128" spans="1:19">
      <c r="A128" s="126"/>
      <c r="B128" s="133"/>
      <c r="C128" s="125"/>
      <c r="D128" s="125"/>
      <c r="E128" s="125"/>
      <c r="F128" s="125"/>
      <c r="G128" s="125"/>
      <c r="H128" s="125"/>
      <c r="I128" s="125"/>
      <c r="J128" s="125"/>
      <c r="K128" s="125"/>
      <c r="L128" s="118"/>
      <c r="N128" s="125"/>
      <c r="O128" s="482"/>
      <c r="P128" s="528"/>
      <c r="Q128" s="528"/>
      <c r="R128" s="528"/>
      <c r="S128" s="528"/>
    </row>
    <row r="129" spans="1:25">
      <c r="A129" s="126"/>
      <c r="B129" s="133"/>
      <c r="C129" s="125"/>
      <c r="D129" s="125"/>
      <c r="E129" s="125"/>
      <c r="F129" s="125"/>
      <c r="G129" s="125"/>
      <c r="H129" s="125"/>
      <c r="I129" s="125"/>
      <c r="J129" s="125"/>
      <c r="K129" s="125"/>
      <c r="L129" s="118"/>
      <c r="N129" s="125"/>
      <c r="O129" s="482"/>
      <c r="P129" s="528"/>
      <c r="Q129" s="528"/>
      <c r="R129" s="528"/>
      <c r="S129" s="528"/>
    </row>
    <row r="130" spans="1:25">
      <c r="A130" s="126"/>
      <c r="B130" s="133"/>
      <c r="C130" s="125"/>
      <c r="D130" s="125"/>
      <c r="E130" s="125"/>
      <c r="F130" s="125"/>
      <c r="G130" s="125"/>
      <c r="H130" s="125"/>
      <c r="I130" s="125"/>
      <c r="J130" s="125"/>
      <c r="K130" s="125"/>
      <c r="L130" s="118"/>
      <c r="N130" s="125"/>
      <c r="O130" s="482"/>
      <c r="P130" s="528"/>
      <c r="Q130" s="528"/>
      <c r="R130" s="528"/>
      <c r="S130" s="528"/>
    </row>
    <row r="131" spans="1:25">
      <c r="A131" s="126"/>
      <c r="B131" s="133"/>
      <c r="C131" s="125"/>
      <c r="D131" s="125"/>
      <c r="E131" s="125"/>
      <c r="F131" s="125"/>
      <c r="G131" s="125"/>
      <c r="H131" s="125"/>
      <c r="I131" s="125"/>
      <c r="J131" s="125"/>
      <c r="K131" s="125"/>
      <c r="L131" s="118"/>
      <c r="N131" s="125"/>
    </row>
    <row r="132" spans="1:25">
      <c r="A132" s="126"/>
      <c r="B132" s="133"/>
      <c r="C132" s="125"/>
      <c r="D132" s="125"/>
      <c r="E132" s="125"/>
      <c r="F132" s="125"/>
      <c r="G132" s="125"/>
      <c r="H132" s="125"/>
      <c r="I132" s="125"/>
      <c r="J132" s="125"/>
      <c r="K132" s="125"/>
      <c r="L132" s="118"/>
      <c r="N132" s="125"/>
    </row>
    <row r="133" spans="1:25">
      <c r="A133" s="126"/>
      <c r="B133" s="133"/>
      <c r="C133" s="125"/>
      <c r="D133" s="125"/>
      <c r="E133" s="125"/>
      <c r="F133" s="125"/>
      <c r="G133" s="125"/>
      <c r="H133" s="125"/>
      <c r="I133" s="125"/>
      <c r="J133" s="125"/>
      <c r="K133" s="125"/>
      <c r="L133" s="118"/>
      <c r="N133" s="125"/>
    </row>
    <row r="134" spans="1:25">
      <c r="A134" s="126"/>
      <c r="B134" s="133"/>
      <c r="C134" s="125"/>
      <c r="D134" s="125"/>
      <c r="E134" s="125"/>
      <c r="F134" s="125"/>
      <c r="G134" s="125"/>
      <c r="H134" s="125"/>
      <c r="I134" s="125"/>
      <c r="J134" s="125"/>
      <c r="K134" s="125"/>
      <c r="L134" s="118"/>
      <c r="N134" s="125"/>
    </row>
    <row r="135" spans="1:25">
      <c r="A135" s="126"/>
      <c r="B135" s="133"/>
      <c r="C135" s="125"/>
      <c r="D135" s="125"/>
      <c r="E135" s="125"/>
      <c r="F135" s="125"/>
      <c r="G135" s="125"/>
      <c r="H135" s="125"/>
      <c r="I135" s="125"/>
      <c r="J135" s="125"/>
      <c r="K135" s="125"/>
      <c r="L135" s="118"/>
      <c r="N135" s="125"/>
    </row>
    <row r="136" spans="1:25">
      <c r="A136" s="126"/>
      <c r="B136" s="133"/>
      <c r="C136" s="125"/>
      <c r="D136" s="125"/>
      <c r="E136" s="125"/>
      <c r="F136" s="125"/>
      <c r="G136" s="125"/>
      <c r="H136" s="125"/>
      <c r="I136" s="125"/>
      <c r="J136" s="125"/>
      <c r="K136" s="125"/>
      <c r="L136" s="118"/>
      <c r="N136" s="125"/>
    </row>
    <row r="137" spans="1:25">
      <c r="A137" s="126"/>
      <c r="B137" s="133"/>
      <c r="C137" s="125"/>
      <c r="D137" s="125"/>
      <c r="E137" s="125"/>
      <c r="F137" s="125"/>
      <c r="G137" s="125"/>
      <c r="H137" s="125"/>
      <c r="I137" s="125"/>
      <c r="J137" s="125"/>
      <c r="K137" s="125"/>
      <c r="L137" s="118"/>
      <c r="N137" s="125"/>
    </row>
    <row r="138" spans="1:25">
      <c r="A138" s="126"/>
      <c r="B138" s="133"/>
      <c r="C138" s="125"/>
      <c r="D138" s="125"/>
      <c r="E138" s="125"/>
      <c r="F138" s="125"/>
      <c r="G138" s="125"/>
      <c r="H138" s="125"/>
      <c r="I138" s="125"/>
      <c r="J138" s="125"/>
      <c r="K138" s="113" t="s">
        <v>770</v>
      </c>
      <c r="L138" s="118"/>
      <c r="N138" s="125"/>
    </row>
    <row r="139" spans="1:25">
      <c r="B139" s="115"/>
      <c r="C139" s="115"/>
      <c r="D139" s="116"/>
      <c r="E139" s="115"/>
      <c r="F139" s="115"/>
      <c r="G139" s="115"/>
      <c r="H139" s="117"/>
      <c r="I139" s="118"/>
      <c r="K139" s="119" t="s">
        <v>186</v>
      </c>
      <c r="L139" s="118"/>
      <c r="N139" s="118"/>
    </row>
    <row r="140" spans="1:25">
      <c r="A140" s="126"/>
      <c r="B140" s="133"/>
      <c r="C140" s="125"/>
      <c r="D140" s="125"/>
      <c r="E140" s="125"/>
      <c r="F140" s="125"/>
      <c r="G140" s="125"/>
      <c r="H140" s="125"/>
      <c r="I140" s="125"/>
      <c r="J140" s="125"/>
      <c r="K140" s="125"/>
      <c r="L140" s="118"/>
      <c r="N140" s="125"/>
    </row>
    <row r="141" spans="1:25">
      <c r="A141" s="126"/>
      <c r="B141" s="133" t="str">
        <f>B4</f>
        <v xml:space="preserve">Formula Rate - Non-Levelized </v>
      </c>
      <c r="C141" s="125"/>
      <c r="D141" s="125" t="str">
        <f>D4</f>
        <v xml:space="preserve">   Rate Formula Template</v>
      </c>
      <c r="E141" s="125"/>
      <c r="F141" s="125"/>
      <c r="G141" s="125"/>
      <c r="H141" s="125"/>
      <c r="J141" s="125"/>
      <c r="K141" s="171" t="str">
        <f>K4</f>
        <v>For the 12 months ended 12/31/2014</v>
      </c>
      <c r="L141" s="133"/>
      <c r="N141" s="125"/>
    </row>
    <row r="142" spans="1:25">
      <c r="A142" s="126"/>
      <c r="B142" s="133"/>
      <c r="C142" s="125"/>
      <c r="D142" s="125" t="str">
        <f>D5</f>
        <v>Utilizing EIA Form 412 Data</v>
      </c>
      <c r="E142" s="125"/>
      <c r="F142" s="125"/>
      <c r="G142" s="125"/>
      <c r="H142" s="125"/>
      <c r="I142" s="125"/>
      <c r="J142" s="125"/>
      <c r="K142" s="125"/>
      <c r="L142" s="133"/>
      <c r="N142" s="125"/>
    </row>
    <row r="143" spans="1:25">
      <c r="A143" s="126"/>
      <c r="C143" s="125"/>
      <c r="D143" s="125"/>
      <c r="E143" s="125"/>
      <c r="F143" s="125"/>
      <c r="G143" s="125"/>
      <c r="H143" s="125"/>
      <c r="I143" s="125"/>
      <c r="J143" s="125"/>
      <c r="K143" s="125"/>
      <c r="L143" s="133"/>
      <c r="N143" s="125"/>
    </row>
    <row r="144" spans="1:25">
      <c r="A144" s="126"/>
      <c r="D144" s="112" t="str">
        <f>D7</f>
        <v>Detroit Lakes (Minnesota) Public Utilities</v>
      </c>
      <c r="J144" s="125"/>
      <c r="K144" s="125"/>
      <c r="L144" s="133"/>
      <c r="N144" s="125"/>
      <c r="O144" s="482"/>
      <c r="P144" s="528"/>
      <c r="Q144" s="528"/>
      <c r="R144" s="528"/>
      <c r="S144" s="528"/>
      <c r="T144" s="229"/>
      <c r="U144" s="229"/>
      <c r="V144" s="229"/>
      <c r="W144" s="229"/>
      <c r="X144" s="229"/>
      <c r="Y144" s="229"/>
    </row>
    <row r="145" spans="1:25">
      <c r="A145" s="126"/>
      <c r="B145" s="120" t="s">
        <v>39</v>
      </c>
      <c r="C145" s="120" t="s">
        <v>40</v>
      </c>
      <c r="D145" s="120" t="s">
        <v>41</v>
      </c>
      <c r="E145" s="125" t="s">
        <v>2</v>
      </c>
      <c r="F145" s="125"/>
      <c r="G145" s="151" t="s">
        <v>42</v>
      </c>
      <c r="H145" s="125"/>
      <c r="I145" s="152" t="s">
        <v>43</v>
      </c>
      <c r="J145" s="125"/>
      <c r="K145" s="125"/>
      <c r="L145" s="133"/>
      <c r="N145" s="118"/>
      <c r="O145" s="482"/>
      <c r="P145" s="528"/>
      <c r="Q145" s="528"/>
      <c r="R145" s="528"/>
      <c r="S145" s="528"/>
      <c r="T145" s="229"/>
      <c r="U145" s="229"/>
      <c r="V145" s="229"/>
      <c r="W145" s="229"/>
      <c r="X145" s="229"/>
      <c r="Y145" s="229"/>
    </row>
    <row r="146" spans="1:25">
      <c r="A146" s="126" t="s">
        <v>4</v>
      </c>
      <c r="B146" s="133"/>
      <c r="C146" s="153" t="s">
        <v>44</v>
      </c>
      <c r="D146" s="125"/>
      <c r="E146" s="125"/>
      <c r="F146" s="125"/>
      <c r="G146" s="126"/>
      <c r="H146" s="125"/>
      <c r="I146" s="154" t="s">
        <v>45</v>
      </c>
      <c r="J146" s="125"/>
      <c r="K146" s="154"/>
      <c r="L146" s="133"/>
      <c r="N146" s="126"/>
      <c r="O146" s="529"/>
      <c r="P146" s="530"/>
      <c r="Q146" s="528"/>
      <c r="R146" s="528"/>
      <c r="S146" s="528"/>
      <c r="T146" s="229"/>
      <c r="U146" s="229"/>
      <c r="V146" s="229"/>
      <c r="W146" s="229"/>
      <c r="X146" s="229"/>
      <c r="Y146" s="229"/>
    </row>
    <row r="147" spans="1:25" ht="16.2" thickBot="1">
      <c r="A147" s="130" t="s">
        <v>6</v>
      </c>
      <c r="B147" s="133"/>
      <c r="C147" s="156" t="s">
        <v>46</v>
      </c>
      <c r="D147" s="154" t="s">
        <v>47</v>
      </c>
      <c r="E147" s="157"/>
      <c r="F147" s="154" t="s">
        <v>48</v>
      </c>
      <c r="H147" s="157"/>
      <c r="I147" s="126" t="s">
        <v>49</v>
      </c>
      <c r="J147" s="125"/>
      <c r="K147" s="154"/>
      <c r="L147" s="125" t="s">
        <v>2</v>
      </c>
      <c r="N147" s="154"/>
      <c r="O147" s="529"/>
      <c r="P147" s="530"/>
      <c r="Q147" s="530"/>
      <c r="R147" s="528"/>
      <c r="S147" s="528"/>
      <c r="T147" s="229"/>
      <c r="U147" s="229"/>
      <c r="V147" s="229"/>
      <c r="W147" s="229"/>
      <c r="X147" s="229"/>
      <c r="Y147" s="229"/>
    </row>
    <row r="148" spans="1:25">
      <c r="A148" s="126"/>
      <c r="B148" s="133" t="s">
        <v>747</v>
      </c>
      <c r="C148" s="125"/>
      <c r="D148" s="125"/>
      <c r="E148" s="125"/>
      <c r="F148" s="125"/>
      <c r="G148" s="125"/>
      <c r="H148" s="125"/>
      <c r="I148" s="125"/>
      <c r="J148" s="125"/>
      <c r="K148" s="125"/>
      <c r="L148" s="133"/>
      <c r="N148" s="125"/>
      <c r="O148" s="482"/>
      <c r="P148" s="528"/>
      <c r="Q148" s="528"/>
      <c r="R148" s="528"/>
      <c r="S148" s="528"/>
      <c r="T148" s="229"/>
      <c r="U148" s="229"/>
      <c r="V148" s="229"/>
      <c r="W148" s="229"/>
      <c r="X148" s="229"/>
      <c r="Y148" s="229"/>
    </row>
    <row r="149" spans="1:25">
      <c r="A149" s="126">
        <v>1</v>
      </c>
      <c r="B149" s="133" t="s">
        <v>78</v>
      </c>
      <c r="C149" s="112" t="s">
        <v>257</v>
      </c>
      <c r="D149" s="6">
        <f>+'Schedule 7'!F21</f>
        <v>2068780</v>
      </c>
      <c r="E149" s="125"/>
      <c r="F149" s="125" t="s">
        <v>74</v>
      </c>
      <c r="G149" s="158">
        <f>I229</f>
        <v>1</v>
      </c>
      <c r="H149" s="125"/>
      <c r="I149" s="125">
        <f t="shared" ref="I149:I157" si="1">+G149*D149</f>
        <v>2068780</v>
      </c>
      <c r="J149" s="118"/>
      <c r="K149" s="125"/>
      <c r="L149" s="133" t="s">
        <v>944</v>
      </c>
      <c r="N149" s="125"/>
      <c r="O149" s="482"/>
      <c r="P149" s="531"/>
      <c r="Q149" s="532"/>
      <c r="R149" s="528"/>
      <c r="S149" s="528"/>
      <c r="T149" s="229"/>
      <c r="U149" s="229"/>
      <c r="V149" s="229"/>
      <c r="W149" s="229"/>
      <c r="X149" s="229"/>
      <c r="Y149" s="229"/>
    </row>
    <row r="150" spans="1:25">
      <c r="A150" s="172" t="s">
        <v>190</v>
      </c>
      <c r="B150" s="173" t="s">
        <v>224</v>
      </c>
      <c r="C150" s="174"/>
      <c r="D150" s="6">
        <v>0</v>
      </c>
      <c r="E150" s="125"/>
      <c r="F150" s="175"/>
      <c r="G150" s="158">
        <v>1</v>
      </c>
      <c r="H150" s="125"/>
      <c r="I150" s="125">
        <f t="shared" si="1"/>
        <v>0</v>
      </c>
      <c r="J150" s="118"/>
      <c r="K150" s="125"/>
      <c r="L150" s="133"/>
      <c r="N150" s="125"/>
      <c r="O150" s="482"/>
      <c r="P150" s="533"/>
      <c r="Q150" s="528"/>
      <c r="R150" s="528"/>
      <c r="S150" s="528"/>
      <c r="T150" s="229"/>
      <c r="U150" s="229"/>
      <c r="V150" s="229"/>
      <c r="W150" s="229"/>
      <c r="X150" s="229"/>
      <c r="Y150" s="229"/>
    </row>
    <row r="151" spans="1:25">
      <c r="A151" s="126">
        <v>2</v>
      </c>
      <c r="B151" s="133" t="s">
        <v>79</v>
      </c>
      <c r="C151" s="112" t="s">
        <v>2</v>
      </c>
      <c r="D151" s="6">
        <f>+'Schedule 7'!D21</f>
        <v>2026300</v>
      </c>
      <c r="E151" s="125"/>
      <c r="F151" s="125" t="s">
        <v>74</v>
      </c>
      <c r="G151" s="158">
        <f>+G149</f>
        <v>1</v>
      </c>
      <c r="H151" s="125"/>
      <c r="I151" s="125">
        <f t="shared" si="1"/>
        <v>2026300</v>
      </c>
      <c r="J151" s="118"/>
      <c r="K151" s="125"/>
      <c r="L151" s="133" t="s">
        <v>945</v>
      </c>
      <c r="N151" s="125"/>
      <c r="O151" s="482"/>
      <c r="P151" s="531"/>
      <c r="Q151" s="532"/>
      <c r="R151" s="528"/>
      <c r="S151" s="528"/>
      <c r="T151" s="229"/>
      <c r="U151" s="229"/>
      <c r="V151" s="229"/>
      <c r="W151" s="229"/>
      <c r="X151" s="229"/>
      <c r="Y151" s="229"/>
    </row>
    <row r="152" spans="1:25">
      <c r="A152" s="126">
        <v>3</v>
      </c>
      <c r="B152" s="133" t="s">
        <v>80</v>
      </c>
      <c r="C152" s="112" t="s">
        <v>258</v>
      </c>
      <c r="D152" s="6">
        <f>+'Schedule 7'!F29</f>
        <v>1029020</v>
      </c>
      <c r="E152" s="125"/>
      <c r="F152" s="125" t="s">
        <v>56</v>
      </c>
      <c r="G152" s="158">
        <f>I236</f>
        <v>3.0305388591074104E-3</v>
      </c>
      <c r="H152" s="125"/>
      <c r="I152" s="125">
        <f t="shared" si="1"/>
        <v>3118.4850967987072</v>
      </c>
      <c r="J152" s="125"/>
      <c r="K152" s="125" t="s">
        <v>2</v>
      </c>
      <c r="L152" s="133" t="s">
        <v>943</v>
      </c>
      <c r="N152" s="125"/>
      <c r="O152" s="482"/>
      <c r="P152" s="534"/>
      <c r="Q152" s="532"/>
      <c r="R152" s="528"/>
      <c r="S152" s="528"/>
      <c r="T152" s="229"/>
      <c r="U152" s="229"/>
      <c r="V152" s="229"/>
      <c r="W152" s="229"/>
      <c r="X152" s="229"/>
      <c r="Y152" s="229"/>
    </row>
    <row r="153" spans="1:25">
      <c r="A153" s="126">
        <v>4</v>
      </c>
      <c r="B153" s="133" t="s">
        <v>81</v>
      </c>
      <c r="C153" s="125"/>
      <c r="D153" s="163">
        <v>0</v>
      </c>
      <c r="E153" s="125"/>
      <c r="F153" s="125" t="str">
        <f>+F152</f>
        <v>W/S</v>
      </c>
      <c r="G153" s="158">
        <f>I236</f>
        <v>3.0305388591074104E-3</v>
      </c>
      <c r="H153" s="125"/>
      <c r="I153" s="125">
        <f t="shared" si="1"/>
        <v>0</v>
      </c>
      <c r="J153" s="125"/>
      <c r="K153" s="125"/>
      <c r="L153" s="133"/>
      <c r="N153" s="125"/>
      <c r="O153" s="482"/>
      <c r="P153" s="528"/>
      <c r="Q153" s="528"/>
      <c r="R153" s="528"/>
      <c r="S153" s="528"/>
      <c r="T153" s="229"/>
      <c r="U153" s="229"/>
      <c r="V153" s="229"/>
      <c r="W153" s="229"/>
      <c r="X153" s="229"/>
      <c r="Y153" s="229"/>
    </row>
    <row r="154" spans="1:25">
      <c r="A154" s="126">
        <v>5</v>
      </c>
      <c r="B154" s="133" t="s">
        <v>225</v>
      </c>
      <c r="C154" s="125"/>
      <c r="D154" s="163">
        <f>+'Other Data'!D24+'Other Data'!D16</f>
        <v>10922.4</v>
      </c>
      <c r="E154" s="125"/>
      <c r="F154" s="125" t="str">
        <f>+F153</f>
        <v>W/S</v>
      </c>
      <c r="G154" s="158">
        <f>I236</f>
        <v>3.0305388591074104E-3</v>
      </c>
      <c r="H154" s="125"/>
      <c r="I154" s="125">
        <f t="shared" si="1"/>
        <v>33.100757634714775</v>
      </c>
      <c r="J154" s="125"/>
      <c r="K154" s="125"/>
      <c r="L154" s="173" t="s">
        <v>948</v>
      </c>
      <c r="N154" s="125"/>
      <c r="O154" s="482"/>
      <c r="P154" s="534"/>
      <c r="Q154" s="532"/>
      <c r="R154" s="528"/>
      <c r="S154" s="528"/>
      <c r="T154" s="229"/>
      <c r="U154" s="229"/>
      <c r="V154" s="229"/>
      <c r="W154" s="229"/>
      <c r="X154" s="229"/>
      <c r="Y154" s="229"/>
    </row>
    <row r="155" spans="1:25">
      <c r="A155" s="126" t="s">
        <v>178</v>
      </c>
      <c r="B155" s="133" t="s">
        <v>226</v>
      </c>
      <c r="C155" s="125"/>
      <c r="D155" s="163">
        <f>+'Other Data'!D19</f>
        <v>0</v>
      </c>
      <c r="E155" s="125"/>
      <c r="F155" s="125" t="str">
        <f>+F149</f>
        <v>TE</v>
      </c>
      <c r="G155" s="158">
        <f>+G149</f>
        <v>1</v>
      </c>
      <c r="H155" s="125"/>
      <c r="I155" s="125">
        <f t="shared" si="1"/>
        <v>0</v>
      </c>
      <c r="J155" s="125"/>
      <c r="K155" s="125"/>
      <c r="L155" s="133" t="s">
        <v>947</v>
      </c>
      <c r="N155" s="125"/>
      <c r="O155" s="482"/>
      <c r="P155" s="528"/>
      <c r="Q155" s="528"/>
      <c r="R155" s="528"/>
      <c r="S155" s="528"/>
      <c r="T155" s="229"/>
      <c r="U155" s="229"/>
      <c r="V155" s="229"/>
      <c r="W155" s="229"/>
      <c r="X155" s="229"/>
      <c r="Y155" s="229"/>
    </row>
    <row r="156" spans="1:25">
      <c r="A156" s="126">
        <v>6</v>
      </c>
      <c r="B156" s="133" t="s">
        <v>57</v>
      </c>
      <c r="C156" s="125"/>
      <c r="D156" s="163">
        <v>0</v>
      </c>
      <c r="E156" s="125"/>
      <c r="F156" s="125" t="s">
        <v>58</v>
      </c>
      <c r="G156" s="158">
        <f>K240</f>
        <v>0</v>
      </c>
      <c r="H156" s="125"/>
      <c r="I156" s="125">
        <f t="shared" si="1"/>
        <v>0</v>
      </c>
      <c r="J156" s="125"/>
      <c r="K156" s="125"/>
      <c r="L156" s="133"/>
      <c r="N156" s="125"/>
      <c r="O156" s="482"/>
      <c r="P156" s="528"/>
      <c r="Q156" s="528"/>
      <c r="R156" s="528"/>
      <c r="S156" s="528"/>
      <c r="T156" s="229"/>
      <c r="U156" s="229"/>
      <c r="V156" s="229"/>
      <c r="W156" s="229"/>
      <c r="X156" s="229"/>
      <c r="Y156" s="229"/>
    </row>
    <row r="157" spans="1:25" ht="16.2" thickBot="1">
      <c r="A157" s="126">
        <v>7</v>
      </c>
      <c r="B157" s="133" t="s">
        <v>82</v>
      </c>
      <c r="C157" s="125"/>
      <c r="D157" s="159">
        <v>0</v>
      </c>
      <c r="E157" s="125"/>
      <c r="F157" s="125" t="s">
        <v>52</v>
      </c>
      <c r="G157" s="158">
        <v>1</v>
      </c>
      <c r="H157" s="125"/>
      <c r="I157" s="138">
        <f t="shared" si="1"/>
        <v>0</v>
      </c>
      <c r="J157" s="125"/>
      <c r="K157" s="125"/>
      <c r="L157" s="133"/>
      <c r="N157" s="125"/>
      <c r="O157" s="482"/>
      <c r="P157" s="528"/>
      <c r="Q157" s="528"/>
      <c r="R157" s="528"/>
      <c r="S157" s="528"/>
      <c r="T157" s="229"/>
      <c r="U157" s="229"/>
      <c r="V157" s="229"/>
      <c r="W157" s="229"/>
      <c r="X157" s="229"/>
      <c r="Y157" s="229"/>
    </row>
    <row r="158" spans="1:25">
      <c r="A158" s="172">
        <v>8</v>
      </c>
      <c r="B158" s="173" t="s">
        <v>259</v>
      </c>
      <c r="C158" s="176"/>
      <c r="D158" s="176">
        <f>+D149-D151+D152-D153-D154+D155+D156+D157-D150</f>
        <v>1060577.6000000001</v>
      </c>
      <c r="E158" s="176"/>
      <c r="F158" s="176"/>
      <c r="G158" s="176"/>
      <c r="H158" s="176"/>
      <c r="I158" s="176">
        <f>+I149-I151+I152-I153-I154+I155+I156+I157-I150</f>
        <v>45565.384339163989</v>
      </c>
      <c r="J158" s="176"/>
      <c r="K158" s="176"/>
      <c r="L158" s="176"/>
      <c r="M158" s="174"/>
      <c r="N158" s="177"/>
      <c r="O158" s="482"/>
      <c r="P158" s="534"/>
      <c r="Q158" s="532"/>
      <c r="R158" s="528"/>
      <c r="S158" s="528"/>
      <c r="T158" s="229"/>
      <c r="U158" s="229"/>
      <c r="V158" s="229"/>
      <c r="W158" s="229"/>
      <c r="X158" s="229"/>
      <c r="Y158" s="229"/>
    </row>
    <row r="159" spans="1:25">
      <c r="A159" s="126"/>
      <c r="C159" s="125"/>
      <c r="E159" s="125"/>
      <c r="F159" s="125"/>
      <c r="G159" s="125"/>
      <c r="H159" s="125"/>
      <c r="J159" s="125"/>
      <c r="K159" s="125"/>
      <c r="L159" s="125" t="s">
        <v>2</v>
      </c>
      <c r="N159" s="125"/>
      <c r="O159" s="482"/>
      <c r="P159" s="528"/>
      <c r="Q159" s="528"/>
      <c r="R159" s="528"/>
      <c r="S159" s="528"/>
      <c r="T159" s="229"/>
      <c r="U159" s="229"/>
      <c r="V159" s="229"/>
      <c r="W159" s="229"/>
      <c r="X159" s="229"/>
      <c r="Y159" s="229"/>
    </row>
    <row r="160" spans="1:25">
      <c r="A160" s="126"/>
      <c r="B160" s="133" t="s">
        <v>748</v>
      </c>
      <c r="C160" s="125"/>
      <c r="D160" s="125"/>
      <c r="E160" s="125"/>
      <c r="F160" s="125"/>
      <c r="G160" s="125"/>
      <c r="H160" s="125"/>
      <c r="I160" s="125"/>
      <c r="J160" s="125"/>
      <c r="K160" s="125"/>
      <c r="L160" s="125" t="s">
        <v>2</v>
      </c>
      <c r="N160" s="125"/>
      <c r="O160" s="482"/>
      <c r="P160" s="528"/>
      <c r="Q160" s="528"/>
      <c r="R160" s="528"/>
      <c r="S160" s="528"/>
      <c r="T160" s="229"/>
      <c r="U160" s="229"/>
      <c r="V160" s="229"/>
      <c r="W160" s="229"/>
      <c r="X160" s="229"/>
      <c r="Y160" s="229"/>
    </row>
    <row r="161" spans="1:25">
      <c r="A161" s="126">
        <v>9</v>
      </c>
      <c r="B161" s="133" t="str">
        <f>+B149</f>
        <v xml:space="preserve">  Transmission </v>
      </c>
      <c r="C161" s="112" t="s">
        <v>2</v>
      </c>
      <c r="D161" s="161">
        <f>+'Schedule 4'!K17</f>
        <v>67597</v>
      </c>
      <c r="E161" s="125"/>
      <c r="F161" s="125" t="s">
        <v>12</v>
      </c>
      <c r="G161" s="158">
        <f>+G114</f>
        <v>1</v>
      </c>
      <c r="H161" s="125"/>
      <c r="I161" s="125">
        <f>+G161*D161</f>
        <v>67597</v>
      </c>
      <c r="J161" s="125"/>
      <c r="K161" s="160"/>
      <c r="L161" s="133" t="s">
        <v>940</v>
      </c>
      <c r="N161" s="125"/>
      <c r="O161" s="535"/>
      <c r="P161" s="534"/>
      <c r="Q161" s="532"/>
      <c r="R161" s="528"/>
      <c r="S161" s="528"/>
      <c r="T161" s="229"/>
      <c r="U161" s="229"/>
      <c r="V161" s="229"/>
      <c r="W161" s="229"/>
      <c r="X161" s="229"/>
      <c r="Y161" s="229"/>
    </row>
    <row r="162" spans="1:25">
      <c r="A162" s="126">
        <v>10</v>
      </c>
      <c r="B162" s="133" t="s">
        <v>749</v>
      </c>
      <c r="C162" s="112" t="s">
        <v>2</v>
      </c>
      <c r="D162" s="161">
        <f>+'Schedule 4'!K19+'Schedule 4'!K9</f>
        <v>200373.80863400002</v>
      </c>
      <c r="E162" s="125"/>
      <c r="F162" s="125" t="s">
        <v>56</v>
      </c>
      <c r="G162" s="158">
        <f>+G152</f>
        <v>3.0305388591074104E-3</v>
      </c>
      <c r="H162" s="125"/>
      <c r="I162" s="125">
        <f>+G162*D162</f>
        <v>607.24061341268896</v>
      </c>
      <c r="J162" s="125"/>
      <c r="K162" s="160"/>
      <c r="L162" s="133" t="s">
        <v>946</v>
      </c>
      <c r="N162" s="125"/>
      <c r="O162" s="535"/>
      <c r="P162" s="534"/>
      <c r="Q162" s="532"/>
      <c r="R162" s="528"/>
      <c r="S162" s="528"/>
      <c r="T162" s="229"/>
      <c r="U162" s="229"/>
      <c r="V162" s="229"/>
      <c r="W162" s="229"/>
      <c r="X162" s="229"/>
      <c r="Y162" s="229"/>
    </row>
    <row r="163" spans="1:25" ht="16.2" thickBot="1">
      <c r="A163" s="126">
        <v>11</v>
      </c>
      <c r="B163" s="133" t="str">
        <f>+B156</f>
        <v xml:space="preserve">  Common</v>
      </c>
      <c r="C163" s="125"/>
      <c r="D163" s="159">
        <v>0</v>
      </c>
      <c r="E163" s="125"/>
      <c r="F163" s="125" t="s">
        <v>58</v>
      </c>
      <c r="G163" s="158">
        <f>+G156</f>
        <v>0</v>
      </c>
      <c r="H163" s="125"/>
      <c r="I163" s="138">
        <f>+G163*D163</f>
        <v>0</v>
      </c>
      <c r="J163" s="125"/>
      <c r="K163" s="160"/>
      <c r="L163" s="133"/>
      <c r="N163" s="125"/>
      <c r="O163" s="482"/>
      <c r="P163" s="528"/>
      <c r="Q163" s="528"/>
      <c r="R163" s="528"/>
      <c r="S163" s="528"/>
      <c r="T163" s="229"/>
      <c r="U163" s="229"/>
      <c r="V163" s="229"/>
      <c r="W163" s="229"/>
      <c r="X163" s="229"/>
      <c r="Y163" s="229"/>
    </row>
    <row r="164" spans="1:25">
      <c r="A164" s="126">
        <v>12</v>
      </c>
      <c r="B164" s="133" t="s">
        <v>227</v>
      </c>
      <c r="C164" s="125"/>
      <c r="D164" s="125">
        <f>SUM(D161:D163)</f>
        <v>267970.80863400002</v>
      </c>
      <c r="E164" s="125"/>
      <c r="F164" s="125"/>
      <c r="G164" s="125"/>
      <c r="H164" s="125"/>
      <c r="I164" s="125">
        <f>SUM(I161:I163)</f>
        <v>68204.240613412694</v>
      </c>
      <c r="J164" s="125"/>
      <c r="K164" s="125"/>
      <c r="L164" s="133"/>
      <c r="N164" s="162"/>
      <c r="O164" s="482"/>
      <c r="P164" s="534"/>
      <c r="Q164" s="532"/>
      <c r="R164" s="528"/>
      <c r="S164" s="528"/>
      <c r="T164" s="229"/>
      <c r="U164" s="229"/>
      <c r="V164" s="229"/>
      <c r="W164" s="229"/>
      <c r="X164" s="229"/>
      <c r="Y164" s="229"/>
    </row>
    <row r="165" spans="1:25">
      <c r="A165" s="126"/>
      <c r="B165" s="133"/>
      <c r="C165" s="125"/>
      <c r="D165" s="125"/>
      <c r="E165" s="125"/>
      <c r="F165" s="125"/>
      <c r="G165" s="125"/>
      <c r="H165" s="125"/>
      <c r="I165" s="125"/>
      <c r="J165" s="125"/>
      <c r="K165" s="125"/>
      <c r="L165" s="133"/>
      <c r="N165" s="125"/>
      <c r="O165" s="482"/>
      <c r="P165" s="528"/>
      <c r="Q165" s="528"/>
      <c r="R165" s="528"/>
      <c r="S165" s="528"/>
      <c r="T165" s="229"/>
      <c r="U165" s="229"/>
      <c r="V165" s="229"/>
      <c r="W165" s="229"/>
      <c r="X165" s="229"/>
      <c r="Y165" s="229"/>
    </row>
    <row r="166" spans="1:25">
      <c r="A166" s="126" t="s">
        <v>2</v>
      </c>
      <c r="B166" s="133" t="s">
        <v>228</v>
      </c>
      <c r="D166" s="125"/>
      <c r="E166" s="125"/>
      <c r="F166" s="125"/>
      <c r="G166" s="125"/>
      <c r="H166" s="125"/>
      <c r="I166" s="125"/>
      <c r="J166" s="125"/>
      <c r="K166" s="125"/>
      <c r="L166" s="133"/>
      <c r="N166" s="125"/>
      <c r="O166" s="482"/>
      <c r="P166" s="528"/>
      <c r="Q166" s="528"/>
      <c r="R166" s="528"/>
      <c r="S166" s="528"/>
      <c r="T166" s="229"/>
      <c r="U166" s="229"/>
      <c r="V166" s="229"/>
      <c r="W166" s="229"/>
      <c r="X166" s="229"/>
      <c r="Y166" s="229"/>
    </row>
    <row r="167" spans="1:25">
      <c r="A167" s="126"/>
      <c r="B167" s="133" t="s">
        <v>83</v>
      </c>
      <c r="E167" s="125"/>
      <c r="F167" s="125"/>
      <c r="H167" s="125"/>
      <c r="J167" s="125"/>
      <c r="K167" s="160"/>
      <c r="L167" s="133"/>
      <c r="N167" s="166"/>
      <c r="O167" s="482"/>
      <c r="P167" s="528"/>
      <c r="Q167" s="528"/>
      <c r="R167" s="528"/>
      <c r="S167" s="528"/>
      <c r="T167" s="229"/>
      <c r="U167" s="229"/>
      <c r="V167" s="229"/>
      <c r="W167" s="229"/>
      <c r="X167" s="229"/>
      <c r="Y167" s="229"/>
    </row>
    <row r="168" spans="1:25">
      <c r="A168" s="126">
        <v>13</v>
      </c>
      <c r="B168" s="133" t="s">
        <v>84</v>
      </c>
      <c r="C168" s="125"/>
      <c r="D168" s="163">
        <v>0</v>
      </c>
      <c r="E168" s="125"/>
      <c r="F168" s="125" t="s">
        <v>56</v>
      </c>
      <c r="G168" s="135">
        <f>+G162</f>
        <v>3.0305388591074104E-3</v>
      </c>
      <c r="H168" s="125"/>
      <c r="I168" s="125">
        <f>+G168*D168</f>
        <v>0</v>
      </c>
      <c r="J168" s="125"/>
      <c r="K168" s="160"/>
      <c r="L168" s="2" t="s">
        <v>959</v>
      </c>
      <c r="N168" s="166"/>
      <c r="O168" s="482"/>
      <c r="P168" s="528"/>
      <c r="Q168" s="528"/>
      <c r="R168" s="528"/>
      <c r="S168" s="528"/>
      <c r="T168" s="229"/>
      <c r="U168" s="229"/>
      <c r="V168" s="229"/>
      <c r="W168" s="229"/>
      <c r="X168" s="229"/>
      <c r="Y168" s="229"/>
    </row>
    <row r="169" spans="1:25">
      <c r="A169" s="126">
        <v>14</v>
      </c>
      <c r="B169" s="133" t="s">
        <v>85</v>
      </c>
      <c r="C169" s="125"/>
      <c r="D169" s="163">
        <v>0</v>
      </c>
      <c r="E169" s="125"/>
      <c r="F169" s="125" t="str">
        <f>+F168</f>
        <v>W/S</v>
      </c>
      <c r="G169" s="135">
        <f>+G168</f>
        <v>3.0305388591074104E-3</v>
      </c>
      <c r="H169" s="125"/>
      <c r="I169" s="125">
        <f>+G169*D169</f>
        <v>0</v>
      </c>
      <c r="J169" s="125"/>
      <c r="K169" s="160"/>
      <c r="L169" s="133"/>
      <c r="N169" s="166"/>
      <c r="O169" s="482"/>
      <c r="P169" s="528"/>
      <c r="Q169" s="528"/>
      <c r="R169" s="528"/>
      <c r="S169" s="528"/>
      <c r="T169" s="229"/>
      <c r="U169" s="229"/>
      <c r="V169" s="229"/>
      <c r="W169" s="229"/>
      <c r="X169" s="229"/>
      <c r="Y169" s="229"/>
    </row>
    <row r="170" spans="1:25">
      <c r="A170" s="126">
        <v>15</v>
      </c>
      <c r="B170" s="133" t="s">
        <v>86</v>
      </c>
      <c r="C170" s="125"/>
      <c r="E170" s="125"/>
      <c r="F170" s="125"/>
      <c r="H170" s="125"/>
      <c r="J170" s="125"/>
      <c r="K170" s="160"/>
      <c r="L170" s="133"/>
      <c r="N170" s="166"/>
      <c r="O170" s="482"/>
      <c r="P170" s="528"/>
      <c r="Q170" s="528"/>
      <c r="R170" s="528"/>
      <c r="S170" s="528"/>
      <c r="T170" s="229"/>
      <c r="U170" s="229"/>
      <c r="V170" s="229"/>
      <c r="W170" s="229"/>
      <c r="X170" s="229"/>
      <c r="Y170" s="229"/>
    </row>
    <row r="171" spans="1:25">
      <c r="A171" s="126">
        <v>16</v>
      </c>
      <c r="B171" s="133" t="s">
        <v>87</v>
      </c>
      <c r="C171" s="125"/>
      <c r="D171" s="163">
        <v>0</v>
      </c>
      <c r="E171" s="125"/>
      <c r="F171" s="125" t="s">
        <v>76</v>
      </c>
      <c r="G171" s="135">
        <f>+G88</f>
        <v>7.0983926840807468E-2</v>
      </c>
      <c r="H171" s="125"/>
      <c r="I171" s="125">
        <f>+G171*D171</f>
        <v>0</v>
      </c>
      <c r="J171" s="125"/>
      <c r="K171" s="160"/>
      <c r="L171" s="133"/>
      <c r="N171" s="166"/>
      <c r="O171" s="482"/>
      <c r="P171" s="528"/>
      <c r="Q171" s="528"/>
      <c r="R171" s="528"/>
      <c r="S171" s="528"/>
      <c r="T171" s="229"/>
      <c r="U171" s="229"/>
      <c r="V171" s="229"/>
      <c r="W171" s="229"/>
      <c r="X171" s="229"/>
      <c r="Y171" s="229"/>
    </row>
    <row r="172" spans="1:25">
      <c r="A172" s="126">
        <v>17</v>
      </c>
      <c r="B172" s="133" t="s">
        <v>88</v>
      </c>
      <c r="C172" s="125"/>
      <c r="D172" s="163">
        <v>0</v>
      </c>
      <c r="E172" s="125"/>
      <c r="F172" s="125" t="s">
        <v>52</v>
      </c>
      <c r="G172" s="178" t="s">
        <v>177</v>
      </c>
      <c r="H172" s="125"/>
      <c r="I172" s="125">
        <v>0</v>
      </c>
      <c r="J172" s="125"/>
      <c r="K172" s="160"/>
      <c r="L172" s="133"/>
      <c r="N172" s="166"/>
      <c r="O172" s="482"/>
      <c r="P172" s="528"/>
      <c r="Q172" s="528"/>
      <c r="R172" s="528"/>
      <c r="S172" s="528"/>
      <c r="T172" s="229"/>
      <c r="U172" s="229"/>
      <c r="V172" s="229"/>
      <c r="W172" s="229"/>
      <c r="X172" s="229"/>
      <c r="Y172" s="229"/>
    </row>
    <row r="173" spans="1:25">
      <c r="A173" s="126">
        <v>18</v>
      </c>
      <c r="B173" s="133" t="s">
        <v>89</v>
      </c>
      <c r="C173" s="125"/>
      <c r="D173" s="163">
        <v>0</v>
      </c>
      <c r="E173" s="125"/>
      <c r="F173" s="125" t="str">
        <f>+F171</f>
        <v>GP</v>
      </c>
      <c r="G173" s="135">
        <f>+G171</f>
        <v>7.0983926840807468E-2</v>
      </c>
      <c r="H173" s="125"/>
      <c r="I173" s="125">
        <f>+G173*D173</f>
        <v>0</v>
      </c>
      <c r="J173" s="125"/>
      <c r="K173" s="160"/>
      <c r="L173" s="133"/>
      <c r="N173" s="166"/>
      <c r="O173" s="482"/>
      <c r="P173" s="528"/>
      <c r="Q173" s="528"/>
      <c r="R173" s="528"/>
      <c r="S173" s="528"/>
      <c r="T173" s="229"/>
      <c r="U173" s="229"/>
      <c r="V173" s="229"/>
      <c r="W173" s="229"/>
      <c r="X173" s="229"/>
      <c r="Y173" s="229"/>
    </row>
    <row r="174" spans="1:25" ht="16.2" thickBot="1">
      <c r="A174" s="126">
        <v>19</v>
      </c>
      <c r="B174" s="133" t="s">
        <v>90</v>
      </c>
      <c r="C174" s="125"/>
      <c r="D174" s="159">
        <f>+'Schedule 5'!C12</f>
        <v>559948</v>
      </c>
      <c r="E174" s="125"/>
      <c r="F174" s="125" t="s">
        <v>76</v>
      </c>
      <c r="G174" s="135">
        <f>+G173</f>
        <v>7.0983926840807468E-2</v>
      </c>
      <c r="H174" s="125"/>
      <c r="I174" s="138">
        <f>+G174*D174</f>
        <v>39747.307866656462</v>
      </c>
      <c r="J174" s="125"/>
      <c r="K174" s="160"/>
      <c r="L174" s="133" t="s">
        <v>949</v>
      </c>
      <c r="N174" s="166"/>
      <c r="O174" s="482"/>
      <c r="P174" s="534"/>
      <c r="Q174" s="532"/>
      <c r="R174" s="528"/>
      <c r="S174" s="528"/>
      <c r="T174" s="229"/>
      <c r="U174" s="229"/>
      <c r="V174" s="229"/>
      <c r="W174" s="229"/>
      <c r="X174" s="229"/>
      <c r="Y174" s="229"/>
    </row>
    <row r="175" spans="1:25">
      <c r="A175" s="126">
        <v>20</v>
      </c>
      <c r="B175" s="133" t="s">
        <v>91</v>
      </c>
      <c r="C175" s="125"/>
      <c r="D175" s="125">
        <f>SUM(D168:D174)</f>
        <v>559948</v>
      </c>
      <c r="E175" s="125"/>
      <c r="F175" s="125"/>
      <c r="G175" s="135"/>
      <c r="H175" s="125"/>
      <c r="I175" s="125">
        <f>SUM(I168:I174)</f>
        <v>39747.307866656462</v>
      </c>
      <c r="J175" s="125"/>
      <c r="K175" s="125"/>
      <c r="L175" s="125" t="s">
        <v>2</v>
      </c>
      <c r="N175" s="162"/>
      <c r="O175" s="482"/>
      <c r="P175" s="528"/>
      <c r="Q175" s="528"/>
      <c r="R175" s="528"/>
      <c r="S175" s="528"/>
      <c r="T175" s="229"/>
      <c r="U175" s="229"/>
      <c r="V175" s="229"/>
      <c r="W175" s="229"/>
      <c r="X175" s="229"/>
      <c r="Y175" s="229"/>
    </row>
    <row r="176" spans="1:25">
      <c r="A176" s="126" t="s">
        <v>92</v>
      </c>
      <c r="B176" s="133"/>
      <c r="C176" s="125"/>
      <c r="D176" s="125"/>
      <c r="E176" s="125"/>
      <c r="F176" s="125"/>
      <c r="G176" s="135"/>
      <c r="H176" s="125"/>
      <c r="I176" s="125"/>
      <c r="J176" s="125"/>
      <c r="K176" s="125"/>
      <c r="L176" s="125"/>
      <c r="N176" s="125"/>
      <c r="O176" s="482"/>
      <c r="P176" s="528"/>
      <c r="Q176" s="528"/>
      <c r="R176" s="528"/>
      <c r="S176" s="528"/>
      <c r="T176" s="229"/>
      <c r="U176" s="229"/>
      <c r="V176" s="229"/>
      <c r="W176" s="229"/>
      <c r="X176" s="229"/>
      <c r="Y176" s="229"/>
    </row>
    <row r="177" spans="1:25">
      <c r="A177" s="126" t="s">
        <v>2</v>
      </c>
      <c r="B177" s="133" t="s">
        <v>93</v>
      </c>
      <c r="C177" s="179" t="s">
        <v>204</v>
      </c>
      <c r="D177" s="125"/>
      <c r="E177" s="125"/>
      <c r="F177" s="125" t="s">
        <v>52</v>
      </c>
      <c r="G177" s="180"/>
      <c r="H177" s="125"/>
      <c r="I177" s="125"/>
      <c r="J177" s="125"/>
      <c r="L177" s="125"/>
      <c r="N177" s="125"/>
      <c r="O177" s="482"/>
      <c r="P177" s="528"/>
      <c r="Q177" s="528"/>
      <c r="R177" s="528"/>
      <c r="S177" s="528"/>
      <c r="T177" s="229"/>
      <c r="U177" s="229"/>
      <c r="V177" s="229"/>
      <c r="W177" s="229"/>
      <c r="X177" s="229"/>
      <c r="Y177" s="229"/>
    </row>
    <row r="178" spans="1:25">
      <c r="A178" s="126">
        <v>21</v>
      </c>
      <c r="B178" s="181" t="s">
        <v>94</v>
      </c>
      <c r="C178" s="125"/>
      <c r="D178" s="182">
        <f>IF(D293&gt;0,1-(((1-D294)*(1-D293))/(1-D294*D293*D295)),0)</f>
        <v>0</v>
      </c>
      <c r="E178" s="125"/>
      <c r="G178" s="180"/>
      <c r="H178" s="125"/>
      <c r="J178" s="125"/>
      <c r="L178" s="125"/>
      <c r="N178" s="125"/>
      <c r="O178" s="482"/>
      <c r="P178" s="528"/>
      <c r="Q178" s="528"/>
      <c r="R178" s="528"/>
      <c r="S178" s="528"/>
      <c r="T178" s="229"/>
      <c r="U178" s="229"/>
      <c r="V178" s="229"/>
      <c r="W178" s="229"/>
      <c r="X178" s="229"/>
      <c r="Y178" s="229"/>
    </row>
    <row r="179" spans="1:25">
      <c r="A179" s="126">
        <v>22</v>
      </c>
      <c r="B179" s="112" t="s">
        <v>95</v>
      </c>
      <c r="C179" s="125"/>
      <c r="D179" s="182">
        <f>IF(I250&gt;0,(D178/(1-D178))*(1-I248/I250),0)</f>
        <v>0</v>
      </c>
      <c r="E179" s="125"/>
      <c r="G179" s="180"/>
      <c r="H179" s="125"/>
      <c r="J179" s="125"/>
      <c r="L179" s="125"/>
      <c r="N179" s="125"/>
      <c r="O179" s="482"/>
      <c r="P179" s="528"/>
      <c r="Q179" s="528"/>
      <c r="R179" s="528"/>
      <c r="S179" s="528"/>
      <c r="T179" s="229"/>
      <c r="U179" s="229"/>
      <c r="V179" s="229"/>
      <c r="W179" s="229"/>
      <c r="X179" s="229"/>
      <c r="Y179" s="229"/>
    </row>
    <row r="180" spans="1:25">
      <c r="A180" s="126"/>
      <c r="B180" s="133" t="s">
        <v>750</v>
      </c>
      <c r="C180" s="125"/>
      <c r="D180" s="125"/>
      <c r="E180" s="125"/>
      <c r="G180" s="180"/>
      <c r="H180" s="125"/>
      <c r="J180" s="125"/>
      <c r="L180" s="125"/>
      <c r="N180" s="125"/>
      <c r="O180" s="482"/>
      <c r="P180" s="528"/>
      <c r="Q180" s="528"/>
      <c r="R180" s="528"/>
      <c r="S180" s="528"/>
      <c r="T180" s="229"/>
      <c r="U180" s="229"/>
      <c r="V180" s="229"/>
      <c r="W180" s="229"/>
      <c r="X180" s="229"/>
      <c r="Y180" s="229"/>
    </row>
    <row r="181" spans="1:25">
      <c r="A181" s="126"/>
      <c r="B181" s="133" t="s">
        <v>96</v>
      </c>
      <c r="C181" s="125"/>
      <c r="D181" s="125"/>
      <c r="E181" s="125"/>
      <c r="G181" s="180"/>
      <c r="H181" s="125"/>
      <c r="J181" s="125"/>
      <c r="L181" s="125"/>
      <c r="N181" s="125"/>
      <c r="O181" s="482"/>
      <c r="P181" s="528"/>
      <c r="Q181" s="528"/>
      <c r="R181" s="528"/>
      <c r="S181" s="528"/>
      <c r="T181" s="229"/>
      <c r="U181" s="229"/>
      <c r="V181" s="229"/>
      <c r="W181" s="229"/>
      <c r="X181" s="229"/>
      <c r="Y181" s="229"/>
    </row>
    <row r="182" spans="1:25">
      <c r="A182" s="126">
        <v>23</v>
      </c>
      <c r="B182" s="181" t="s">
        <v>97</v>
      </c>
      <c r="C182" s="125"/>
      <c r="D182" s="183">
        <f>IF(D178&gt;0,1/(1-D178),0)</f>
        <v>0</v>
      </c>
      <c r="E182" s="125"/>
      <c r="G182" s="180"/>
      <c r="H182" s="125"/>
      <c r="J182" s="125"/>
      <c r="L182" s="133"/>
      <c r="N182" s="125"/>
      <c r="O182" s="482"/>
      <c r="P182" s="528"/>
      <c r="Q182" s="528"/>
      <c r="R182" s="528"/>
      <c r="S182" s="528"/>
      <c r="T182" s="229"/>
      <c r="U182" s="229"/>
      <c r="V182" s="229"/>
      <c r="W182" s="229"/>
      <c r="X182" s="229"/>
      <c r="Y182" s="229"/>
    </row>
    <row r="183" spans="1:25">
      <c r="A183" s="126">
        <v>24</v>
      </c>
      <c r="B183" s="173" t="s">
        <v>796</v>
      </c>
      <c r="C183" s="125"/>
      <c r="D183" s="163">
        <v>0</v>
      </c>
      <c r="E183" s="125"/>
      <c r="G183" s="180"/>
      <c r="H183" s="125"/>
      <c r="J183" s="125"/>
      <c r="L183" s="133"/>
      <c r="N183" s="125"/>
      <c r="O183" s="482"/>
      <c r="P183" s="528"/>
      <c r="Q183" s="528"/>
      <c r="R183" s="528"/>
      <c r="S183" s="528"/>
      <c r="T183" s="229"/>
      <c r="U183" s="229"/>
      <c r="V183" s="229"/>
      <c r="W183" s="229"/>
      <c r="X183" s="229"/>
      <c r="Y183" s="229"/>
    </row>
    <row r="184" spans="1:25">
      <c r="A184" s="126"/>
      <c r="B184" s="133"/>
      <c r="C184" s="125"/>
      <c r="D184" s="125"/>
      <c r="E184" s="125"/>
      <c r="G184" s="180"/>
      <c r="H184" s="125"/>
      <c r="J184" s="125"/>
      <c r="L184" s="133"/>
      <c r="N184" s="125"/>
      <c r="O184" s="482"/>
      <c r="P184" s="528"/>
      <c r="Q184" s="528"/>
      <c r="R184" s="528"/>
      <c r="S184" s="528"/>
      <c r="T184" s="229"/>
      <c r="U184" s="229"/>
      <c r="V184" s="229"/>
      <c r="W184" s="229"/>
      <c r="X184" s="229"/>
      <c r="Y184" s="229"/>
    </row>
    <row r="185" spans="1:25">
      <c r="A185" s="126">
        <v>25</v>
      </c>
      <c r="B185" s="181" t="s">
        <v>98</v>
      </c>
      <c r="C185" s="179"/>
      <c r="D185" s="125">
        <f>D179*D189</f>
        <v>0</v>
      </c>
      <c r="E185" s="125"/>
      <c r="F185" s="125" t="s">
        <v>52</v>
      </c>
      <c r="G185" s="135"/>
      <c r="H185" s="125"/>
      <c r="I185" s="125">
        <f>D179*I189</f>
        <v>0</v>
      </c>
      <c r="J185" s="125"/>
      <c r="L185" s="133"/>
      <c r="N185" s="125"/>
      <c r="O185" s="482"/>
      <c r="P185" s="528"/>
      <c r="Q185" s="528"/>
      <c r="R185" s="528"/>
      <c r="S185" s="528"/>
      <c r="T185" s="229"/>
      <c r="U185" s="229"/>
      <c r="V185" s="229"/>
      <c r="W185" s="229"/>
      <c r="X185" s="229"/>
      <c r="Y185" s="229"/>
    </row>
    <row r="186" spans="1:25" ht="16.2" thickBot="1">
      <c r="A186" s="126">
        <v>26</v>
      </c>
      <c r="B186" s="112" t="s">
        <v>99</v>
      </c>
      <c r="C186" s="179"/>
      <c r="D186" s="138">
        <f>D182*D183</f>
        <v>0</v>
      </c>
      <c r="E186" s="125"/>
      <c r="F186" s="112" t="s">
        <v>63</v>
      </c>
      <c r="G186" s="135">
        <f>G104</f>
        <v>0.10242938262690815</v>
      </c>
      <c r="H186" s="125"/>
      <c r="I186" s="138">
        <f>G186*D186</f>
        <v>0</v>
      </c>
      <c r="J186" s="125"/>
      <c r="L186" s="125" t="s">
        <v>2</v>
      </c>
      <c r="N186" s="125"/>
      <c r="O186" s="482"/>
      <c r="P186" s="528"/>
      <c r="Q186" s="528"/>
      <c r="R186" s="528"/>
      <c r="S186" s="528"/>
      <c r="T186" s="229"/>
      <c r="U186" s="229"/>
      <c r="V186" s="229"/>
      <c r="W186" s="229"/>
      <c r="X186" s="229"/>
      <c r="Y186" s="229"/>
    </row>
    <row r="187" spans="1:25">
      <c r="A187" s="126">
        <v>27</v>
      </c>
      <c r="B187" s="184" t="s">
        <v>100</v>
      </c>
      <c r="C187" s="112" t="s">
        <v>101</v>
      </c>
      <c r="D187" s="185">
        <f>+D185+D186</f>
        <v>0</v>
      </c>
      <c r="E187" s="125"/>
      <c r="F187" s="125" t="s">
        <v>2</v>
      </c>
      <c r="G187" s="135" t="s">
        <v>2</v>
      </c>
      <c r="H187" s="125"/>
      <c r="I187" s="185">
        <f>+I185+I186</f>
        <v>0</v>
      </c>
      <c r="J187" s="125"/>
      <c r="L187" s="125"/>
      <c r="N187" s="125"/>
      <c r="O187" s="482"/>
      <c r="P187" s="528"/>
      <c r="Q187" s="528"/>
      <c r="R187" s="528"/>
      <c r="S187" s="528"/>
      <c r="T187" s="229"/>
      <c r="U187" s="229"/>
      <c r="V187" s="229"/>
      <c r="W187" s="229"/>
      <c r="X187" s="229"/>
      <c r="Y187" s="229"/>
    </row>
    <row r="188" spans="1:25">
      <c r="A188" s="126" t="s">
        <v>2</v>
      </c>
      <c r="C188" s="186"/>
      <c r="D188" s="125"/>
      <c r="E188" s="125"/>
      <c r="F188" s="125"/>
      <c r="G188" s="135"/>
      <c r="H188" s="125"/>
      <c r="I188" s="125"/>
      <c r="J188" s="125"/>
      <c r="K188" s="125"/>
      <c r="L188" s="125"/>
      <c r="N188" s="125"/>
      <c r="O188" s="482"/>
      <c r="P188" s="528"/>
      <c r="Q188" s="528"/>
      <c r="R188" s="528"/>
      <c r="S188" s="528"/>
      <c r="T188" s="229"/>
      <c r="U188" s="229"/>
      <c r="V188" s="229"/>
      <c r="W188" s="229"/>
      <c r="X188" s="229"/>
      <c r="Y188" s="229"/>
    </row>
    <row r="189" spans="1:25">
      <c r="A189" s="126">
        <v>28</v>
      </c>
      <c r="B189" s="133" t="s">
        <v>102</v>
      </c>
      <c r="C189" s="160"/>
      <c r="D189" s="125">
        <f>+$I250*D122</f>
        <v>1683146.8821783136</v>
      </c>
      <c r="E189" s="125"/>
      <c r="F189" s="125" t="s">
        <v>52</v>
      </c>
      <c r="G189" s="180"/>
      <c r="H189" s="125"/>
      <c r="I189" s="125">
        <f>+$I250*I122</f>
        <v>171520.1320771302</v>
      </c>
      <c r="J189" s="125"/>
      <c r="L189" s="133"/>
      <c r="N189" s="125"/>
      <c r="O189" s="482"/>
      <c r="P189" s="528"/>
      <c r="Q189" s="528"/>
      <c r="R189" s="528"/>
      <c r="S189" s="528"/>
      <c r="T189" s="229"/>
      <c r="U189" s="229"/>
      <c r="V189" s="229"/>
      <c r="W189" s="229"/>
      <c r="X189" s="229"/>
      <c r="Y189" s="229"/>
    </row>
    <row r="190" spans="1:25">
      <c r="A190" s="126"/>
      <c r="B190" s="184" t="s">
        <v>103</v>
      </c>
      <c r="D190" s="125"/>
      <c r="E190" s="125"/>
      <c r="F190" s="125"/>
      <c r="G190" s="180"/>
      <c r="H190" s="125"/>
      <c r="I190" s="125"/>
      <c r="J190" s="125"/>
      <c r="K190" s="160"/>
      <c r="L190" s="118"/>
      <c r="N190" s="125"/>
      <c r="O190" s="482"/>
      <c r="P190" s="528"/>
      <c r="Q190" s="528"/>
      <c r="R190" s="528"/>
      <c r="S190" s="528"/>
      <c r="T190" s="229"/>
      <c r="U190" s="229"/>
      <c r="V190" s="229"/>
      <c r="W190" s="229"/>
      <c r="X190" s="229"/>
      <c r="Y190" s="229"/>
    </row>
    <row r="191" spans="1:25">
      <c r="A191" s="126"/>
      <c r="B191" s="133"/>
      <c r="D191" s="187"/>
      <c r="E191" s="125"/>
      <c r="F191" s="125"/>
      <c r="G191" s="180"/>
      <c r="H191" s="125"/>
      <c r="I191" s="187"/>
      <c r="J191" s="125"/>
      <c r="K191" s="160"/>
      <c r="L191" s="118"/>
      <c r="N191" s="125"/>
      <c r="O191" s="482"/>
      <c r="P191" s="528"/>
      <c r="Q191" s="528"/>
      <c r="R191" s="528"/>
      <c r="S191" s="528"/>
      <c r="T191" s="229"/>
      <c r="U191" s="229"/>
      <c r="V191" s="229"/>
      <c r="W191" s="229"/>
      <c r="X191" s="229"/>
      <c r="Y191" s="229"/>
    </row>
    <row r="192" spans="1:25">
      <c r="A192" s="126">
        <v>29</v>
      </c>
      <c r="B192" s="133" t="s">
        <v>229</v>
      </c>
      <c r="C192" s="125"/>
      <c r="D192" s="187">
        <f>+D189+D187+D175+D164+D158</f>
        <v>3571643.2908123136</v>
      </c>
      <c r="E192" s="125"/>
      <c r="F192" s="125"/>
      <c r="G192" s="125"/>
      <c r="H192" s="125"/>
      <c r="I192" s="187">
        <f>+I189+I187+I175+I164+I158</f>
        <v>325037.06489636336</v>
      </c>
      <c r="J192" s="118"/>
      <c r="K192" s="118"/>
      <c r="L192" s="118"/>
      <c r="N192" s="118"/>
      <c r="O192" s="482"/>
      <c r="P192" s="528"/>
      <c r="Q192" s="528"/>
      <c r="R192" s="528"/>
      <c r="S192" s="528"/>
      <c r="T192" s="229"/>
      <c r="U192" s="229"/>
      <c r="V192" s="229"/>
      <c r="W192" s="229"/>
      <c r="X192" s="229"/>
      <c r="Y192" s="229"/>
    </row>
    <row r="193" spans="1:25">
      <c r="A193" s="126"/>
      <c r="B193" s="133"/>
      <c r="C193" s="125"/>
      <c r="D193" s="187"/>
      <c r="E193" s="125"/>
      <c r="F193" s="125"/>
      <c r="G193" s="125"/>
      <c r="H193" s="125"/>
      <c r="I193" s="187"/>
      <c r="J193" s="118"/>
      <c r="K193" s="118"/>
      <c r="L193" s="118"/>
      <c r="N193" s="118"/>
      <c r="O193" s="482"/>
      <c r="P193" s="528"/>
      <c r="Q193" s="528"/>
      <c r="R193" s="528"/>
      <c r="S193" s="528"/>
      <c r="T193" s="229"/>
      <c r="U193" s="229"/>
      <c r="V193" s="229"/>
      <c r="W193" s="229"/>
      <c r="X193" s="229"/>
      <c r="Y193" s="229"/>
    </row>
    <row r="194" spans="1:25">
      <c r="A194" s="126">
        <v>30</v>
      </c>
      <c r="B194" s="112" t="s">
        <v>265</v>
      </c>
      <c r="J194" s="118"/>
      <c r="K194" s="118"/>
      <c r="L194" s="118"/>
      <c r="N194" s="118"/>
      <c r="O194" s="482"/>
      <c r="P194" s="528"/>
      <c r="Q194" s="528"/>
      <c r="R194" s="528"/>
      <c r="S194" s="528"/>
      <c r="T194" s="229"/>
      <c r="U194" s="229"/>
      <c r="V194" s="229"/>
      <c r="W194" s="229"/>
      <c r="X194" s="229"/>
      <c r="Y194" s="229"/>
    </row>
    <row r="195" spans="1:25">
      <c r="A195" s="126"/>
      <c r="B195" s="112" t="s">
        <v>199</v>
      </c>
      <c r="J195" s="118"/>
      <c r="K195" s="118"/>
      <c r="L195" s="118"/>
      <c r="N195" s="118"/>
      <c r="O195" s="482"/>
      <c r="P195" s="528"/>
      <c r="Q195" s="528"/>
      <c r="R195" s="528"/>
      <c r="S195" s="528"/>
      <c r="T195" s="229"/>
      <c r="U195" s="229"/>
      <c r="V195" s="229"/>
      <c r="W195" s="229"/>
      <c r="X195" s="229"/>
      <c r="Y195" s="229"/>
    </row>
    <row r="196" spans="1:25">
      <c r="A196" s="126"/>
      <c r="B196" s="112" t="s">
        <v>200</v>
      </c>
      <c r="D196" s="188">
        <v>0</v>
      </c>
      <c r="E196" s="133"/>
      <c r="F196" s="133"/>
      <c r="G196" s="133"/>
      <c r="H196" s="133"/>
      <c r="I196" s="188">
        <v>0</v>
      </c>
      <c r="J196" s="118"/>
      <c r="K196" s="118"/>
      <c r="L196" s="118"/>
      <c r="N196" s="118"/>
      <c r="O196" s="482"/>
      <c r="P196" s="528"/>
      <c r="Q196" s="528"/>
      <c r="R196" s="528"/>
      <c r="S196" s="528"/>
      <c r="T196" s="229"/>
      <c r="U196" s="229"/>
      <c r="V196" s="229"/>
      <c r="W196" s="229"/>
      <c r="X196" s="229"/>
      <c r="Y196" s="229"/>
    </row>
    <row r="197" spans="1:25">
      <c r="A197" s="126"/>
      <c r="B197" s="133"/>
      <c r="C197" s="125"/>
      <c r="D197" s="187"/>
      <c r="E197" s="125"/>
      <c r="F197" s="125"/>
      <c r="G197" s="125"/>
      <c r="H197" s="125"/>
      <c r="I197" s="187"/>
      <c r="J197" s="118"/>
      <c r="K197" s="118"/>
      <c r="L197" s="118"/>
      <c r="N197" s="118"/>
      <c r="O197" s="482"/>
      <c r="P197" s="528"/>
      <c r="Q197" s="528"/>
      <c r="R197" s="528"/>
      <c r="S197" s="528"/>
      <c r="T197" s="229"/>
      <c r="U197" s="229"/>
      <c r="V197" s="229"/>
      <c r="W197" s="229"/>
      <c r="X197" s="229"/>
      <c r="Y197" s="229"/>
    </row>
    <row r="198" spans="1:25">
      <c r="A198" s="126" t="s">
        <v>269</v>
      </c>
      <c r="B198" s="174" t="s">
        <v>797</v>
      </c>
      <c r="C198" s="174"/>
      <c r="D198" s="174"/>
      <c r="J198" s="125"/>
      <c r="K198" s="125"/>
      <c r="L198" s="118"/>
      <c r="N198" s="125"/>
      <c r="O198" s="482"/>
      <c r="P198" s="528"/>
      <c r="Q198" s="528"/>
      <c r="R198" s="528"/>
      <c r="S198" s="528"/>
      <c r="T198" s="229"/>
      <c r="U198" s="229"/>
      <c r="V198" s="229"/>
      <c r="W198" s="229"/>
      <c r="X198" s="229"/>
      <c r="Y198" s="229"/>
    </row>
    <row r="199" spans="1:25">
      <c r="A199" s="126"/>
      <c r="B199" s="112" t="s">
        <v>199</v>
      </c>
      <c r="J199" s="125"/>
      <c r="K199" s="125"/>
      <c r="L199" s="118"/>
      <c r="N199" s="125"/>
      <c r="O199" s="482"/>
      <c r="P199" s="528"/>
      <c r="Q199" s="528"/>
      <c r="R199" s="528"/>
      <c r="S199" s="528"/>
      <c r="T199" s="229"/>
      <c r="U199" s="229"/>
      <c r="V199" s="229"/>
      <c r="W199" s="229"/>
      <c r="X199" s="229"/>
      <c r="Y199" s="229"/>
    </row>
    <row r="200" spans="1:25" ht="16.2" thickBot="1">
      <c r="A200" s="126"/>
      <c r="B200" s="112" t="s">
        <v>270</v>
      </c>
      <c r="D200" s="189">
        <v>0</v>
      </c>
      <c r="E200" s="133"/>
      <c r="F200" s="133"/>
      <c r="G200" s="133"/>
      <c r="H200" s="133"/>
      <c r="I200" s="189">
        <v>0</v>
      </c>
      <c r="J200" s="125"/>
      <c r="K200" s="125"/>
      <c r="L200" s="118"/>
      <c r="N200" s="125"/>
      <c r="O200" s="482"/>
      <c r="P200" s="528"/>
      <c r="Q200" s="528"/>
      <c r="R200" s="528"/>
      <c r="S200" s="528"/>
      <c r="T200" s="229"/>
      <c r="U200" s="229"/>
      <c r="V200" s="229"/>
      <c r="W200" s="229"/>
      <c r="X200" s="229"/>
      <c r="Y200" s="229"/>
    </row>
    <row r="201" spans="1:25" ht="16.2" thickBot="1">
      <c r="A201" s="172">
        <v>31</v>
      </c>
      <c r="B201" s="174" t="s">
        <v>198</v>
      </c>
      <c r="C201" s="174"/>
      <c r="D201" s="190">
        <f>+D192-D196-D200</f>
        <v>3571643.2908123136</v>
      </c>
      <c r="E201" s="174"/>
      <c r="F201" s="174"/>
      <c r="G201" s="174"/>
      <c r="H201" s="174"/>
      <c r="I201" s="190">
        <f>+I192-I196-I200</f>
        <v>325037.06489636336</v>
      </c>
      <c r="J201" s="176"/>
      <c r="K201" s="176"/>
      <c r="L201" s="191"/>
      <c r="M201" s="174"/>
      <c r="N201" s="176"/>
      <c r="O201" s="482"/>
      <c r="P201" s="534"/>
      <c r="Q201" s="532"/>
      <c r="R201" s="528"/>
      <c r="S201" s="528"/>
      <c r="T201" s="229"/>
      <c r="U201" s="229"/>
      <c r="V201" s="229"/>
      <c r="W201" s="229"/>
      <c r="X201" s="229"/>
      <c r="Y201" s="229"/>
    </row>
    <row r="202" spans="1:25" ht="16.2" thickTop="1">
      <c r="A202" s="126"/>
      <c r="B202" s="112" t="s">
        <v>271</v>
      </c>
      <c r="J202" s="125"/>
      <c r="K202" s="125"/>
      <c r="L202" s="118"/>
      <c r="N202" s="125"/>
      <c r="O202" s="482"/>
      <c r="P202" s="528"/>
      <c r="Q202" s="528"/>
      <c r="R202" s="528"/>
      <c r="S202" s="528"/>
      <c r="T202" s="229"/>
      <c r="U202" s="229"/>
      <c r="V202" s="229"/>
      <c r="W202" s="229"/>
      <c r="X202" s="229"/>
      <c r="Y202" s="229"/>
    </row>
    <row r="203" spans="1:25" s="193" customFormat="1">
      <c r="A203" s="192"/>
      <c r="J203" s="194"/>
      <c r="K203" s="194"/>
      <c r="L203" s="195"/>
      <c r="N203" s="194"/>
      <c r="O203" s="536"/>
      <c r="P203" s="537"/>
      <c r="Q203" s="537"/>
      <c r="R203" s="537"/>
      <c r="S203" s="537"/>
      <c r="T203" s="538"/>
      <c r="U203" s="538"/>
      <c r="V203" s="538"/>
      <c r="W203" s="538"/>
      <c r="X203" s="538"/>
      <c r="Y203" s="538"/>
    </row>
    <row r="204" spans="1:25" s="193" customFormat="1">
      <c r="A204" s="192"/>
      <c r="J204" s="194"/>
      <c r="K204" s="194"/>
      <c r="L204" s="195"/>
      <c r="N204" s="194"/>
      <c r="O204" s="536"/>
      <c r="P204" s="537"/>
      <c r="Q204" s="537"/>
      <c r="R204" s="537"/>
      <c r="S204" s="537"/>
      <c r="T204" s="538"/>
      <c r="U204" s="538"/>
      <c r="V204" s="538"/>
      <c r="W204" s="538"/>
      <c r="X204" s="538"/>
      <c r="Y204" s="538"/>
    </row>
    <row r="205" spans="1:25" s="193" customFormat="1">
      <c r="A205" s="192"/>
      <c r="J205" s="194"/>
      <c r="K205" s="113" t="s">
        <v>770</v>
      </c>
      <c r="L205" s="195"/>
      <c r="N205" s="194"/>
      <c r="O205" s="536"/>
      <c r="P205" s="537"/>
      <c r="Q205" s="537"/>
      <c r="R205" s="537"/>
      <c r="S205" s="537"/>
      <c r="T205" s="538"/>
      <c r="U205" s="538"/>
      <c r="V205" s="538"/>
      <c r="W205" s="538"/>
      <c r="X205" s="538"/>
      <c r="Y205" s="538"/>
    </row>
    <row r="206" spans="1:25">
      <c r="B206" s="115"/>
      <c r="C206" s="115"/>
      <c r="D206" s="116"/>
      <c r="E206" s="115"/>
      <c r="F206" s="115"/>
      <c r="G206" s="115"/>
      <c r="H206" s="117"/>
      <c r="I206" s="117"/>
      <c r="J206" s="118"/>
      <c r="K206" s="119" t="s">
        <v>187</v>
      </c>
      <c r="L206" s="133"/>
      <c r="N206" s="118"/>
      <c r="O206" s="482"/>
      <c r="P206" s="528"/>
      <c r="Q206" s="528"/>
      <c r="R206" s="528"/>
      <c r="S206" s="528"/>
      <c r="T206" s="229"/>
      <c r="U206" s="229"/>
      <c r="V206" s="229"/>
      <c r="W206" s="229"/>
      <c r="X206" s="229"/>
      <c r="Y206" s="229"/>
    </row>
    <row r="207" spans="1:25">
      <c r="A207" s="126"/>
      <c r="J207" s="125"/>
      <c r="K207" s="125"/>
      <c r="L207" s="133"/>
      <c r="N207" s="125"/>
      <c r="O207" s="482"/>
      <c r="P207" s="528"/>
      <c r="Q207" s="528"/>
      <c r="R207" s="528"/>
      <c r="S207" s="528"/>
      <c r="T207" s="229"/>
      <c r="U207" s="229"/>
      <c r="V207" s="229"/>
      <c r="W207" s="229"/>
      <c r="X207" s="229"/>
      <c r="Y207" s="229"/>
    </row>
    <row r="208" spans="1:25">
      <c r="A208" s="126"/>
      <c r="B208" s="133" t="str">
        <f>B4</f>
        <v xml:space="preserve">Formula Rate - Non-Levelized </v>
      </c>
      <c r="D208" s="112" t="str">
        <f>D4</f>
        <v xml:space="preserve">   Rate Formula Template</v>
      </c>
      <c r="J208" s="125"/>
      <c r="K208" s="113" t="str">
        <f>K4</f>
        <v>For the 12 months ended 12/31/2014</v>
      </c>
      <c r="L208" s="133"/>
      <c r="N208" s="125"/>
      <c r="O208" s="482"/>
      <c r="P208" s="528"/>
      <c r="Q208" s="528"/>
      <c r="R208" s="528"/>
      <c r="S208" s="528"/>
      <c r="T208" s="229"/>
      <c r="U208" s="229"/>
      <c r="V208" s="229"/>
      <c r="W208" s="229"/>
      <c r="X208" s="229"/>
      <c r="Y208" s="229"/>
    </row>
    <row r="209" spans="1:25">
      <c r="A209" s="126"/>
      <c r="B209" s="133"/>
      <c r="D209" s="112" t="str">
        <f>D5</f>
        <v>Utilizing EIA Form 412 Data</v>
      </c>
      <c r="J209" s="125"/>
      <c r="K209" s="125"/>
      <c r="L209" s="133"/>
      <c r="N209" s="125"/>
      <c r="O209" s="482"/>
      <c r="P209" s="528"/>
      <c r="Q209" s="528"/>
      <c r="R209" s="528"/>
      <c r="S209" s="528"/>
      <c r="T209" s="229"/>
      <c r="U209" s="229"/>
      <c r="V209" s="229"/>
      <c r="W209" s="229"/>
      <c r="X209" s="229"/>
      <c r="Y209" s="229"/>
    </row>
    <row r="210" spans="1:25" ht="9" customHeight="1">
      <c r="A210" s="126"/>
      <c r="J210" s="125"/>
      <c r="K210" s="125"/>
      <c r="L210" s="133"/>
      <c r="N210" s="125"/>
      <c r="O210" s="482"/>
      <c r="P210" s="528"/>
      <c r="Q210" s="528"/>
      <c r="R210" s="528"/>
      <c r="S210" s="528"/>
      <c r="T210" s="229"/>
      <c r="U210" s="229"/>
      <c r="V210" s="229"/>
      <c r="W210" s="229"/>
      <c r="X210" s="229"/>
      <c r="Y210" s="229"/>
    </row>
    <row r="211" spans="1:25">
      <c r="A211" s="126"/>
      <c r="D211" s="112" t="str">
        <f>D7</f>
        <v>Detroit Lakes (Minnesota) Public Utilities</v>
      </c>
      <c r="J211" s="125"/>
      <c r="K211" s="125"/>
      <c r="L211" s="133"/>
      <c r="N211" s="125"/>
      <c r="O211" s="482"/>
      <c r="P211" s="528"/>
      <c r="Q211" s="528"/>
      <c r="R211" s="528"/>
      <c r="S211" s="528"/>
      <c r="T211" s="229"/>
      <c r="U211" s="229"/>
      <c r="V211" s="229"/>
      <c r="W211" s="229"/>
      <c r="X211" s="229"/>
      <c r="Y211" s="229"/>
    </row>
    <row r="212" spans="1:25">
      <c r="A212" s="126" t="s">
        <v>4</v>
      </c>
      <c r="C212" s="133"/>
      <c r="D212" s="133"/>
      <c r="E212" s="133"/>
      <c r="F212" s="133"/>
      <c r="G212" s="133"/>
      <c r="H212" s="133"/>
      <c r="I212" s="133"/>
      <c r="J212" s="133"/>
      <c r="K212" s="133"/>
      <c r="L212" s="196"/>
      <c r="N212" s="133"/>
      <c r="O212" s="482"/>
      <c r="P212" s="528"/>
      <c r="Q212" s="528"/>
      <c r="R212" s="528"/>
      <c r="S212" s="528"/>
      <c r="T212" s="229"/>
      <c r="U212" s="229"/>
      <c r="V212" s="229"/>
      <c r="W212" s="229"/>
      <c r="X212" s="229"/>
      <c r="Y212" s="229"/>
    </row>
    <row r="213" spans="1:25" ht="16.2" thickBot="1">
      <c r="A213" s="130" t="s">
        <v>6</v>
      </c>
      <c r="C213" s="155" t="s">
        <v>104</v>
      </c>
      <c r="E213" s="118"/>
      <c r="F213" s="118"/>
      <c r="G213" s="118"/>
      <c r="H213" s="118"/>
      <c r="I213" s="118"/>
      <c r="J213" s="125"/>
      <c r="K213" s="125"/>
      <c r="L213" s="196"/>
      <c r="N213" s="118"/>
      <c r="O213" s="482"/>
      <c r="P213" s="528"/>
      <c r="Q213" s="528"/>
      <c r="R213" s="528"/>
      <c r="S213" s="528"/>
      <c r="T213" s="229"/>
      <c r="U213" s="229"/>
      <c r="V213" s="229"/>
      <c r="W213" s="229"/>
      <c r="X213" s="229"/>
      <c r="Y213" s="229"/>
    </row>
    <row r="214" spans="1:25">
      <c r="A214" s="126"/>
      <c r="B214" s="115" t="s">
        <v>107</v>
      </c>
      <c r="C214" s="118"/>
      <c r="D214" s="118"/>
      <c r="E214" s="118"/>
      <c r="F214" s="118"/>
      <c r="G214" s="118"/>
      <c r="H214" s="118"/>
      <c r="I214" s="118"/>
      <c r="J214" s="125"/>
      <c r="K214" s="125"/>
      <c r="L214" s="133"/>
      <c r="N214" s="118"/>
      <c r="O214" s="482"/>
      <c r="P214" s="528"/>
      <c r="Q214" s="528"/>
      <c r="R214" s="528"/>
      <c r="S214" s="528"/>
      <c r="T214" s="229"/>
      <c r="U214" s="229"/>
      <c r="V214" s="229"/>
      <c r="W214" s="229"/>
      <c r="X214" s="229"/>
      <c r="Y214" s="229"/>
    </row>
    <row r="215" spans="1:25">
      <c r="A215" s="126">
        <v>1</v>
      </c>
      <c r="B215" s="117" t="s">
        <v>230</v>
      </c>
      <c r="C215" s="118"/>
      <c r="D215" s="125"/>
      <c r="E215" s="125"/>
      <c r="F215" s="125"/>
      <c r="G215" s="125"/>
      <c r="H215" s="125"/>
      <c r="I215" s="125">
        <f>D84</f>
        <v>2058527</v>
      </c>
      <c r="J215" s="125"/>
      <c r="K215" s="125"/>
      <c r="L215" s="133"/>
      <c r="N215" s="118"/>
      <c r="O215" s="482"/>
      <c r="P215" s="528"/>
      <c r="Q215" s="528"/>
      <c r="R215" s="528"/>
      <c r="S215" s="528"/>
      <c r="T215" s="229"/>
      <c r="U215" s="229"/>
      <c r="V215" s="229"/>
      <c r="W215" s="229"/>
      <c r="X215" s="229"/>
      <c r="Y215" s="229"/>
    </row>
    <row r="216" spans="1:25">
      <c r="A216" s="126">
        <v>2</v>
      </c>
      <c r="B216" s="117" t="s">
        <v>231</v>
      </c>
      <c r="I216" s="163">
        <v>0</v>
      </c>
      <c r="J216" s="125"/>
      <c r="K216" s="125"/>
      <c r="L216" s="133"/>
      <c r="N216" s="118"/>
      <c r="O216" s="482"/>
      <c r="P216" s="528"/>
      <c r="Q216" s="528"/>
      <c r="R216" s="528"/>
      <c r="S216" s="528"/>
      <c r="T216" s="229"/>
      <c r="U216" s="229"/>
      <c r="V216" s="229"/>
      <c r="W216" s="229"/>
      <c r="X216" s="229"/>
      <c r="Y216" s="229"/>
    </row>
    <row r="217" spans="1:25" ht="16.2" thickBot="1">
      <c r="A217" s="126">
        <v>3</v>
      </c>
      <c r="B217" s="197" t="s">
        <v>232</v>
      </c>
      <c r="C217" s="198"/>
      <c r="D217" s="187"/>
      <c r="E217" s="125"/>
      <c r="F217" s="125"/>
      <c r="G217" s="166"/>
      <c r="H217" s="125"/>
      <c r="I217" s="159">
        <v>0</v>
      </c>
      <c r="J217" s="125"/>
      <c r="K217" s="125"/>
      <c r="L217" s="133"/>
      <c r="N217" s="118"/>
      <c r="O217" s="482"/>
      <c r="P217" s="528"/>
      <c r="Q217" s="528"/>
      <c r="R217" s="528"/>
      <c r="S217" s="528"/>
      <c r="T217" s="229"/>
      <c r="U217" s="229"/>
      <c r="V217" s="229"/>
      <c r="W217" s="229"/>
      <c r="X217" s="229"/>
      <c r="Y217" s="229"/>
    </row>
    <row r="218" spans="1:25">
      <c r="A218" s="126">
        <v>4</v>
      </c>
      <c r="B218" s="117" t="s">
        <v>179</v>
      </c>
      <c r="C218" s="118"/>
      <c r="D218" s="125"/>
      <c r="E218" s="125"/>
      <c r="F218" s="125"/>
      <c r="G218" s="166"/>
      <c r="H218" s="125"/>
      <c r="I218" s="125">
        <f>I215-I216-I217</f>
        <v>2058527</v>
      </c>
      <c r="J218" s="125"/>
      <c r="K218" s="125"/>
      <c r="L218" s="133"/>
      <c r="N218" s="118"/>
      <c r="O218" s="482"/>
      <c r="P218" s="528"/>
      <c r="Q218" s="528"/>
      <c r="R218" s="528"/>
      <c r="S218" s="528"/>
      <c r="T218" s="229"/>
      <c r="U218" s="229"/>
      <c r="V218" s="229"/>
      <c r="W218" s="229"/>
      <c r="X218" s="229"/>
      <c r="Y218" s="229"/>
    </row>
    <row r="219" spans="1:25">
      <c r="A219" s="126"/>
      <c r="C219" s="118"/>
      <c r="D219" s="125"/>
      <c r="E219" s="125"/>
      <c r="F219" s="125"/>
      <c r="G219" s="166"/>
      <c r="H219" s="125"/>
      <c r="J219" s="125"/>
      <c r="K219" s="125"/>
      <c r="O219" s="482"/>
      <c r="P219" s="528"/>
      <c r="Q219" s="528"/>
      <c r="R219" s="528"/>
      <c r="S219" s="528"/>
      <c r="T219" s="229"/>
      <c r="U219" s="229"/>
      <c r="V219" s="229"/>
      <c r="W219" s="229"/>
      <c r="X219" s="229"/>
      <c r="Y219" s="229"/>
    </row>
    <row r="220" spans="1:25">
      <c r="A220" s="126">
        <v>5</v>
      </c>
      <c r="B220" s="117" t="s">
        <v>233</v>
      </c>
      <c r="C220" s="129"/>
      <c r="D220" s="199"/>
      <c r="E220" s="199"/>
      <c r="F220" s="199"/>
      <c r="G220" s="152"/>
      <c r="H220" s="125" t="s">
        <v>108</v>
      </c>
      <c r="I220" s="164">
        <f>IF(I215&gt;0,I218/I215,0)</f>
        <v>1</v>
      </c>
      <c r="J220" s="125"/>
      <c r="K220" s="125"/>
      <c r="L220" s="200"/>
      <c r="M220" s="200"/>
      <c r="N220" s="200"/>
      <c r="O220" s="482"/>
      <c r="P220" s="528"/>
      <c r="Q220" s="528"/>
      <c r="R220" s="528"/>
      <c r="S220" s="528"/>
      <c r="T220" s="229"/>
      <c r="U220" s="229"/>
      <c r="V220" s="229"/>
      <c r="W220" s="229"/>
      <c r="X220" s="229"/>
      <c r="Y220" s="229"/>
    </row>
    <row r="221" spans="1:25">
      <c r="J221" s="125"/>
      <c r="K221" s="125"/>
      <c r="L221" s="200"/>
      <c r="M221" s="201"/>
      <c r="N221" s="200"/>
      <c r="O221" s="482"/>
      <c r="P221" s="528"/>
      <c r="Q221" s="528"/>
      <c r="R221" s="528"/>
      <c r="S221" s="528"/>
      <c r="T221" s="229"/>
      <c r="U221" s="229"/>
      <c r="V221" s="229"/>
      <c r="W221" s="229"/>
      <c r="X221" s="229"/>
      <c r="Y221" s="229"/>
    </row>
    <row r="222" spans="1:25">
      <c r="B222" s="133" t="s">
        <v>105</v>
      </c>
      <c r="J222" s="125"/>
      <c r="K222" s="125"/>
      <c r="L222" s="200"/>
      <c r="M222" s="200"/>
      <c r="N222" s="200"/>
      <c r="O222" s="482"/>
      <c r="P222" s="528"/>
      <c r="Q222" s="528"/>
      <c r="R222" s="528"/>
      <c r="S222" s="528"/>
      <c r="T222" s="229"/>
      <c r="U222" s="229"/>
      <c r="V222" s="229"/>
      <c r="W222" s="229"/>
      <c r="X222" s="229"/>
      <c r="Y222" s="229"/>
    </row>
    <row r="223" spans="1:25">
      <c r="A223" s="126">
        <v>6</v>
      </c>
      <c r="B223" s="112" t="s">
        <v>234</v>
      </c>
      <c r="D223" s="118"/>
      <c r="E223" s="118"/>
      <c r="F223" s="118"/>
      <c r="G223" s="120"/>
      <c r="H223" s="118"/>
      <c r="I223" s="125">
        <f>D149</f>
        <v>2068780</v>
      </c>
      <c r="J223" s="125"/>
      <c r="K223" s="125"/>
      <c r="L223" s="508"/>
      <c r="M223" s="508"/>
      <c r="N223" s="508"/>
      <c r="O223" s="482"/>
      <c r="P223" s="528"/>
      <c r="Q223" s="528"/>
      <c r="R223" s="528"/>
      <c r="S223" s="528"/>
      <c r="T223" s="229"/>
      <c r="U223" s="229"/>
      <c r="V223" s="229"/>
      <c r="W223" s="229"/>
      <c r="X223" s="229"/>
      <c r="Y223" s="229"/>
    </row>
    <row r="224" spans="1:25" ht="16.2" thickBot="1">
      <c r="A224" s="126">
        <v>7</v>
      </c>
      <c r="B224" s="197" t="s">
        <v>235</v>
      </c>
      <c r="C224" s="198"/>
      <c r="D224" s="187"/>
      <c r="E224" s="187"/>
      <c r="F224" s="125"/>
      <c r="G224" s="125"/>
      <c r="H224" s="125"/>
      <c r="I224" s="159">
        <v>0</v>
      </c>
      <c r="J224" s="125"/>
      <c r="K224" s="125"/>
      <c r="L224" s="202"/>
      <c r="M224" s="203"/>
      <c r="N224" s="204"/>
      <c r="O224" s="482"/>
      <c r="P224" s="528"/>
      <c r="Q224" s="528"/>
      <c r="R224" s="528"/>
      <c r="S224" s="528"/>
      <c r="T224" s="229"/>
      <c r="U224" s="229"/>
      <c r="V224" s="229"/>
      <c r="W224" s="229"/>
      <c r="X224" s="229"/>
      <c r="Y224" s="229"/>
    </row>
    <row r="225" spans="1:25">
      <c r="A225" s="126">
        <v>8</v>
      </c>
      <c r="B225" s="117" t="s">
        <v>260</v>
      </c>
      <c r="C225" s="129"/>
      <c r="D225" s="199"/>
      <c r="E225" s="199"/>
      <c r="F225" s="199"/>
      <c r="G225" s="152"/>
      <c r="H225" s="199"/>
      <c r="I225" s="125">
        <f>+I223-I224</f>
        <v>2068780</v>
      </c>
      <c r="J225" s="125"/>
      <c r="K225" s="125"/>
      <c r="L225" s="202"/>
      <c r="M225" s="205"/>
      <c r="N225" s="200"/>
      <c r="O225" s="482"/>
      <c r="P225" s="528"/>
      <c r="Q225" s="528"/>
      <c r="R225" s="528"/>
      <c r="S225" s="528"/>
      <c r="T225" s="229"/>
      <c r="U225" s="229"/>
      <c r="V225" s="229"/>
      <c r="W225" s="229"/>
      <c r="X225" s="229"/>
      <c r="Y225" s="229"/>
    </row>
    <row r="226" spans="1:25">
      <c r="A226" s="126"/>
      <c r="B226" s="117"/>
      <c r="C226" s="118"/>
      <c r="D226" s="125"/>
      <c r="E226" s="125"/>
      <c r="F226" s="125"/>
      <c r="G226" s="125"/>
      <c r="J226" s="125"/>
      <c r="K226" s="125"/>
      <c r="L226" s="202"/>
      <c r="M226" s="205"/>
      <c r="N226" s="200"/>
      <c r="O226" s="482"/>
      <c r="P226" s="528"/>
      <c r="Q226" s="528"/>
      <c r="R226" s="528"/>
      <c r="S226" s="528"/>
      <c r="T226" s="229"/>
      <c r="U226" s="229"/>
      <c r="V226" s="229"/>
      <c r="W226" s="229"/>
      <c r="X226" s="229"/>
      <c r="Y226" s="229"/>
    </row>
    <row r="227" spans="1:25">
      <c r="A227" s="126">
        <v>9</v>
      </c>
      <c r="B227" s="117" t="s">
        <v>236</v>
      </c>
      <c r="C227" s="118"/>
      <c r="D227" s="125"/>
      <c r="E227" s="125"/>
      <c r="F227" s="125"/>
      <c r="G227" s="125"/>
      <c r="H227" s="125"/>
      <c r="I227" s="158">
        <f>IF(I223&gt;0,I225/I223,0)</f>
        <v>1</v>
      </c>
      <c r="J227" s="125"/>
      <c r="K227" s="125"/>
      <c r="L227" s="206"/>
      <c r="M227" s="207"/>
      <c r="N227" s="206"/>
      <c r="O227" s="482"/>
      <c r="P227" s="528"/>
      <c r="Q227" s="528"/>
      <c r="R227" s="528"/>
      <c r="S227" s="528"/>
      <c r="T227" s="229"/>
      <c r="U227" s="229"/>
      <c r="V227" s="229"/>
      <c r="W227" s="229"/>
      <c r="X227" s="229"/>
      <c r="Y227" s="229"/>
    </row>
    <row r="228" spans="1:25">
      <c r="A228" s="126">
        <v>10</v>
      </c>
      <c r="B228" s="117" t="s">
        <v>237</v>
      </c>
      <c r="C228" s="118"/>
      <c r="D228" s="125"/>
      <c r="E228" s="125"/>
      <c r="F228" s="125"/>
      <c r="G228" s="125"/>
      <c r="H228" s="118" t="s">
        <v>12</v>
      </c>
      <c r="I228" s="208">
        <f>I220</f>
        <v>1</v>
      </c>
      <c r="J228" s="125"/>
      <c r="K228" s="125"/>
      <c r="L228" s="202"/>
      <c r="M228" s="209"/>
      <c r="N228" s="210"/>
      <c r="O228" s="482"/>
      <c r="P228" s="528"/>
      <c r="Q228" s="528"/>
      <c r="R228" s="528"/>
      <c r="S228" s="528"/>
      <c r="T228" s="229"/>
      <c r="U228" s="229"/>
      <c r="V228" s="229"/>
      <c r="W228" s="229"/>
      <c r="X228" s="229"/>
      <c r="Y228" s="229"/>
    </row>
    <row r="229" spans="1:25">
      <c r="A229" s="126">
        <v>11</v>
      </c>
      <c r="B229" s="117" t="s">
        <v>238</v>
      </c>
      <c r="C229" s="118"/>
      <c r="D229" s="118"/>
      <c r="E229" s="118"/>
      <c r="F229" s="118"/>
      <c r="G229" s="118"/>
      <c r="H229" s="118" t="s">
        <v>106</v>
      </c>
      <c r="I229" s="211">
        <f>+I228*I227</f>
        <v>1</v>
      </c>
      <c r="J229" s="125"/>
      <c r="K229" s="125"/>
      <c r="L229" s="202"/>
      <c r="M229" s="209"/>
      <c r="N229" s="210"/>
      <c r="O229" s="529"/>
      <c r="P229" s="530"/>
      <c r="Q229" s="528"/>
      <c r="R229" s="528"/>
      <c r="S229" s="528"/>
      <c r="T229" s="229"/>
      <c r="U229" s="229"/>
      <c r="V229" s="229"/>
      <c r="W229" s="229"/>
      <c r="X229" s="229"/>
      <c r="Y229" s="229"/>
    </row>
    <row r="230" spans="1:25">
      <c r="A230" s="126"/>
      <c r="C230" s="118"/>
      <c r="D230" s="125"/>
      <c r="E230" s="125"/>
      <c r="F230" s="125"/>
      <c r="G230" s="166"/>
      <c r="H230" s="125"/>
      <c r="L230" s="202"/>
      <c r="M230" s="209"/>
      <c r="N230" s="210"/>
      <c r="O230" s="529"/>
      <c r="P230" s="530"/>
      <c r="Q230" s="530"/>
      <c r="R230" s="528"/>
      <c r="S230" s="528"/>
      <c r="T230" s="229"/>
      <c r="U230" s="229"/>
      <c r="V230" s="229"/>
      <c r="W230" s="229"/>
      <c r="X230" s="229"/>
      <c r="Y230" s="229"/>
    </row>
    <row r="231" spans="1:25" ht="16.2" thickBot="1">
      <c r="A231" s="126" t="s">
        <v>2</v>
      </c>
      <c r="B231" s="133" t="s">
        <v>109</v>
      </c>
      <c r="C231" s="125"/>
      <c r="D231" s="212" t="s">
        <v>110</v>
      </c>
      <c r="E231" s="212" t="s">
        <v>12</v>
      </c>
      <c r="F231" s="125"/>
      <c r="G231" s="212" t="s">
        <v>111</v>
      </c>
      <c r="H231" s="125"/>
      <c r="I231" s="125"/>
      <c r="L231" s="202"/>
      <c r="M231" s="205"/>
      <c r="N231" s="200"/>
      <c r="O231" s="535"/>
      <c r="P231" s="533"/>
      <c r="Q231" s="533"/>
      <c r="R231" s="533"/>
      <c r="S231" s="528"/>
      <c r="T231" s="229"/>
      <c r="U231" s="229"/>
      <c r="V231" s="229"/>
      <c r="W231" s="229"/>
      <c r="X231" s="229"/>
      <c r="Y231" s="229"/>
    </row>
    <row r="232" spans="1:25">
      <c r="A232" s="126">
        <v>12</v>
      </c>
      <c r="B232" s="133" t="s">
        <v>51</v>
      </c>
      <c r="C232" s="125"/>
      <c r="D232" s="6">
        <f>Salaries!J10</f>
        <v>4023</v>
      </c>
      <c r="E232" s="213">
        <v>0</v>
      </c>
      <c r="F232" s="213"/>
      <c r="G232" s="125">
        <f>D232*E232</f>
        <v>0</v>
      </c>
      <c r="H232" s="125"/>
      <c r="I232" s="125"/>
      <c r="J232" s="125"/>
      <c r="K232" s="125"/>
      <c r="L232" s="202" t="s">
        <v>798</v>
      </c>
      <c r="M232" s="205"/>
      <c r="N232" s="200"/>
      <c r="O232" s="539"/>
      <c r="P232" s="531"/>
      <c r="Q232" s="540"/>
      <c r="R232" s="533"/>
      <c r="S232" s="528"/>
      <c r="T232" s="229"/>
      <c r="U232" s="229"/>
      <c r="V232" s="229"/>
      <c r="W232" s="229"/>
      <c r="X232" s="229"/>
      <c r="Y232" s="229"/>
    </row>
    <row r="233" spans="1:25">
      <c r="A233" s="126">
        <v>13</v>
      </c>
      <c r="B233" s="133" t="s">
        <v>53</v>
      </c>
      <c r="C233" s="125"/>
      <c r="D233" s="6">
        <f>+Salaries!J15</f>
        <v>3972</v>
      </c>
      <c r="E233" s="213">
        <f>+I220</f>
        <v>1</v>
      </c>
      <c r="F233" s="213"/>
      <c r="G233" s="125">
        <f>D233*E233</f>
        <v>3972</v>
      </c>
      <c r="H233" s="125"/>
      <c r="I233" s="125"/>
      <c r="J233" s="125"/>
      <c r="K233" s="125"/>
      <c r="L233" s="202" t="s">
        <v>798</v>
      </c>
      <c r="M233" s="205"/>
      <c r="N233" s="210"/>
      <c r="O233" s="539"/>
      <c r="P233" s="531"/>
      <c r="Q233" s="540"/>
      <c r="R233" s="533"/>
      <c r="S233" s="528"/>
      <c r="T233" s="229"/>
      <c r="U233" s="229"/>
      <c r="V233" s="229"/>
      <c r="W233" s="229"/>
      <c r="X233" s="229"/>
      <c r="Y233" s="229"/>
    </row>
    <row r="234" spans="1:25">
      <c r="A234" s="126">
        <v>14</v>
      </c>
      <c r="B234" s="133" t="s">
        <v>54</v>
      </c>
      <c r="C234" s="125"/>
      <c r="D234" s="6">
        <f>+Salaries!J30</f>
        <v>918238</v>
      </c>
      <c r="E234" s="213">
        <v>0</v>
      </c>
      <c r="F234" s="213"/>
      <c r="G234" s="125">
        <f>D234*E234</f>
        <v>0</v>
      </c>
      <c r="H234" s="125"/>
      <c r="I234" s="214" t="s">
        <v>112</v>
      </c>
      <c r="J234" s="125"/>
      <c r="K234" s="125"/>
      <c r="L234" s="215" t="s">
        <v>798</v>
      </c>
      <c r="M234" s="200"/>
      <c r="N234" s="210"/>
      <c r="O234" s="539"/>
      <c r="P234" s="531"/>
      <c r="Q234" s="540"/>
      <c r="R234" s="533"/>
      <c r="S234" s="528"/>
      <c r="T234" s="229"/>
      <c r="U234" s="229"/>
      <c r="V234" s="229"/>
      <c r="W234" s="229"/>
      <c r="X234" s="229"/>
      <c r="Y234" s="229"/>
    </row>
    <row r="235" spans="1:25" ht="16.2" thickBot="1">
      <c r="A235" s="126">
        <v>15</v>
      </c>
      <c r="B235" s="133" t="s">
        <v>113</v>
      </c>
      <c r="C235" s="125"/>
      <c r="D235" s="5">
        <f>+Salaries!J39</f>
        <v>384425</v>
      </c>
      <c r="E235" s="213">
        <v>0</v>
      </c>
      <c r="F235" s="213"/>
      <c r="G235" s="138">
        <f>D235*E235</f>
        <v>0</v>
      </c>
      <c r="H235" s="125"/>
      <c r="I235" s="130" t="s">
        <v>114</v>
      </c>
      <c r="J235" s="125"/>
      <c r="K235" s="125"/>
      <c r="L235" s="133" t="s">
        <v>798</v>
      </c>
      <c r="N235" s="176"/>
      <c r="O235" s="539"/>
      <c r="P235" s="531"/>
      <c r="Q235" s="540"/>
      <c r="R235" s="533"/>
      <c r="S235" s="528"/>
      <c r="T235" s="229"/>
      <c r="U235" s="229"/>
      <c r="V235" s="229"/>
      <c r="W235" s="229"/>
      <c r="X235" s="229"/>
      <c r="Y235" s="229"/>
    </row>
    <row r="236" spans="1:25">
      <c r="A236" s="126">
        <v>16</v>
      </c>
      <c r="B236" s="133" t="s">
        <v>240</v>
      </c>
      <c r="C236" s="125"/>
      <c r="D236" s="125">
        <f>SUM(D232:D235)</f>
        <v>1310658</v>
      </c>
      <c r="E236" s="125"/>
      <c r="F236" s="125"/>
      <c r="G236" s="125">
        <f>SUM(G232:G235)</f>
        <v>3972</v>
      </c>
      <c r="H236" s="120" t="s">
        <v>115</v>
      </c>
      <c r="I236" s="158">
        <f>IF(G236&gt;0,G233/D236,0)</f>
        <v>3.0305388591074104E-3</v>
      </c>
      <c r="J236" s="125" t="s">
        <v>115</v>
      </c>
      <c r="K236" s="125" t="s">
        <v>56</v>
      </c>
      <c r="L236" s="133"/>
      <c r="N236" s="176"/>
      <c r="O236" s="535"/>
      <c r="P236" s="533"/>
      <c r="Q236" s="533"/>
      <c r="R236" s="533"/>
      <c r="S236" s="528"/>
      <c r="T236" s="229"/>
      <c r="U236" s="229"/>
      <c r="V236" s="229"/>
      <c r="W236" s="229"/>
      <c r="X236" s="229"/>
      <c r="Y236" s="229"/>
    </row>
    <row r="237" spans="1:25">
      <c r="A237" s="126" t="s">
        <v>2</v>
      </c>
      <c r="B237" s="133" t="s">
        <v>2</v>
      </c>
      <c r="C237" s="125" t="s">
        <v>2</v>
      </c>
      <c r="E237" s="125"/>
      <c r="F237" s="125"/>
      <c r="L237" s="133"/>
      <c r="N237" s="125"/>
      <c r="O237" s="541"/>
      <c r="P237" s="528"/>
      <c r="Q237" s="528"/>
      <c r="R237" s="528"/>
      <c r="S237" s="528"/>
      <c r="T237" s="229"/>
      <c r="U237" s="229"/>
      <c r="V237" s="229"/>
      <c r="W237" s="229"/>
      <c r="X237" s="229"/>
      <c r="Y237" s="229"/>
    </row>
    <row r="238" spans="1:25">
      <c r="A238" s="126"/>
      <c r="B238" s="133" t="s">
        <v>239</v>
      </c>
      <c r="C238" s="125"/>
      <c r="D238" s="153" t="s">
        <v>110</v>
      </c>
      <c r="E238" s="125"/>
      <c r="F238" s="125"/>
      <c r="G238" s="166" t="s">
        <v>116</v>
      </c>
      <c r="H238" s="180" t="s">
        <v>2</v>
      </c>
      <c r="I238" s="160" t="s">
        <v>117</v>
      </c>
      <c r="J238" s="125"/>
      <c r="K238" s="125"/>
      <c r="L238" s="168"/>
      <c r="N238" s="125"/>
      <c r="O238" s="482"/>
      <c r="P238" s="528"/>
      <c r="Q238" s="528"/>
      <c r="R238" s="528"/>
      <c r="S238" s="528"/>
      <c r="T238" s="229"/>
      <c r="U238" s="229"/>
      <c r="V238" s="229"/>
      <c r="W238" s="229"/>
      <c r="X238" s="229"/>
      <c r="Y238" s="229"/>
    </row>
    <row r="239" spans="1:25">
      <c r="A239" s="126">
        <v>17</v>
      </c>
      <c r="B239" s="133" t="s">
        <v>118</v>
      </c>
      <c r="C239" s="125"/>
      <c r="D239" s="163">
        <v>0</v>
      </c>
      <c r="E239" s="125"/>
      <c r="G239" s="126" t="s">
        <v>119</v>
      </c>
      <c r="H239" s="216"/>
      <c r="I239" s="126" t="s">
        <v>120</v>
      </c>
      <c r="J239" s="125"/>
      <c r="K239" s="120" t="s">
        <v>58</v>
      </c>
      <c r="L239" s="2" t="s">
        <v>758</v>
      </c>
      <c r="N239" s="125"/>
      <c r="O239" s="482"/>
      <c r="P239" s="528"/>
      <c r="Q239" s="528"/>
      <c r="R239" s="528"/>
      <c r="S239" s="528"/>
      <c r="T239" s="229"/>
      <c r="U239" s="229"/>
      <c r="V239" s="229"/>
      <c r="W239" s="229"/>
      <c r="X239" s="229"/>
      <c r="Y239" s="229"/>
    </row>
    <row r="240" spans="1:25">
      <c r="A240" s="126">
        <v>18</v>
      </c>
      <c r="B240" s="133" t="s">
        <v>121</v>
      </c>
      <c r="C240" s="125"/>
      <c r="D240" s="163">
        <v>0</v>
      </c>
      <c r="E240" s="125"/>
      <c r="G240" s="135">
        <f>IF(D242&gt;0,D239/D242,0)</f>
        <v>0</v>
      </c>
      <c r="H240" s="166" t="s">
        <v>122</v>
      </c>
      <c r="I240" s="135">
        <f>I236</f>
        <v>3.0305388591074104E-3</v>
      </c>
      <c r="J240" s="180" t="s">
        <v>115</v>
      </c>
      <c r="K240" s="135">
        <f>I240*G240</f>
        <v>0</v>
      </c>
      <c r="L240" s="2" t="s">
        <v>758</v>
      </c>
      <c r="N240" s="125"/>
      <c r="O240" s="482"/>
      <c r="P240" s="528"/>
      <c r="Q240" s="528"/>
      <c r="R240" s="528"/>
      <c r="S240" s="528"/>
      <c r="T240" s="229"/>
      <c r="U240" s="229"/>
      <c r="V240" s="229"/>
      <c r="W240" s="229"/>
      <c r="X240" s="229"/>
      <c r="Y240" s="229"/>
    </row>
    <row r="241" spans="1:25" ht="16.2" thickBot="1">
      <c r="A241" s="126">
        <v>19</v>
      </c>
      <c r="B241" s="217" t="s">
        <v>123</v>
      </c>
      <c r="C241" s="138"/>
      <c r="D241" s="159">
        <v>0</v>
      </c>
      <c r="E241" s="125"/>
      <c r="F241" s="125"/>
      <c r="G241" s="125" t="s">
        <v>2</v>
      </c>
      <c r="H241" s="125"/>
      <c r="I241" s="125"/>
      <c r="L241" s="2" t="s">
        <v>758</v>
      </c>
      <c r="N241" s="125"/>
      <c r="O241" s="482"/>
      <c r="P241" s="528"/>
      <c r="Q241" s="528"/>
      <c r="R241" s="528"/>
      <c r="S241" s="528"/>
      <c r="T241" s="229"/>
      <c r="U241" s="229"/>
      <c r="V241" s="229"/>
      <c r="W241" s="229"/>
      <c r="X241" s="229"/>
      <c r="Y241" s="229"/>
    </row>
    <row r="242" spans="1:25">
      <c r="A242" s="126">
        <v>20</v>
      </c>
      <c r="B242" s="133" t="s">
        <v>171</v>
      </c>
      <c r="C242" s="125"/>
      <c r="D242" s="125">
        <f>D239+D240+D241</f>
        <v>0</v>
      </c>
      <c r="E242" s="125"/>
      <c r="F242" s="125"/>
      <c r="G242" s="125"/>
      <c r="H242" s="125"/>
      <c r="I242" s="125"/>
      <c r="J242" s="125"/>
      <c r="K242" s="125"/>
      <c r="L242" s="133"/>
      <c r="N242" s="125"/>
      <c r="O242" s="482"/>
      <c r="P242" s="528"/>
      <c r="Q242" s="528"/>
      <c r="R242" s="528"/>
      <c r="S242" s="528"/>
      <c r="T242" s="229"/>
      <c r="U242" s="229"/>
      <c r="V242" s="229"/>
      <c r="W242" s="229"/>
      <c r="X242" s="229"/>
      <c r="Y242" s="229"/>
    </row>
    <row r="243" spans="1:25">
      <c r="A243" s="126"/>
      <c r="B243" s="133" t="s">
        <v>2</v>
      </c>
      <c r="C243" s="125"/>
      <c r="E243" s="125"/>
      <c r="F243" s="125"/>
      <c r="G243" s="125"/>
      <c r="H243" s="125"/>
      <c r="I243" s="125" t="s">
        <v>2</v>
      </c>
      <c r="J243" s="125"/>
      <c r="K243" s="125"/>
      <c r="L243" s="133"/>
      <c r="N243" s="125"/>
      <c r="O243" s="482"/>
      <c r="P243" s="528"/>
      <c r="Q243" s="528"/>
      <c r="R243" s="528"/>
      <c r="S243" s="528"/>
      <c r="T243" s="229"/>
      <c r="U243" s="229"/>
      <c r="V243" s="229"/>
      <c r="W243" s="229"/>
      <c r="X243" s="229"/>
      <c r="Y243" s="229"/>
    </row>
    <row r="244" spans="1:25" ht="16.2" thickBot="1">
      <c r="A244" s="126"/>
      <c r="B244" s="115" t="s">
        <v>124</v>
      </c>
      <c r="C244" s="125"/>
      <c r="D244" s="212" t="s">
        <v>110</v>
      </c>
      <c r="E244" s="125"/>
      <c r="F244" s="125"/>
      <c r="G244" s="125"/>
      <c r="H244" s="125"/>
      <c r="J244" s="125" t="s">
        <v>2</v>
      </c>
      <c r="K244" s="125"/>
      <c r="L244" s="133"/>
      <c r="N244" s="125"/>
      <c r="O244" s="482"/>
      <c r="P244" s="528"/>
      <c r="Q244" s="528"/>
      <c r="R244" s="528"/>
      <c r="S244" s="528"/>
      <c r="T244" s="229"/>
      <c r="U244" s="229"/>
      <c r="V244" s="229"/>
      <c r="W244" s="229"/>
      <c r="X244" s="229"/>
      <c r="Y244" s="229"/>
    </row>
    <row r="245" spans="1:25">
      <c r="A245" s="126">
        <v>21</v>
      </c>
      <c r="B245" s="125" t="s">
        <v>125</v>
      </c>
      <c r="C245" s="117" t="s">
        <v>262</v>
      </c>
      <c r="D245" s="218">
        <f>+'Schedule 3'!C24</f>
        <v>37511</v>
      </c>
      <c r="E245" s="125"/>
      <c r="F245" s="125"/>
      <c r="G245" s="125"/>
      <c r="H245" s="125"/>
      <c r="I245" s="125"/>
      <c r="J245" s="125"/>
      <c r="K245" s="125"/>
      <c r="L245" s="133" t="s">
        <v>952</v>
      </c>
      <c r="N245" s="125"/>
      <c r="O245" s="539"/>
      <c r="P245" s="531"/>
      <c r="Q245" s="540"/>
      <c r="R245" s="528"/>
      <c r="S245" s="528"/>
      <c r="T245" s="229"/>
      <c r="U245" s="229"/>
      <c r="V245" s="229"/>
      <c r="W245" s="229"/>
      <c r="X245" s="229"/>
      <c r="Y245" s="229"/>
    </row>
    <row r="246" spans="1:25">
      <c r="A246" s="126"/>
      <c r="B246" s="133"/>
      <c r="D246" s="125"/>
      <c r="E246" s="125"/>
      <c r="F246" s="125"/>
      <c r="G246" s="166" t="s">
        <v>126</v>
      </c>
      <c r="H246" s="125"/>
      <c r="I246" s="125"/>
      <c r="J246" s="125"/>
      <c r="K246" s="125"/>
      <c r="L246" s="133"/>
      <c r="N246" s="125"/>
      <c r="O246" s="482"/>
      <c r="P246" s="528"/>
      <c r="Q246" s="528"/>
      <c r="R246" s="528"/>
      <c r="S246" s="528"/>
      <c r="T246" s="229"/>
      <c r="U246" s="229"/>
      <c r="V246" s="229"/>
      <c r="W246" s="229"/>
      <c r="X246" s="229"/>
      <c r="Y246" s="229"/>
    </row>
    <row r="247" spans="1:25" ht="16.2" thickBot="1">
      <c r="A247" s="126"/>
      <c r="B247" s="115"/>
      <c r="C247" s="117"/>
      <c r="D247" s="130" t="s">
        <v>110</v>
      </c>
      <c r="E247" s="130" t="s">
        <v>127</v>
      </c>
      <c r="F247" s="125"/>
      <c r="G247" s="130" t="s">
        <v>128</v>
      </c>
      <c r="H247" s="125"/>
      <c r="I247" s="130" t="s">
        <v>129</v>
      </c>
      <c r="J247" s="125"/>
      <c r="K247" s="125"/>
      <c r="L247" s="133"/>
      <c r="N247" s="125"/>
      <c r="O247" s="482"/>
      <c r="P247" s="528"/>
      <c r="Q247" s="528"/>
      <c r="R247" s="528"/>
      <c r="S247" s="528"/>
      <c r="T247" s="229"/>
      <c r="U247" s="229"/>
      <c r="V247" s="229"/>
      <c r="W247" s="229"/>
      <c r="X247" s="229"/>
      <c r="Y247" s="229"/>
    </row>
    <row r="248" spans="1:25">
      <c r="A248" s="126">
        <v>22</v>
      </c>
      <c r="B248" s="115" t="s">
        <v>130</v>
      </c>
      <c r="C248" s="117" t="s">
        <v>280</v>
      </c>
      <c r="D248" s="161">
        <f>+'Schedule 2'!F28</f>
        <v>2790000</v>
      </c>
      <c r="E248" s="219">
        <f>IF($D$250&gt;0,D248/$D$250,0)</f>
        <v>0.10623895295762011</v>
      </c>
      <c r="F248" s="220"/>
      <c r="G248" s="221">
        <f>IF(D248&gt;0,D245/D248,0)</f>
        <v>1.3444802867383513E-2</v>
      </c>
      <c r="I248" s="220">
        <f>G248*E248</f>
        <v>1.428361779352433E-3</v>
      </c>
      <c r="J248" s="222" t="s">
        <v>131</v>
      </c>
      <c r="K248" s="125"/>
      <c r="L248" s="133" t="s">
        <v>951</v>
      </c>
      <c r="N248" s="125"/>
      <c r="O248" s="539"/>
      <c r="P248" s="531"/>
      <c r="Q248" s="540"/>
      <c r="R248" s="528"/>
      <c r="S248" s="528"/>
      <c r="T248" s="229"/>
      <c r="U248" s="229"/>
      <c r="V248" s="229"/>
      <c r="W248" s="229"/>
      <c r="X248" s="229"/>
      <c r="Y248" s="229"/>
    </row>
    <row r="249" spans="1:25" ht="16.2" thickBot="1">
      <c r="A249" s="126">
        <v>23</v>
      </c>
      <c r="B249" s="115" t="s">
        <v>132</v>
      </c>
      <c r="C249" s="117" t="s">
        <v>261</v>
      </c>
      <c r="D249" s="167">
        <f>+'Schedule 2'!F16</f>
        <v>23471554</v>
      </c>
      <c r="E249" s="223">
        <f>IF($D$250&gt;0,D249/$D$250,0)</f>
        <v>0.89376104704237991</v>
      </c>
      <c r="F249" s="220"/>
      <c r="G249" s="220">
        <f>I252</f>
        <v>0.12379999999999999</v>
      </c>
      <c r="I249" s="224">
        <f>G249*E249</f>
        <v>0.11064761762384663</v>
      </c>
      <c r="L249" s="133" t="s">
        <v>950</v>
      </c>
      <c r="N249" s="125"/>
      <c r="O249" s="539"/>
      <c r="P249" s="531"/>
      <c r="Q249" s="540"/>
      <c r="R249" s="528"/>
      <c r="S249" s="528"/>
      <c r="T249" s="229"/>
      <c r="U249" s="229"/>
      <c r="V249" s="229"/>
      <c r="W249" s="229"/>
      <c r="X249" s="229"/>
      <c r="Y249" s="229"/>
    </row>
    <row r="250" spans="1:25">
      <c r="A250" s="126">
        <v>24</v>
      </c>
      <c r="B250" s="115" t="s">
        <v>172</v>
      </c>
      <c r="C250" s="117"/>
      <c r="D250" s="125">
        <f>SUM(D248:D249)</f>
        <v>26261554</v>
      </c>
      <c r="E250" s="225">
        <f>SUM(E248+E249)</f>
        <v>1</v>
      </c>
      <c r="F250" s="220"/>
      <c r="G250" s="220"/>
      <c r="I250" s="220">
        <f>SUM(I248:I249)</f>
        <v>0.11207597940319906</v>
      </c>
      <c r="J250" s="222" t="s">
        <v>133</v>
      </c>
      <c r="L250" s="133"/>
      <c r="N250" s="125"/>
      <c r="O250" s="539"/>
      <c r="P250" s="531"/>
      <c r="Q250" s="540"/>
      <c r="R250" s="528"/>
      <c r="S250" s="528"/>
      <c r="T250" s="229"/>
      <c r="U250" s="229"/>
      <c r="V250" s="229"/>
      <c r="W250" s="229"/>
      <c r="X250" s="229"/>
      <c r="Y250" s="229"/>
    </row>
    <row r="251" spans="1:25">
      <c r="A251" s="126" t="s">
        <v>2</v>
      </c>
      <c r="B251" s="133"/>
      <c r="D251" s="125"/>
      <c r="E251" s="125" t="s">
        <v>2</v>
      </c>
      <c r="F251" s="125"/>
      <c r="G251" s="125"/>
      <c r="H251" s="125"/>
      <c r="I251" s="220"/>
      <c r="L251" s="133"/>
      <c r="N251" s="125"/>
      <c r="O251" s="482"/>
      <c r="P251" s="528"/>
      <c r="Q251" s="528"/>
      <c r="R251" s="528"/>
      <c r="S251" s="528"/>
      <c r="T251" s="229"/>
      <c r="U251" s="229"/>
      <c r="V251" s="229"/>
      <c r="W251" s="229"/>
      <c r="X251" s="229"/>
      <c r="Y251" s="229"/>
    </row>
    <row r="252" spans="1:25">
      <c r="A252" s="126">
        <v>25</v>
      </c>
      <c r="E252" s="125"/>
      <c r="F252" s="125"/>
      <c r="G252" s="125"/>
      <c r="H252" s="171" t="s">
        <v>201</v>
      </c>
      <c r="I252" s="226">
        <v>0.12379999999999999</v>
      </c>
      <c r="L252" s="133"/>
      <c r="N252" s="125"/>
      <c r="O252" s="482"/>
      <c r="P252" s="528"/>
      <c r="Q252" s="528"/>
      <c r="R252" s="528"/>
      <c r="S252" s="528"/>
      <c r="T252" s="229"/>
      <c r="U252" s="229"/>
      <c r="V252" s="229"/>
      <c r="W252" s="229"/>
      <c r="X252" s="229"/>
      <c r="Y252" s="229"/>
    </row>
    <row r="253" spans="1:25">
      <c r="A253" s="126">
        <v>26</v>
      </c>
      <c r="H253" s="113" t="s">
        <v>202</v>
      </c>
      <c r="I253" s="213">
        <f>IF(G248&gt;0,I250/G248,0)</f>
        <v>8.3360076386906616</v>
      </c>
      <c r="L253" s="133"/>
      <c r="N253" s="125"/>
      <c r="O253" s="482"/>
      <c r="P253" s="528"/>
      <c r="Q253" s="528"/>
      <c r="R253" s="528"/>
      <c r="S253" s="528"/>
      <c r="T253" s="229"/>
      <c r="U253" s="229"/>
      <c r="V253" s="229"/>
      <c r="W253" s="229"/>
      <c r="X253" s="229"/>
      <c r="Y253" s="229"/>
    </row>
    <row r="254" spans="1:25">
      <c r="A254" s="126"/>
      <c r="B254" s="115" t="s">
        <v>134</v>
      </c>
      <c r="C254" s="117"/>
      <c r="D254" s="117"/>
      <c r="E254" s="117"/>
      <c r="F254" s="117"/>
      <c r="G254" s="117"/>
      <c r="H254" s="117"/>
      <c r="I254" s="117"/>
      <c r="K254" s="125"/>
      <c r="L254" s="133"/>
      <c r="N254" s="125"/>
      <c r="O254" s="482"/>
      <c r="P254" s="528"/>
      <c r="Q254" s="528"/>
      <c r="R254" s="528"/>
      <c r="S254" s="528"/>
      <c r="T254" s="229"/>
      <c r="U254" s="229"/>
      <c r="V254" s="229"/>
      <c r="W254" s="229"/>
      <c r="X254" s="229"/>
      <c r="Y254" s="229"/>
    </row>
    <row r="255" spans="1:25" ht="16.2" thickBot="1">
      <c r="A255" s="126"/>
      <c r="B255" s="115"/>
      <c r="C255" s="115"/>
      <c r="D255" s="115"/>
      <c r="E255" s="115"/>
      <c r="F255" s="115"/>
      <c r="G255" s="115"/>
      <c r="H255" s="115"/>
      <c r="I255" s="130" t="s">
        <v>135</v>
      </c>
      <c r="J255" s="117"/>
      <c r="K255" s="117"/>
      <c r="L255" s="133"/>
      <c r="N255" s="125"/>
      <c r="O255" s="482"/>
      <c r="P255" s="528"/>
      <c r="Q255" s="528"/>
      <c r="R255" s="528"/>
      <c r="S255" s="528"/>
      <c r="T255" s="229"/>
      <c r="U255" s="229"/>
      <c r="V255" s="229"/>
      <c r="W255" s="229"/>
      <c r="X255" s="229"/>
      <c r="Y255" s="229"/>
    </row>
    <row r="256" spans="1:25">
      <c r="A256" s="126"/>
      <c r="B256" s="115" t="s">
        <v>136</v>
      </c>
      <c r="C256" s="117"/>
      <c r="D256" s="117"/>
      <c r="E256" s="117"/>
      <c r="F256" s="117"/>
      <c r="G256" s="227" t="s">
        <v>2</v>
      </c>
      <c r="H256" s="193"/>
      <c r="I256" s="228"/>
      <c r="J256" s="115"/>
      <c r="K256" s="115"/>
      <c r="L256" s="133"/>
      <c r="N256" s="125"/>
      <c r="O256" s="482"/>
      <c r="P256" s="528"/>
      <c r="Q256" s="528"/>
      <c r="R256" s="528"/>
      <c r="S256" s="528"/>
      <c r="T256" s="229"/>
      <c r="U256" s="229"/>
      <c r="V256" s="229"/>
      <c r="W256" s="229"/>
      <c r="X256" s="229"/>
      <c r="Y256" s="229"/>
    </row>
    <row r="257" spans="1:25">
      <c r="A257" s="126">
        <v>27</v>
      </c>
      <c r="B257" s="112" t="s">
        <v>137</v>
      </c>
      <c r="C257" s="117"/>
      <c r="D257" s="117"/>
      <c r="E257" s="117" t="s">
        <v>138</v>
      </c>
      <c r="F257" s="117"/>
      <c r="H257" s="193"/>
      <c r="I257" s="163">
        <v>0</v>
      </c>
      <c r="J257" s="115"/>
      <c r="K257" s="115"/>
      <c r="L257" s="133"/>
      <c r="N257" s="166"/>
      <c r="O257" s="482"/>
      <c r="P257" s="528"/>
      <c r="Q257" s="528"/>
      <c r="R257" s="528"/>
      <c r="S257" s="528"/>
      <c r="T257" s="229"/>
      <c r="U257" s="229"/>
      <c r="V257" s="229"/>
      <c r="W257" s="229"/>
      <c r="X257" s="229"/>
      <c r="Y257" s="229"/>
    </row>
    <row r="258" spans="1:25" ht="16.2" thickBot="1">
      <c r="A258" s="126">
        <v>28</v>
      </c>
      <c r="B258" s="169" t="s">
        <v>173</v>
      </c>
      <c r="C258" s="198"/>
      <c r="D258" s="229"/>
      <c r="E258" s="230"/>
      <c r="F258" s="230"/>
      <c r="G258" s="230"/>
      <c r="H258" s="117"/>
      <c r="I258" s="159">
        <v>0</v>
      </c>
      <c r="J258" s="115"/>
      <c r="K258" s="115"/>
      <c r="L258" s="133"/>
      <c r="N258" s="115"/>
      <c r="O258" s="482"/>
      <c r="P258" s="528"/>
      <c r="Q258" s="528"/>
      <c r="R258" s="528"/>
      <c r="S258" s="528"/>
      <c r="T258" s="229"/>
      <c r="U258" s="229"/>
      <c r="V258" s="229"/>
      <c r="W258" s="229"/>
      <c r="X258" s="229"/>
      <c r="Y258" s="229"/>
    </row>
    <row r="259" spans="1:25">
      <c r="A259" s="126">
        <v>29</v>
      </c>
      <c r="B259" s="112" t="s">
        <v>139</v>
      </c>
      <c r="C259" s="118"/>
      <c r="D259" s="229"/>
      <c r="E259" s="230"/>
      <c r="F259" s="230"/>
      <c r="G259" s="230"/>
      <c r="H259" s="117"/>
      <c r="I259" s="163">
        <f>+I257-I258</f>
        <v>0</v>
      </c>
      <c r="J259" s="115"/>
      <c r="K259" s="115"/>
      <c r="L259" s="133"/>
      <c r="N259" s="115"/>
      <c r="O259" s="482"/>
      <c r="P259" s="528"/>
      <c r="Q259" s="528"/>
      <c r="R259" s="528"/>
      <c r="S259" s="528"/>
      <c r="T259" s="229"/>
      <c r="U259" s="229"/>
      <c r="V259" s="229"/>
      <c r="W259" s="229"/>
      <c r="X259" s="229"/>
      <c r="Y259" s="229"/>
    </row>
    <row r="260" spans="1:25">
      <c r="A260" s="126"/>
      <c r="B260" s="112" t="s">
        <v>2</v>
      </c>
      <c r="C260" s="118"/>
      <c r="D260" s="229"/>
      <c r="E260" s="230"/>
      <c r="F260" s="230"/>
      <c r="G260" s="231"/>
      <c r="H260" s="117"/>
      <c r="I260" s="232" t="s">
        <v>2</v>
      </c>
      <c r="J260" s="115"/>
      <c r="K260" s="115"/>
      <c r="L260" s="133"/>
      <c r="N260" s="115"/>
      <c r="O260" s="482"/>
      <c r="P260" s="528"/>
      <c r="Q260" s="528"/>
      <c r="R260" s="528"/>
      <c r="S260" s="528"/>
      <c r="T260" s="229"/>
      <c r="U260" s="229"/>
      <c r="V260" s="229"/>
      <c r="W260" s="229"/>
      <c r="X260" s="229"/>
      <c r="Y260" s="229"/>
    </row>
    <row r="261" spans="1:25">
      <c r="A261" s="126">
        <v>30</v>
      </c>
      <c r="B261" s="115" t="s">
        <v>241</v>
      </c>
      <c r="C261" s="118"/>
      <c r="D261" s="229"/>
      <c r="E261" s="230"/>
      <c r="F261" s="230"/>
      <c r="G261" s="231"/>
      <c r="H261" s="117"/>
      <c r="I261" s="233">
        <f>+'Other Data'!D31</f>
        <v>0</v>
      </c>
      <c r="J261" s="115"/>
      <c r="K261" s="115"/>
      <c r="L261" s="112" t="s">
        <v>938</v>
      </c>
      <c r="N261" s="115"/>
      <c r="O261" s="482"/>
      <c r="P261" s="528"/>
      <c r="Q261" s="528"/>
      <c r="R261" s="528"/>
      <c r="S261" s="528"/>
      <c r="T261" s="229"/>
      <c r="U261" s="229"/>
      <c r="V261" s="229"/>
      <c r="W261" s="229"/>
      <c r="X261" s="229"/>
      <c r="Y261" s="229"/>
    </row>
    <row r="262" spans="1:25">
      <c r="A262" s="126"/>
      <c r="C262" s="117"/>
      <c r="D262" s="230"/>
      <c r="E262" s="230"/>
      <c r="F262" s="230"/>
      <c r="G262" s="230"/>
      <c r="H262" s="117"/>
      <c r="I262" s="232"/>
      <c r="J262" s="115"/>
      <c r="K262" s="115"/>
      <c r="N262" s="115"/>
      <c r="O262" s="482"/>
      <c r="P262" s="528"/>
      <c r="Q262" s="528"/>
      <c r="R262" s="528"/>
      <c r="S262" s="528"/>
      <c r="T262" s="229"/>
      <c r="U262" s="229"/>
      <c r="V262" s="229"/>
      <c r="W262" s="229"/>
      <c r="X262" s="229"/>
      <c r="Y262" s="229"/>
    </row>
    <row r="263" spans="1:25">
      <c r="B263" s="115" t="s">
        <v>193</v>
      </c>
      <c r="C263" s="117"/>
      <c r="D263" s="230"/>
      <c r="E263" s="230"/>
      <c r="F263" s="230"/>
      <c r="G263" s="230"/>
      <c r="H263" s="117"/>
      <c r="J263" s="115"/>
      <c r="K263" s="115"/>
      <c r="N263" s="115"/>
      <c r="O263" s="482"/>
      <c r="P263" s="528"/>
      <c r="Q263" s="528"/>
      <c r="R263" s="528"/>
      <c r="S263" s="528"/>
      <c r="T263" s="229"/>
      <c r="U263" s="229"/>
      <c r="V263" s="229"/>
      <c r="W263" s="229"/>
      <c r="X263" s="229"/>
      <c r="Y263" s="229"/>
    </row>
    <row r="264" spans="1:25">
      <c r="A264" s="126">
        <v>31</v>
      </c>
      <c r="B264" s="115" t="s">
        <v>140</v>
      </c>
      <c r="C264" s="125"/>
      <c r="D264" s="187"/>
      <c r="E264" s="187"/>
      <c r="F264" s="187"/>
      <c r="G264" s="187"/>
      <c r="H264" s="125"/>
      <c r="I264" s="234">
        <f>+'Acct 456.1'!G35</f>
        <v>9895.91</v>
      </c>
      <c r="J264" s="115"/>
      <c r="K264" s="115"/>
      <c r="L264" s="112" t="s">
        <v>879</v>
      </c>
      <c r="N264" s="115"/>
      <c r="O264" s="539"/>
      <c r="P264" s="531"/>
      <c r="Q264" s="540"/>
      <c r="R264" s="528"/>
      <c r="S264" s="528"/>
      <c r="T264" s="229"/>
      <c r="U264" s="229"/>
      <c r="V264" s="229"/>
      <c r="W264" s="229"/>
      <c r="X264" s="229"/>
      <c r="Y264" s="229"/>
    </row>
    <row r="265" spans="1:25">
      <c r="A265" s="126">
        <v>32</v>
      </c>
      <c r="B265" s="235" t="s">
        <v>174</v>
      </c>
      <c r="C265" s="230"/>
      <c r="D265" s="230"/>
      <c r="E265" s="230"/>
      <c r="F265" s="230"/>
      <c r="G265" s="230"/>
      <c r="H265" s="117"/>
      <c r="I265" s="234">
        <f>+'Acct 456.1'!G36</f>
        <v>274.26</v>
      </c>
      <c r="J265" s="115"/>
      <c r="K265" s="115"/>
      <c r="L265" s="112" t="s">
        <v>879</v>
      </c>
      <c r="N265" s="115"/>
      <c r="O265" s="539"/>
      <c r="P265" s="531"/>
      <c r="Q265" s="540"/>
      <c r="R265" s="528"/>
      <c r="S265" s="528"/>
      <c r="T265" s="229"/>
      <c r="U265" s="229"/>
      <c r="V265" s="229"/>
      <c r="W265" s="229"/>
      <c r="X265" s="229"/>
      <c r="Y265" s="229"/>
    </row>
    <row r="266" spans="1:25">
      <c r="A266" s="126" t="s">
        <v>195</v>
      </c>
      <c r="B266" s="236" t="s">
        <v>799</v>
      </c>
      <c r="C266" s="237"/>
      <c r="D266" s="230"/>
      <c r="E266" s="230"/>
      <c r="F266" s="230"/>
      <c r="G266" s="230"/>
      <c r="H266" s="117"/>
      <c r="I266" s="234">
        <v>0</v>
      </c>
      <c r="J266" s="115"/>
      <c r="K266" s="115"/>
      <c r="N266" s="115"/>
      <c r="O266" s="482"/>
      <c r="P266" s="528"/>
      <c r="Q266" s="528"/>
      <c r="R266" s="528"/>
      <c r="S266" s="528"/>
      <c r="T266" s="229"/>
      <c r="U266" s="229"/>
      <c r="V266" s="229"/>
      <c r="W266" s="229"/>
      <c r="X266" s="229"/>
      <c r="Y266" s="229"/>
    </row>
    <row r="267" spans="1:25" ht="16.2" thickBot="1">
      <c r="A267" s="126" t="s">
        <v>272</v>
      </c>
      <c r="B267" s="238" t="s">
        <v>800</v>
      </c>
      <c r="C267" s="239"/>
      <c r="D267" s="230"/>
      <c r="E267" s="230"/>
      <c r="F267" s="230"/>
      <c r="G267" s="230"/>
      <c r="H267" s="117"/>
      <c r="I267" s="240">
        <v>0</v>
      </c>
      <c r="J267" s="115"/>
      <c r="K267" s="115"/>
      <c r="L267" s="166"/>
      <c r="N267" s="115"/>
      <c r="O267" s="482"/>
      <c r="P267" s="528"/>
      <c r="Q267" s="528"/>
      <c r="R267" s="528"/>
      <c r="S267" s="528"/>
      <c r="T267" s="229"/>
      <c r="U267" s="229"/>
      <c r="V267" s="229"/>
      <c r="W267" s="229"/>
      <c r="X267" s="229"/>
      <c r="Y267" s="229"/>
    </row>
    <row r="268" spans="1:25" s="193" customFormat="1">
      <c r="A268" s="126">
        <v>33</v>
      </c>
      <c r="B268" s="112" t="s">
        <v>273</v>
      </c>
      <c r="C268" s="126"/>
      <c r="D268" s="187"/>
      <c r="E268" s="187"/>
      <c r="F268" s="187"/>
      <c r="G268" s="187"/>
      <c r="H268" s="117"/>
      <c r="I268" s="241">
        <f>+I264-I265-I266-I267</f>
        <v>9621.65</v>
      </c>
      <c r="J268" s="115"/>
      <c r="K268" s="115"/>
      <c r="L268" s="242"/>
      <c r="M268" s="112"/>
      <c r="N268" s="115"/>
      <c r="O268" s="536"/>
      <c r="P268" s="537"/>
      <c r="Q268" s="537"/>
      <c r="R268" s="537"/>
      <c r="S268" s="537"/>
      <c r="T268" s="538"/>
      <c r="U268" s="538"/>
      <c r="V268" s="538"/>
      <c r="W268" s="538"/>
      <c r="X268" s="538"/>
      <c r="Y268" s="538"/>
    </row>
    <row r="269" spans="1:25">
      <c r="A269" s="126"/>
      <c r="B269" s="243"/>
      <c r="C269" s="126"/>
      <c r="D269" s="187"/>
      <c r="E269" s="187"/>
      <c r="F269" s="187"/>
      <c r="G269" s="187"/>
      <c r="H269" s="117"/>
      <c r="I269" s="241"/>
      <c r="J269" s="115"/>
      <c r="K269" s="115"/>
      <c r="L269" s="242"/>
      <c r="M269" s="193"/>
      <c r="N269" s="244"/>
      <c r="O269" s="482"/>
      <c r="P269" s="528"/>
      <c r="Q269" s="528"/>
      <c r="R269" s="528"/>
      <c r="S269" s="528"/>
      <c r="T269" s="229"/>
      <c r="U269" s="229"/>
      <c r="V269" s="229"/>
      <c r="W269" s="229"/>
      <c r="X269" s="229"/>
      <c r="Y269" s="229"/>
    </row>
    <row r="270" spans="1:25">
      <c r="A270" s="126"/>
      <c r="B270" s="243"/>
      <c r="C270" s="126"/>
      <c r="D270" s="187"/>
      <c r="E270" s="187"/>
      <c r="F270" s="187"/>
      <c r="G270" s="187"/>
      <c r="H270" s="117"/>
      <c r="I270" s="241"/>
      <c r="J270" s="115"/>
      <c r="K270" s="115"/>
      <c r="L270" s="242"/>
      <c r="N270" s="115"/>
      <c r="O270" s="482"/>
      <c r="P270" s="528"/>
      <c r="Q270" s="528"/>
      <c r="R270" s="528"/>
      <c r="S270" s="528"/>
      <c r="T270" s="229"/>
      <c r="U270" s="229"/>
      <c r="V270" s="229"/>
      <c r="W270" s="229"/>
      <c r="X270" s="229"/>
      <c r="Y270" s="229"/>
    </row>
    <row r="271" spans="1:25">
      <c r="A271" s="126"/>
      <c r="B271" s="243"/>
      <c r="C271" s="126"/>
      <c r="D271" s="187"/>
      <c r="E271" s="187"/>
      <c r="F271" s="187"/>
      <c r="G271" s="187"/>
      <c r="H271" s="117"/>
      <c r="I271" s="241"/>
      <c r="J271" s="115"/>
      <c r="K271" s="115"/>
      <c r="L271" s="242"/>
      <c r="N271" s="115"/>
      <c r="O271" s="482"/>
      <c r="P271" s="528"/>
      <c r="Q271" s="528"/>
      <c r="R271" s="528"/>
      <c r="S271" s="528"/>
      <c r="T271" s="229"/>
      <c r="U271" s="229"/>
      <c r="V271" s="229"/>
      <c r="W271" s="229"/>
      <c r="X271" s="229"/>
      <c r="Y271" s="229"/>
    </row>
    <row r="272" spans="1:25">
      <c r="A272" s="126"/>
      <c r="B272" s="243"/>
      <c r="C272" s="126"/>
      <c r="D272" s="187"/>
      <c r="E272" s="187"/>
      <c r="F272" s="187"/>
      <c r="G272" s="187"/>
      <c r="H272" s="117"/>
      <c r="I272" s="241"/>
      <c r="J272" s="115"/>
      <c r="K272" s="113" t="s">
        <v>770</v>
      </c>
      <c r="L272" s="242"/>
      <c r="N272" s="115"/>
      <c r="O272" s="482"/>
      <c r="P272" s="528"/>
      <c r="Q272" s="528"/>
      <c r="R272" s="528"/>
      <c r="S272" s="528"/>
      <c r="T272" s="229"/>
      <c r="U272" s="229"/>
      <c r="V272" s="229"/>
      <c r="W272" s="229"/>
      <c r="X272" s="229"/>
      <c r="Y272" s="229"/>
    </row>
    <row r="273" spans="1:25">
      <c r="B273" s="115"/>
      <c r="C273" s="115"/>
      <c r="E273" s="115"/>
      <c r="F273" s="115"/>
      <c r="G273" s="115"/>
      <c r="H273" s="117"/>
      <c r="I273" s="117"/>
      <c r="K273" s="119" t="s">
        <v>188</v>
      </c>
      <c r="L273" s="118"/>
      <c r="N273" s="118"/>
      <c r="O273" s="482"/>
      <c r="P273" s="528"/>
      <c r="Q273" s="528"/>
      <c r="R273" s="528"/>
      <c r="S273" s="528"/>
      <c r="T273" s="229"/>
      <c r="U273" s="229"/>
      <c r="V273" s="229"/>
      <c r="W273" s="229"/>
      <c r="X273" s="229"/>
      <c r="Y273" s="229"/>
    </row>
    <row r="274" spans="1:25">
      <c r="A274" s="126"/>
      <c r="B274" s="243" t="str">
        <f>B4</f>
        <v xml:space="preserve">Formula Rate - Non-Levelized </v>
      </c>
      <c r="C274" s="509" t="str">
        <f>D4</f>
        <v xml:space="preserve">   Rate Formula Template</v>
      </c>
      <c r="D274" s="509"/>
      <c r="E274" s="125"/>
      <c r="F274" s="125"/>
      <c r="G274" s="125"/>
      <c r="H274" s="245"/>
      <c r="J274" s="118"/>
      <c r="K274" s="246" t="str">
        <f>K4</f>
        <v>For the 12 months ended 12/31/2014</v>
      </c>
      <c r="L274" s="118"/>
      <c r="N274" s="118"/>
      <c r="O274" s="482"/>
      <c r="P274" s="528"/>
      <c r="Q274" s="528"/>
      <c r="R274" s="528"/>
      <c r="S274" s="528"/>
      <c r="T274" s="229"/>
      <c r="U274" s="229"/>
      <c r="V274" s="229"/>
      <c r="W274" s="229"/>
      <c r="X274" s="229"/>
      <c r="Y274" s="229"/>
    </row>
    <row r="275" spans="1:25">
      <c r="A275" s="126"/>
      <c r="B275" s="243"/>
      <c r="C275" s="126"/>
      <c r="D275" s="125" t="str">
        <f>D5</f>
        <v>Utilizing EIA Form 412 Data</v>
      </c>
      <c r="E275" s="125"/>
      <c r="F275" s="125"/>
      <c r="G275" s="125"/>
      <c r="H275" s="117"/>
      <c r="I275" s="247"/>
      <c r="J275" s="228"/>
      <c r="K275" s="248"/>
      <c r="L275" s="118"/>
      <c r="N275" s="118"/>
      <c r="O275" s="482"/>
      <c r="P275" s="528"/>
      <c r="Q275" s="528"/>
      <c r="R275" s="528"/>
      <c r="S275" s="528"/>
      <c r="T275" s="229"/>
      <c r="U275" s="229"/>
      <c r="V275" s="229"/>
      <c r="W275" s="229"/>
      <c r="X275" s="229"/>
      <c r="Y275" s="229"/>
    </row>
    <row r="276" spans="1:25">
      <c r="A276" s="126"/>
      <c r="B276" s="243"/>
      <c r="C276" s="126"/>
      <c r="D276" s="125" t="str">
        <f>D7</f>
        <v>Detroit Lakes (Minnesota) Public Utilities</v>
      </c>
      <c r="E276" s="125"/>
      <c r="F276" s="125"/>
      <c r="G276" s="125"/>
      <c r="H276" s="117"/>
      <c r="I276" s="247"/>
      <c r="J276" s="228"/>
      <c r="K276" s="248"/>
      <c r="L276" s="118"/>
      <c r="N276" s="118"/>
      <c r="O276" s="482"/>
      <c r="P276" s="528"/>
      <c r="Q276" s="528"/>
      <c r="R276" s="528"/>
      <c r="S276" s="528"/>
      <c r="T276" s="229"/>
      <c r="U276" s="229"/>
      <c r="V276" s="229"/>
      <c r="W276" s="229"/>
      <c r="X276" s="229"/>
      <c r="Y276" s="229"/>
    </row>
    <row r="277" spans="1:25">
      <c r="A277" s="126"/>
      <c r="B277" s="115" t="s">
        <v>141</v>
      </c>
      <c r="C277" s="126"/>
      <c r="D277" s="125"/>
      <c r="E277" s="125"/>
      <c r="F277" s="125"/>
      <c r="G277" s="125"/>
      <c r="H277" s="117"/>
      <c r="I277" s="125"/>
      <c r="J277" s="228"/>
      <c r="K277" s="248"/>
      <c r="L277" s="118"/>
      <c r="N277" s="126"/>
      <c r="O277" s="482"/>
      <c r="P277" s="528"/>
      <c r="Q277" s="528"/>
      <c r="R277" s="528"/>
      <c r="S277" s="528"/>
      <c r="T277" s="229"/>
      <c r="U277" s="229"/>
      <c r="V277" s="229"/>
      <c r="W277" s="229"/>
      <c r="X277" s="229"/>
      <c r="Y277" s="229"/>
    </row>
    <row r="278" spans="1:25">
      <c r="A278" s="126"/>
      <c r="B278" s="249" t="s">
        <v>207</v>
      </c>
      <c r="C278" s="126"/>
      <c r="D278" s="125"/>
      <c r="E278" s="125"/>
      <c r="F278" s="125"/>
      <c r="G278" s="125"/>
      <c r="H278" s="117"/>
      <c r="I278" s="125"/>
      <c r="J278" s="117"/>
      <c r="K278" s="125"/>
      <c r="L278" s="118"/>
      <c r="N278" s="126"/>
      <c r="O278" s="482"/>
      <c r="P278" s="528"/>
      <c r="Q278" s="528"/>
      <c r="R278" s="528"/>
      <c r="S278" s="528"/>
      <c r="T278" s="229"/>
      <c r="U278" s="229"/>
      <c r="V278" s="229"/>
      <c r="W278" s="229"/>
      <c r="X278" s="229"/>
      <c r="Y278" s="229"/>
    </row>
    <row r="279" spans="1:25">
      <c r="B279" s="249" t="s">
        <v>206</v>
      </c>
      <c r="C279" s="126"/>
      <c r="D279" s="125"/>
      <c r="E279" s="125"/>
      <c r="F279" s="125"/>
      <c r="G279" s="125"/>
      <c r="H279" s="117"/>
      <c r="I279" s="125"/>
      <c r="J279" s="117"/>
      <c r="K279" s="125"/>
      <c r="L279" s="118"/>
      <c r="N279" s="126"/>
      <c r="O279" s="482"/>
      <c r="P279" s="528"/>
      <c r="Q279" s="528"/>
      <c r="R279" s="528"/>
      <c r="S279" s="528"/>
      <c r="T279" s="229"/>
      <c r="U279" s="229"/>
      <c r="V279" s="229"/>
      <c r="W279" s="229"/>
      <c r="X279" s="229"/>
      <c r="Y279" s="229"/>
    </row>
    <row r="280" spans="1:25">
      <c r="A280" s="126" t="s">
        <v>142</v>
      </c>
      <c r="B280" s="115" t="s">
        <v>205</v>
      </c>
      <c r="C280" s="117"/>
      <c r="D280" s="125"/>
      <c r="E280" s="125"/>
      <c r="F280" s="125"/>
      <c r="G280" s="139"/>
      <c r="H280" s="117"/>
      <c r="I280" s="125"/>
      <c r="J280" s="117"/>
      <c r="K280" s="125"/>
      <c r="L280" s="118"/>
      <c r="N280" s="126"/>
      <c r="O280" s="482"/>
      <c r="P280" s="528"/>
      <c r="Q280" s="528"/>
      <c r="R280" s="528"/>
      <c r="S280" s="528"/>
      <c r="T280" s="229"/>
      <c r="U280" s="229"/>
      <c r="V280" s="229"/>
      <c r="W280" s="229"/>
      <c r="X280" s="229"/>
      <c r="Y280" s="229"/>
    </row>
    <row r="281" spans="1:25" ht="16.2" thickBot="1">
      <c r="A281" s="130" t="s">
        <v>143</v>
      </c>
      <c r="C281" s="117"/>
      <c r="D281" s="125"/>
      <c r="E281" s="125"/>
      <c r="F281" s="125"/>
      <c r="G281" s="125"/>
      <c r="H281" s="117"/>
      <c r="I281" s="125"/>
      <c r="J281" s="117"/>
      <c r="K281" s="125"/>
      <c r="L281" s="118"/>
      <c r="N281" s="126"/>
      <c r="O281" s="482"/>
      <c r="P281" s="528"/>
      <c r="Q281" s="528"/>
      <c r="R281" s="528"/>
      <c r="S281" s="528"/>
      <c r="T281" s="229"/>
      <c r="U281" s="229"/>
      <c r="V281" s="229"/>
      <c r="W281" s="229"/>
      <c r="X281" s="229"/>
      <c r="Y281" s="229"/>
    </row>
    <row r="282" spans="1:25" ht="32.25" customHeight="1">
      <c r="A282" s="250" t="s">
        <v>144</v>
      </c>
      <c r="B282" s="507" t="s">
        <v>266</v>
      </c>
      <c r="C282" s="507"/>
      <c r="D282" s="507"/>
      <c r="E282" s="507"/>
      <c r="F282" s="507"/>
      <c r="G282" s="507"/>
      <c r="H282" s="507"/>
      <c r="I282" s="507"/>
      <c r="J282" s="507"/>
      <c r="K282" s="507"/>
      <c r="L282" s="118"/>
      <c r="N282" s="126"/>
      <c r="O282" s="482"/>
      <c r="P282" s="528"/>
      <c r="Q282" s="528"/>
      <c r="R282" s="528"/>
      <c r="S282" s="528"/>
      <c r="T282" s="229"/>
      <c r="U282" s="229"/>
      <c r="V282" s="229"/>
      <c r="W282" s="229"/>
      <c r="X282" s="229"/>
      <c r="Y282" s="229"/>
    </row>
    <row r="283" spans="1:25" ht="63" customHeight="1">
      <c r="A283" s="250" t="s">
        <v>145</v>
      </c>
      <c r="B283" s="507" t="s">
        <v>267</v>
      </c>
      <c r="C283" s="507"/>
      <c r="D283" s="507"/>
      <c r="E283" s="507"/>
      <c r="F283" s="507"/>
      <c r="G283" s="507"/>
      <c r="H283" s="507"/>
      <c r="I283" s="507"/>
      <c r="J283" s="507"/>
      <c r="K283" s="507"/>
      <c r="L283" s="118"/>
      <c r="N283" s="126"/>
      <c r="O283" s="482"/>
      <c r="P283" s="528"/>
      <c r="Q283" s="528"/>
      <c r="R283" s="528"/>
      <c r="S283" s="528"/>
      <c r="T283" s="229"/>
      <c r="U283" s="229"/>
      <c r="V283" s="229"/>
      <c r="W283" s="229"/>
      <c r="X283" s="229"/>
      <c r="Y283" s="229"/>
    </row>
    <row r="284" spans="1:25">
      <c r="A284" s="250" t="s">
        <v>146</v>
      </c>
      <c r="B284" s="507" t="s">
        <v>268</v>
      </c>
      <c r="C284" s="507"/>
      <c r="D284" s="507"/>
      <c r="E284" s="507"/>
      <c r="F284" s="507"/>
      <c r="G284" s="507"/>
      <c r="H284" s="507"/>
      <c r="I284" s="507"/>
      <c r="J284" s="507"/>
      <c r="K284" s="507"/>
      <c r="L284" s="118"/>
      <c r="N284" s="126"/>
      <c r="O284" s="482"/>
      <c r="P284" s="528"/>
      <c r="Q284" s="528"/>
      <c r="R284" s="528"/>
      <c r="S284" s="528"/>
      <c r="T284" s="229"/>
      <c r="U284" s="229"/>
      <c r="V284" s="229"/>
      <c r="W284" s="229"/>
      <c r="X284" s="229"/>
      <c r="Y284" s="229"/>
    </row>
    <row r="285" spans="1:25">
      <c r="A285" s="250" t="s">
        <v>147</v>
      </c>
      <c r="B285" s="507" t="s">
        <v>268</v>
      </c>
      <c r="C285" s="507"/>
      <c r="D285" s="507"/>
      <c r="E285" s="507"/>
      <c r="F285" s="507"/>
      <c r="G285" s="507"/>
      <c r="H285" s="507"/>
      <c r="I285" s="507"/>
      <c r="J285" s="507"/>
      <c r="K285" s="507"/>
      <c r="L285" s="118"/>
      <c r="N285" s="126"/>
      <c r="O285" s="482"/>
      <c r="P285" s="528"/>
      <c r="Q285" s="528"/>
      <c r="R285" s="528"/>
      <c r="S285" s="528"/>
      <c r="T285" s="229"/>
      <c r="U285" s="229"/>
      <c r="V285" s="229"/>
      <c r="W285" s="229"/>
      <c r="X285" s="229"/>
      <c r="Y285" s="229"/>
    </row>
    <row r="286" spans="1:25">
      <c r="A286" s="250" t="s">
        <v>148</v>
      </c>
      <c r="B286" s="507" t="s">
        <v>801</v>
      </c>
      <c r="C286" s="507"/>
      <c r="D286" s="507"/>
      <c r="E286" s="507"/>
      <c r="F286" s="507"/>
      <c r="G286" s="507"/>
      <c r="H286" s="507"/>
      <c r="I286" s="507"/>
      <c r="J286" s="507"/>
      <c r="K286" s="507"/>
      <c r="L286" s="118"/>
      <c r="N286" s="126"/>
      <c r="O286" s="482"/>
      <c r="P286" s="528"/>
      <c r="Q286" s="528"/>
      <c r="R286" s="528"/>
      <c r="S286" s="528"/>
      <c r="T286" s="229"/>
      <c r="U286" s="229"/>
      <c r="V286" s="229"/>
      <c r="W286" s="229"/>
      <c r="X286" s="229"/>
      <c r="Y286" s="229"/>
    </row>
    <row r="287" spans="1:25" ht="48" customHeight="1">
      <c r="A287" s="250" t="s">
        <v>149</v>
      </c>
      <c r="B287" s="505" t="s">
        <v>243</v>
      </c>
      <c r="C287" s="505"/>
      <c r="D287" s="505"/>
      <c r="E287" s="505"/>
      <c r="F287" s="505"/>
      <c r="G287" s="505"/>
      <c r="H287" s="505"/>
      <c r="I287" s="505"/>
      <c r="J287" s="505"/>
      <c r="K287" s="505"/>
      <c r="L287" s="118"/>
      <c r="N287" s="126"/>
      <c r="O287" s="482"/>
      <c r="P287" s="528"/>
      <c r="Q287" s="528"/>
      <c r="R287" s="528"/>
      <c r="S287" s="528"/>
      <c r="T287" s="229"/>
      <c r="U287" s="229"/>
      <c r="V287" s="229"/>
      <c r="W287" s="229"/>
      <c r="X287" s="229"/>
      <c r="Y287" s="229"/>
    </row>
    <row r="288" spans="1:25">
      <c r="A288" s="250" t="s">
        <v>150</v>
      </c>
      <c r="B288" s="505" t="s">
        <v>180</v>
      </c>
      <c r="C288" s="505"/>
      <c r="D288" s="505"/>
      <c r="E288" s="505"/>
      <c r="F288" s="505"/>
      <c r="G288" s="505"/>
      <c r="H288" s="505"/>
      <c r="I288" s="505"/>
      <c r="J288" s="505"/>
      <c r="K288" s="505"/>
      <c r="L288" s="118"/>
      <c r="N288" s="126"/>
      <c r="O288" s="482"/>
      <c r="P288" s="528"/>
      <c r="Q288" s="528"/>
      <c r="R288" s="528"/>
      <c r="S288" s="528"/>
      <c r="T288" s="229"/>
      <c r="U288" s="229"/>
      <c r="V288" s="229"/>
      <c r="W288" s="229"/>
      <c r="X288" s="229"/>
      <c r="Y288" s="229"/>
    </row>
    <row r="289" spans="1:25" ht="32.25" customHeight="1">
      <c r="A289" s="250" t="s">
        <v>151</v>
      </c>
      <c r="B289" s="505" t="s">
        <v>244</v>
      </c>
      <c r="C289" s="505"/>
      <c r="D289" s="505"/>
      <c r="E289" s="505"/>
      <c r="F289" s="505"/>
      <c r="G289" s="505"/>
      <c r="H289" s="505"/>
      <c r="I289" s="505"/>
      <c r="J289" s="505"/>
      <c r="K289" s="505"/>
      <c r="L289" s="118"/>
      <c r="N289" s="126"/>
      <c r="O289" s="482"/>
      <c r="P289" s="528"/>
      <c r="Q289" s="528"/>
      <c r="R289" s="528"/>
      <c r="S289" s="528"/>
      <c r="T289" s="229"/>
      <c r="U289" s="229"/>
      <c r="V289" s="229"/>
      <c r="W289" s="229"/>
      <c r="X289" s="229"/>
      <c r="Y289" s="229"/>
    </row>
    <row r="290" spans="1:25" ht="32.25" customHeight="1">
      <c r="A290" s="250" t="s">
        <v>152</v>
      </c>
      <c r="B290" s="507" t="s">
        <v>245</v>
      </c>
      <c r="C290" s="507"/>
      <c r="D290" s="507"/>
      <c r="E290" s="507"/>
      <c r="F290" s="507"/>
      <c r="G290" s="507"/>
      <c r="H290" s="507"/>
      <c r="I290" s="507"/>
      <c r="J290" s="507"/>
      <c r="K290" s="507"/>
      <c r="L290" s="118"/>
      <c r="N290" s="126"/>
      <c r="O290" s="482"/>
      <c r="P290" s="528"/>
      <c r="Q290" s="528"/>
      <c r="R290" s="528"/>
      <c r="S290" s="528"/>
      <c r="T290" s="229"/>
      <c r="U290" s="229"/>
      <c r="V290" s="229"/>
      <c r="W290" s="229"/>
      <c r="X290" s="229"/>
      <c r="Y290" s="229"/>
    </row>
    <row r="291" spans="1:25" ht="32.25" customHeight="1">
      <c r="A291" s="250" t="s">
        <v>153</v>
      </c>
      <c r="B291" s="505" t="s">
        <v>246</v>
      </c>
      <c r="C291" s="505"/>
      <c r="D291" s="505"/>
      <c r="E291" s="505"/>
      <c r="F291" s="505"/>
      <c r="G291" s="505"/>
      <c r="H291" s="505"/>
      <c r="I291" s="505"/>
      <c r="J291" s="505"/>
      <c r="K291" s="505"/>
      <c r="L291" s="118"/>
      <c r="N291" s="126"/>
      <c r="O291" s="482"/>
      <c r="P291" s="528"/>
      <c r="Q291" s="528"/>
      <c r="R291" s="528"/>
      <c r="S291" s="528"/>
      <c r="T291" s="229"/>
      <c r="U291" s="229"/>
      <c r="V291" s="229"/>
      <c r="W291" s="229"/>
      <c r="X291" s="229"/>
      <c r="Y291" s="229"/>
    </row>
    <row r="292" spans="1:25" ht="79.5" customHeight="1">
      <c r="A292" s="250" t="s">
        <v>154</v>
      </c>
      <c r="B292" s="505" t="s">
        <v>247</v>
      </c>
      <c r="C292" s="505"/>
      <c r="D292" s="505"/>
      <c r="E292" s="505"/>
      <c r="F292" s="505"/>
      <c r="G292" s="505"/>
      <c r="H292" s="505"/>
      <c r="I292" s="505"/>
      <c r="J292" s="505"/>
      <c r="K292" s="505"/>
      <c r="L292" s="118"/>
      <c r="N292" s="126"/>
      <c r="O292" s="482"/>
      <c r="P292" s="528"/>
      <c r="Q292" s="528"/>
      <c r="R292" s="528"/>
      <c r="S292" s="528"/>
      <c r="T292" s="229"/>
      <c r="U292" s="229"/>
      <c r="V292" s="229"/>
      <c r="W292" s="229"/>
      <c r="X292" s="229"/>
      <c r="Y292" s="229"/>
    </row>
    <row r="293" spans="1:25">
      <c r="A293" s="250" t="s">
        <v>2</v>
      </c>
      <c r="B293" s="251" t="s">
        <v>242</v>
      </c>
      <c r="C293" s="252" t="s">
        <v>155</v>
      </c>
      <c r="D293" s="253">
        <v>0</v>
      </c>
      <c r="E293" s="252"/>
      <c r="F293" s="254"/>
      <c r="G293" s="254"/>
      <c r="H293" s="255"/>
      <c r="I293" s="254"/>
      <c r="J293" s="255"/>
      <c r="K293" s="254"/>
      <c r="L293" s="118"/>
      <c r="N293" s="126"/>
      <c r="O293" s="482"/>
      <c r="P293" s="528"/>
      <c r="Q293" s="528"/>
      <c r="R293" s="528"/>
      <c r="S293" s="528"/>
      <c r="T293" s="229"/>
      <c r="U293" s="229"/>
      <c r="V293" s="229"/>
      <c r="W293" s="229"/>
      <c r="X293" s="229"/>
      <c r="Y293" s="229"/>
    </row>
    <row r="294" spans="1:25">
      <c r="A294" s="250"/>
      <c r="B294" s="252"/>
      <c r="C294" s="252" t="s">
        <v>156</v>
      </c>
      <c r="D294" s="253">
        <v>0</v>
      </c>
      <c r="E294" s="505" t="s">
        <v>157</v>
      </c>
      <c r="F294" s="505"/>
      <c r="G294" s="505"/>
      <c r="H294" s="505"/>
      <c r="I294" s="505"/>
      <c r="J294" s="505"/>
      <c r="K294" s="505"/>
      <c r="N294" s="126"/>
      <c r="O294" s="482"/>
      <c r="P294" s="528"/>
      <c r="Q294" s="528"/>
      <c r="R294" s="528"/>
      <c r="S294" s="528"/>
      <c r="T294" s="229"/>
      <c r="U294" s="229"/>
      <c r="V294" s="229"/>
      <c r="W294" s="229"/>
      <c r="X294" s="229"/>
      <c r="Y294" s="229"/>
    </row>
    <row r="295" spans="1:25">
      <c r="A295" s="250"/>
      <c r="B295" s="252"/>
      <c r="C295" s="252" t="s">
        <v>158</v>
      </c>
      <c r="D295" s="253">
        <v>0</v>
      </c>
      <c r="E295" s="505" t="s">
        <v>159</v>
      </c>
      <c r="F295" s="505"/>
      <c r="G295" s="505"/>
      <c r="H295" s="505"/>
      <c r="I295" s="505"/>
      <c r="J295" s="505"/>
      <c r="K295" s="505"/>
      <c r="L295" s="118"/>
      <c r="N295" s="126"/>
      <c r="O295" s="482"/>
      <c r="P295" s="528"/>
      <c r="Q295" s="528"/>
      <c r="R295" s="528"/>
      <c r="S295" s="528"/>
      <c r="T295" s="229"/>
      <c r="U295" s="229"/>
      <c r="V295" s="229"/>
      <c r="W295" s="229"/>
      <c r="X295" s="229"/>
      <c r="Y295" s="229"/>
    </row>
    <row r="296" spans="1:25">
      <c r="A296" s="250" t="s">
        <v>160</v>
      </c>
      <c r="B296" s="505" t="s">
        <v>194</v>
      </c>
      <c r="C296" s="505"/>
      <c r="D296" s="505"/>
      <c r="E296" s="505"/>
      <c r="F296" s="505"/>
      <c r="G296" s="505"/>
      <c r="H296" s="505"/>
      <c r="I296" s="505"/>
      <c r="J296" s="505"/>
      <c r="K296" s="505"/>
      <c r="L296" s="118"/>
      <c r="N296" s="126"/>
      <c r="O296" s="482"/>
      <c r="P296" s="528"/>
      <c r="Q296" s="528"/>
      <c r="R296" s="528"/>
      <c r="S296" s="528"/>
      <c r="T296" s="229"/>
      <c r="U296" s="229"/>
      <c r="V296" s="229"/>
      <c r="W296" s="229"/>
      <c r="X296" s="229"/>
      <c r="Y296" s="229"/>
    </row>
    <row r="297" spans="1:25" ht="32.25" customHeight="1">
      <c r="A297" s="250" t="s">
        <v>161</v>
      </c>
      <c r="B297" s="505" t="s">
        <v>802</v>
      </c>
      <c r="C297" s="505"/>
      <c r="D297" s="505"/>
      <c r="E297" s="505"/>
      <c r="F297" s="505"/>
      <c r="G297" s="505"/>
      <c r="H297" s="505"/>
      <c r="I297" s="505"/>
      <c r="J297" s="505"/>
      <c r="K297" s="505"/>
      <c r="L297" s="256"/>
      <c r="N297" s="126"/>
      <c r="O297" s="482"/>
      <c r="P297" s="528"/>
      <c r="Q297" s="528"/>
      <c r="R297" s="528"/>
      <c r="S297" s="528"/>
      <c r="T297" s="229"/>
      <c r="U297" s="229"/>
      <c r="V297" s="229"/>
      <c r="W297" s="229"/>
      <c r="X297" s="229"/>
      <c r="Y297" s="229"/>
    </row>
    <row r="298" spans="1:25" ht="48" customHeight="1">
      <c r="A298" s="250" t="s">
        <v>162</v>
      </c>
      <c r="B298" s="505" t="s">
        <v>264</v>
      </c>
      <c r="C298" s="505"/>
      <c r="D298" s="505"/>
      <c r="E298" s="505"/>
      <c r="F298" s="505"/>
      <c r="G298" s="505"/>
      <c r="H298" s="505"/>
      <c r="I298" s="505"/>
      <c r="J298" s="505"/>
      <c r="K298" s="505"/>
      <c r="L298" s="118"/>
      <c r="N298" s="126"/>
      <c r="O298" s="482"/>
      <c r="P298" s="528"/>
      <c r="Q298" s="528"/>
      <c r="R298" s="528"/>
      <c r="S298" s="528"/>
      <c r="T298" s="229"/>
      <c r="U298" s="229"/>
      <c r="V298" s="229"/>
      <c r="W298" s="229"/>
      <c r="X298" s="229"/>
      <c r="Y298" s="229"/>
    </row>
    <row r="299" spans="1:25">
      <c r="A299" s="250" t="s">
        <v>163</v>
      </c>
      <c r="B299" s="505" t="s">
        <v>181</v>
      </c>
      <c r="C299" s="505"/>
      <c r="D299" s="505"/>
      <c r="E299" s="505"/>
      <c r="F299" s="505"/>
      <c r="G299" s="505"/>
      <c r="H299" s="505"/>
      <c r="I299" s="505"/>
      <c r="J299" s="505"/>
      <c r="K299" s="505"/>
      <c r="L299" s="118"/>
      <c r="N299" s="126"/>
      <c r="O299" s="482"/>
      <c r="P299" s="528"/>
      <c r="Q299" s="528"/>
      <c r="R299" s="528"/>
      <c r="S299" s="528"/>
      <c r="T299" s="229"/>
      <c r="U299" s="229"/>
      <c r="V299" s="229"/>
      <c r="W299" s="229"/>
      <c r="X299" s="229"/>
      <c r="Y299" s="229"/>
    </row>
    <row r="300" spans="1:25" ht="166.8" customHeight="1">
      <c r="A300" s="250" t="s">
        <v>164</v>
      </c>
      <c r="B300" s="506" t="s">
        <v>982</v>
      </c>
      <c r="C300" s="506"/>
      <c r="D300" s="506"/>
      <c r="E300" s="506"/>
      <c r="F300" s="506"/>
      <c r="G300" s="506"/>
      <c r="H300" s="506"/>
      <c r="I300" s="506"/>
      <c r="J300" s="506"/>
      <c r="K300" s="506"/>
      <c r="L300" s="118"/>
      <c r="N300" s="126"/>
      <c r="O300" s="482"/>
      <c r="P300" s="528"/>
      <c r="Q300" s="528"/>
      <c r="R300" s="528"/>
      <c r="S300" s="528"/>
      <c r="T300" s="229"/>
      <c r="U300" s="229"/>
      <c r="V300" s="229"/>
      <c r="W300" s="229"/>
      <c r="X300" s="229"/>
      <c r="Y300" s="229"/>
    </row>
    <row r="301" spans="1:25" ht="32.25" customHeight="1">
      <c r="A301" s="250" t="s">
        <v>165</v>
      </c>
      <c r="B301" s="505" t="s">
        <v>248</v>
      </c>
      <c r="C301" s="505"/>
      <c r="D301" s="505"/>
      <c r="E301" s="505"/>
      <c r="F301" s="505"/>
      <c r="G301" s="505"/>
      <c r="H301" s="505"/>
      <c r="I301" s="505"/>
      <c r="J301" s="505"/>
      <c r="K301" s="505"/>
      <c r="L301" s="118"/>
      <c r="N301" s="126"/>
      <c r="O301" s="482"/>
      <c r="P301" s="528"/>
      <c r="Q301" s="528"/>
      <c r="R301" s="528"/>
      <c r="S301" s="528"/>
      <c r="T301" s="229"/>
      <c r="U301" s="229"/>
      <c r="V301" s="229"/>
      <c r="W301" s="229"/>
      <c r="X301" s="229"/>
      <c r="Y301" s="229"/>
    </row>
    <row r="302" spans="1:25">
      <c r="A302" s="250" t="s">
        <v>166</v>
      </c>
      <c r="B302" s="505" t="s">
        <v>167</v>
      </c>
      <c r="C302" s="505"/>
      <c r="D302" s="505"/>
      <c r="E302" s="505"/>
      <c r="F302" s="505"/>
      <c r="G302" s="505"/>
      <c r="H302" s="505"/>
      <c r="I302" s="505"/>
      <c r="J302" s="505"/>
      <c r="K302" s="505"/>
      <c r="L302" s="118"/>
      <c r="N302" s="126"/>
      <c r="O302" s="482"/>
      <c r="P302" s="528"/>
      <c r="Q302" s="528"/>
      <c r="R302" s="528"/>
      <c r="S302" s="528"/>
      <c r="T302" s="229"/>
      <c r="U302" s="229"/>
      <c r="V302" s="229"/>
      <c r="W302" s="229"/>
      <c r="X302" s="229"/>
      <c r="Y302" s="229"/>
    </row>
    <row r="303" spans="1:25" ht="48" customHeight="1">
      <c r="A303" s="250" t="s">
        <v>182</v>
      </c>
      <c r="B303" s="505" t="s">
        <v>803</v>
      </c>
      <c r="C303" s="505"/>
      <c r="D303" s="505"/>
      <c r="E303" s="505"/>
      <c r="F303" s="505"/>
      <c r="G303" s="505"/>
      <c r="H303" s="505"/>
      <c r="I303" s="505"/>
      <c r="J303" s="505"/>
      <c r="K303" s="505"/>
      <c r="L303" s="118"/>
      <c r="N303" s="126"/>
      <c r="O303" s="482"/>
      <c r="P303" s="528"/>
      <c r="Q303" s="528"/>
      <c r="R303" s="528"/>
      <c r="S303" s="528"/>
      <c r="T303" s="229"/>
      <c r="U303" s="229"/>
      <c r="V303" s="229"/>
      <c r="W303" s="229"/>
      <c r="X303" s="229"/>
      <c r="Y303" s="229"/>
    </row>
    <row r="304" spans="1:25" ht="65.25" customHeight="1">
      <c r="A304" s="257" t="s">
        <v>183</v>
      </c>
      <c r="B304" s="504" t="s">
        <v>263</v>
      </c>
      <c r="C304" s="504"/>
      <c r="D304" s="504"/>
      <c r="E304" s="504"/>
      <c r="F304" s="504"/>
      <c r="G304" s="504"/>
      <c r="H304" s="504"/>
      <c r="I304" s="504"/>
      <c r="J304" s="504"/>
      <c r="K304" s="504"/>
      <c r="L304" s="118"/>
      <c r="N304" s="126"/>
      <c r="O304" s="482"/>
      <c r="P304" s="528"/>
      <c r="Q304" s="528"/>
      <c r="R304" s="528"/>
      <c r="S304" s="528"/>
      <c r="T304" s="229"/>
      <c r="U304" s="229"/>
      <c r="V304" s="229"/>
      <c r="W304" s="229"/>
      <c r="X304" s="229"/>
      <c r="Y304" s="229"/>
    </row>
    <row r="305" spans="1:25">
      <c r="A305" s="257" t="s">
        <v>189</v>
      </c>
      <c r="B305" s="504" t="s">
        <v>769</v>
      </c>
      <c r="C305" s="504"/>
      <c r="D305" s="504"/>
      <c r="E305" s="504"/>
      <c r="F305" s="504"/>
      <c r="G305" s="504"/>
      <c r="H305" s="504"/>
      <c r="I305" s="504"/>
      <c r="J305" s="504"/>
      <c r="K305" s="504"/>
      <c r="L305" s="118"/>
      <c r="N305" s="126"/>
      <c r="O305" s="482"/>
      <c r="P305" s="528"/>
      <c r="Q305" s="528"/>
      <c r="R305" s="528"/>
      <c r="S305" s="528"/>
      <c r="T305" s="229"/>
      <c r="U305" s="229"/>
      <c r="V305" s="229"/>
      <c r="W305" s="229"/>
      <c r="X305" s="229"/>
      <c r="Y305" s="229"/>
    </row>
    <row r="306" spans="1:25">
      <c r="A306" s="258" t="s">
        <v>191</v>
      </c>
      <c r="B306" s="504" t="s">
        <v>804</v>
      </c>
      <c r="C306" s="504"/>
      <c r="D306" s="504"/>
      <c r="E306" s="504"/>
      <c r="F306" s="504"/>
      <c r="G306" s="504"/>
      <c r="H306" s="504"/>
      <c r="I306" s="504"/>
      <c r="J306" s="504"/>
      <c r="K306" s="504"/>
      <c r="L306" s="118"/>
      <c r="N306" s="166"/>
      <c r="O306" s="482"/>
      <c r="P306" s="528"/>
      <c r="Q306" s="528"/>
      <c r="R306" s="528"/>
      <c r="S306" s="528"/>
      <c r="T306" s="229"/>
      <c r="U306" s="229"/>
      <c r="V306" s="229"/>
      <c r="W306" s="229"/>
      <c r="X306" s="229"/>
      <c r="Y306" s="229"/>
    </row>
    <row r="307" spans="1:25">
      <c r="A307" s="258" t="s">
        <v>196</v>
      </c>
      <c r="B307" s="504" t="s">
        <v>805</v>
      </c>
      <c r="C307" s="504"/>
      <c r="D307" s="504"/>
      <c r="E307" s="504"/>
      <c r="F307" s="504"/>
      <c r="G307" s="504"/>
      <c r="H307" s="504"/>
      <c r="I307" s="504"/>
      <c r="J307" s="504"/>
      <c r="K307" s="504"/>
      <c r="L307" s="118"/>
      <c r="N307" s="166"/>
      <c r="O307" s="482"/>
      <c r="P307" s="528"/>
      <c r="Q307" s="528"/>
      <c r="R307" s="528"/>
      <c r="S307" s="528"/>
      <c r="T307" s="229"/>
      <c r="U307" s="229"/>
      <c r="V307" s="229"/>
      <c r="W307" s="229"/>
      <c r="X307" s="229"/>
      <c r="Y307" s="229"/>
    </row>
    <row r="308" spans="1:25" s="174" customFormat="1" ht="32.25" customHeight="1">
      <c r="A308" s="257" t="s">
        <v>197</v>
      </c>
      <c r="B308" s="504" t="s">
        <v>806</v>
      </c>
      <c r="C308" s="504"/>
      <c r="D308" s="504"/>
      <c r="E308" s="504"/>
      <c r="F308" s="504"/>
      <c r="G308" s="504"/>
      <c r="H308" s="504"/>
      <c r="I308" s="504"/>
      <c r="J308" s="504"/>
      <c r="K308" s="504"/>
      <c r="L308" s="191"/>
      <c r="N308" s="172"/>
      <c r="O308" s="535"/>
      <c r="P308" s="533"/>
      <c r="Q308" s="533"/>
      <c r="R308" s="533"/>
      <c r="S308" s="533"/>
      <c r="T308" s="200"/>
      <c r="U308" s="200"/>
      <c r="V308" s="200"/>
      <c r="W308" s="200"/>
      <c r="X308" s="200"/>
      <c r="Y308" s="200"/>
    </row>
    <row r="309" spans="1:25" s="193" customFormat="1">
      <c r="A309" s="258" t="s">
        <v>274</v>
      </c>
      <c r="B309" s="504" t="s">
        <v>807</v>
      </c>
      <c r="C309" s="504"/>
      <c r="D309" s="504"/>
      <c r="E309" s="504"/>
      <c r="F309" s="504"/>
      <c r="G309" s="504"/>
      <c r="H309" s="504"/>
      <c r="I309" s="504"/>
      <c r="J309" s="504"/>
      <c r="K309" s="504"/>
      <c r="L309" s="195"/>
      <c r="N309" s="192"/>
      <c r="O309" s="536"/>
      <c r="P309" s="537"/>
      <c r="Q309" s="537"/>
      <c r="R309" s="537"/>
      <c r="S309" s="537"/>
      <c r="T309" s="538"/>
      <c r="U309" s="538"/>
      <c r="V309" s="538"/>
      <c r="W309" s="538"/>
      <c r="X309" s="538"/>
      <c r="Y309" s="538"/>
    </row>
    <row r="310" spans="1:25" s="193" customFormat="1" ht="33" customHeight="1">
      <c r="A310" s="257" t="s">
        <v>275</v>
      </c>
      <c r="B310" s="504" t="s">
        <v>808</v>
      </c>
      <c r="C310" s="504"/>
      <c r="D310" s="504"/>
      <c r="E310" s="504"/>
      <c r="F310" s="504"/>
      <c r="G310" s="504"/>
      <c r="H310" s="504"/>
      <c r="I310" s="504"/>
      <c r="J310" s="504"/>
      <c r="K310" s="504"/>
      <c r="L310" s="195"/>
      <c r="N310" s="192"/>
      <c r="O310" s="536"/>
      <c r="P310" s="537"/>
      <c r="Q310" s="537"/>
      <c r="R310" s="537"/>
      <c r="S310" s="537"/>
      <c r="T310" s="538"/>
      <c r="U310" s="538"/>
      <c r="V310" s="538"/>
      <c r="W310" s="538"/>
      <c r="X310" s="538"/>
      <c r="Y310" s="538"/>
    </row>
    <row r="311" spans="1:25" s="193" customFormat="1" ht="15" customHeight="1">
      <c r="A311" s="257" t="s">
        <v>276</v>
      </c>
      <c r="B311" s="259" t="s">
        <v>277</v>
      </c>
      <c r="C311" s="260"/>
      <c r="D311" s="260"/>
      <c r="E311" s="260"/>
      <c r="F311" s="260"/>
      <c r="G311" s="260"/>
      <c r="H311" s="260"/>
      <c r="I311" s="260"/>
      <c r="J311" s="260"/>
      <c r="K311" s="260"/>
      <c r="L311" s="195"/>
      <c r="N311" s="192"/>
      <c r="O311" s="536"/>
      <c r="P311" s="537"/>
      <c r="Q311" s="537"/>
      <c r="R311" s="537"/>
      <c r="S311" s="537"/>
      <c r="T311" s="538"/>
      <c r="U311" s="538"/>
      <c r="V311" s="538"/>
      <c r="W311" s="538"/>
      <c r="X311" s="538"/>
      <c r="Y311" s="538"/>
    </row>
    <row r="312" spans="1:25" s="193" customFormat="1" ht="15" customHeight="1">
      <c r="A312" s="257" t="s">
        <v>278</v>
      </c>
      <c r="B312" s="261" t="s">
        <v>279</v>
      </c>
      <c r="C312" s="260"/>
      <c r="D312" s="260"/>
      <c r="E312" s="260"/>
      <c r="F312" s="260"/>
      <c r="G312" s="260"/>
      <c r="H312" s="260"/>
      <c r="I312" s="260"/>
      <c r="J312" s="260"/>
      <c r="K312" s="260"/>
      <c r="L312" s="195"/>
      <c r="N312" s="192"/>
      <c r="O312" s="536"/>
      <c r="P312" s="537"/>
      <c r="Q312" s="537"/>
      <c r="R312" s="537"/>
      <c r="S312" s="537"/>
      <c r="T312" s="538"/>
      <c r="U312" s="538"/>
      <c r="V312" s="538"/>
      <c r="W312" s="538"/>
      <c r="X312" s="538"/>
      <c r="Y312" s="538"/>
    </row>
    <row r="313" spans="1:25" s="193" customFormat="1" ht="15" customHeight="1">
      <c r="A313" s="485" t="s">
        <v>961</v>
      </c>
      <c r="B313" s="484" t="s">
        <v>962</v>
      </c>
      <c r="C313" s="260"/>
      <c r="D313" s="260"/>
      <c r="E313" s="260"/>
      <c r="F313" s="260"/>
      <c r="G313" s="260"/>
      <c r="H313" s="260"/>
      <c r="I313" s="260"/>
      <c r="J313" s="260"/>
      <c r="K313" s="260"/>
      <c r="L313" s="195"/>
      <c r="N313" s="192"/>
      <c r="O313" s="536"/>
      <c r="P313" s="537"/>
      <c r="Q313" s="537"/>
      <c r="R313" s="537"/>
      <c r="S313" s="537"/>
      <c r="T313" s="538"/>
      <c r="U313" s="538"/>
      <c r="V313" s="538"/>
      <c r="W313" s="538"/>
      <c r="X313" s="538"/>
      <c r="Y313" s="538"/>
    </row>
    <row r="314" spans="1:25" s="193" customFormat="1" ht="15" customHeight="1">
      <c r="A314" s="485"/>
      <c r="B314" s="484" t="s">
        <v>963</v>
      </c>
      <c r="C314" s="255"/>
      <c r="D314" s="255"/>
      <c r="E314" s="255"/>
      <c r="F314" s="255"/>
      <c r="G314" s="255"/>
      <c r="H314" s="255"/>
      <c r="I314" s="255"/>
      <c r="J314" s="255"/>
      <c r="K314" s="255"/>
      <c r="L314" s="195"/>
      <c r="N314" s="192"/>
      <c r="O314" s="536"/>
      <c r="P314" s="537"/>
      <c r="Q314" s="537"/>
      <c r="R314" s="537"/>
      <c r="S314" s="537"/>
      <c r="T314" s="538"/>
      <c r="U314" s="538"/>
      <c r="V314" s="538"/>
      <c r="W314" s="538"/>
      <c r="X314" s="538"/>
      <c r="Y314" s="538"/>
    </row>
    <row r="315" spans="1:25">
      <c r="A315" s="485" t="s">
        <v>964</v>
      </c>
      <c r="B315" s="484" t="s">
        <v>965</v>
      </c>
      <c r="C315" s="117"/>
      <c r="D315" s="117"/>
      <c r="E315" s="117"/>
      <c r="F315" s="117"/>
      <c r="G315" s="117"/>
      <c r="H315" s="117"/>
      <c r="I315" s="117"/>
      <c r="J315" s="117"/>
      <c r="K315" s="117"/>
      <c r="N315" s="126"/>
      <c r="O315" s="482"/>
      <c r="P315" s="528"/>
      <c r="Q315" s="528"/>
      <c r="R315" s="528"/>
      <c r="S315" s="528"/>
      <c r="T315" s="229"/>
      <c r="U315" s="229"/>
      <c r="V315" s="229"/>
      <c r="W315" s="229"/>
      <c r="X315" s="229"/>
      <c r="Y315" s="229"/>
    </row>
    <row r="316" spans="1:25">
      <c r="A316" s="485"/>
      <c r="B316" s="484" t="s">
        <v>966</v>
      </c>
      <c r="C316" s="117"/>
      <c r="D316" s="117"/>
      <c r="E316" s="117"/>
      <c r="F316" s="117"/>
      <c r="G316" s="117"/>
      <c r="H316" s="117"/>
      <c r="I316" s="117"/>
      <c r="J316" s="117"/>
      <c r="K316" s="117"/>
      <c r="N316" s="126"/>
      <c r="O316" s="482"/>
      <c r="P316" s="528"/>
      <c r="Q316" s="528"/>
      <c r="R316" s="528"/>
      <c r="S316" s="528"/>
      <c r="T316" s="229"/>
      <c r="U316" s="229"/>
      <c r="V316" s="229"/>
      <c r="W316" s="229"/>
      <c r="X316" s="229"/>
      <c r="Y316" s="229"/>
    </row>
    <row r="317" spans="1:25">
      <c r="A317" s="126"/>
      <c r="B317" s="117"/>
      <c r="C317" s="117"/>
      <c r="D317" s="117"/>
      <c r="E317" s="117"/>
      <c r="F317" s="117"/>
      <c r="G317" s="117"/>
      <c r="H317" s="117"/>
      <c r="I317" s="117"/>
      <c r="J317" s="117"/>
      <c r="K317" s="117"/>
      <c r="N317" s="126"/>
      <c r="O317" s="482"/>
      <c r="P317" s="528"/>
      <c r="Q317" s="528"/>
      <c r="R317" s="528"/>
      <c r="S317" s="528"/>
      <c r="T317" s="229"/>
      <c r="U317" s="229"/>
      <c r="V317" s="229"/>
      <c r="W317" s="229"/>
      <c r="X317" s="229"/>
      <c r="Y317" s="229"/>
    </row>
    <row r="318" spans="1:25">
      <c r="A318" s="126"/>
      <c r="B318" s="117"/>
      <c r="C318" s="117"/>
      <c r="D318" s="117"/>
      <c r="E318" s="117"/>
      <c r="F318" s="117"/>
      <c r="G318" s="117"/>
      <c r="H318" s="117"/>
      <c r="I318" s="117"/>
      <c r="J318" s="117"/>
      <c r="K318" s="117"/>
      <c r="N318" s="126"/>
      <c r="O318" s="482"/>
      <c r="P318" s="528"/>
      <c r="Q318" s="528"/>
      <c r="R318" s="528"/>
      <c r="S318" s="528"/>
      <c r="T318" s="229"/>
      <c r="U318" s="229"/>
      <c r="V318" s="229"/>
      <c r="W318" s="229"/>
      <c r="X318" s="229"/>
      <c r="Y318" s="229"/>
    </row>
    <row r="319" spans="1:25">
      <c r="A319" s="126"/>
      <c r="B319" s="117"/>
      <c r="C319" s="117"/>
      <c r="D319" s="117"/>
      <c r="E319" s="117"/>
      <c r="F319" s="117"/>
      <c r="G319" s="117"/>
      <c r="H319" s="117"/>
      <c r="I319" s="117"/>
      <c r="J319" s="117"/>
      <c r="K319" s="117"/>
      <c r="N319" s="126"/>
      <c r="O319" s="482"/>
      <c r="P319" s="528"/>
      <c r="Q319" s="528"/>
      <c r="R319" s="528"/>
      <c r="S319" s="528"/>
      <c r="T319" s="229"/>
      <c r="U319" s="229"/>
      <c r="V319" s="229"/>
      <c r="W319" s="229"/>
      <c r="X319" s="229"/>
      <c r="Y319" s="229"/>
    </row>
    <row r="320" spans="1:25">
      <c r="A320" s="126"/>
      <c r="B320" s="117"/>
      <c r="C320" s="117"/>
      <c r="D320" s="117"/>
      <c r="E320" s="117"/>
      <c r="F320" s="117"/>
      <c r="G320" s="117"/>
      <c r="H320" s="117"/>
      <c r="I320" s="117"/>
      <c r="J320" s="117"/>
      <c r="K320" s="117"/>
      <c r="N320" s="126"/>
      <c r="O320" s="482"/>
      <c r="P320" s="528"/>
      <c r="Q320" s="528"/>
      <c r="R320" s="528"/>
      <c r="S320" s="528"/>
      <c r="T320" s="229"/>
      <c r="U320" s="229"/>
      <c r="V320" s="229"/>
      <c r="W320" s="229"/>
      <c r="X320" s="229"/>
      <c r="Y320" s="229"/>
    </row>
    <row r="321" spans="1:25">
      <c r="A321" s="126"/>
      <c r="B321" s="117"/>
      <c r="C321" s="117"/>
      <c r="D321" s="117"/>
      <c r="E321" s="117"/>
      <c r="F321" s="117"/>
      <c r="G321" s="117"/>
      <c r="H321" s="117"/>
      <c r="I321" s="117"/>
      <c r="J321" s="117"/>
      <c r="K321" s="117"/>
      <c r="N321" s="126"/>
      <c r="O321" s="482"/>
      <c r="P321" s="528"/>
      <c r="Q321" s="528"/>
      <c r="R321" s="528"/>
      <c r="S321" s="528"/>
      <c r="T321" s="229"/>
      <c r="U321" s="229"/>
      <c r="V321" s="229"/>
      <c r="W321" s="229"/>
      <c r="X321" s="229"/>
      <c r="Y321" s="229"/>
    </row>
    <row r="322" spans="1:25">
      <c r="A322" s="126"/>
      <c r="B322" s="117"/>
      <c r="C322" s="117"/>
      <c r="D322" s="117"/>
      <c r="E322" s="117"/>
      <c r="F322" s="117"/>
      <c r="G322" s="117"/>
      <c r="H322" s="117"/>
      <c r="I322" s="117"/>
      <c r="J322" s="117"/>
      <c r="K322" s="117"/>
      <c r="N322" s="126"/>
      <c r="O322" s="482"/>
      <c r="P322" s="528"/>
      <c r="Q322" s="528"/>
      <c r="R322" s="528"/>
      <c r="S322" s="528"/>
      <c r="T322" s="229"/>
      <c r="U322" s="229"/>
      <c r="V322" s="229"/>
      <c r="W322" s="229"/>
      <c r="X322" s="229"/>
      <c r="Y322" s="229"/>
    </row>
    <row r="323" spans="1:25">
      <c r="A323" s="126"/>
      <c r="B323" s="117"/>
      <c r="C323" s="117"/>
      <c r="D323" s="117"/>
      <c r="E323" s="117"/>
      <c r="F323" s="117"/>
      <c r="G323" s="117"/>
      <c r="H323" s="117"/>
      <c r="I323" s="117"/>
      <c r="J323" s="117"/>
      <c r="K323" s="117"/>
      <c r="N323" s="126"/>
      <c r="O323" s="482"/>
      <c r="P323" s="528"/>
      <c r="Q323" s="528"/>
      <c r="R323" s="528"/>
      <c r="S323" s="528"/>
      <c r="T323" s="229"/>
      <c r="U323" s="229"/>
      <c r="V323" s="229"/>
      <c r="W323" s="229"/>
      <c r="X323" s="229"/>
      <c r="Y323" s="229"/>
    </row>
    <row r="324" spans="1:25">
      <c r="A324" s="126"/>
      <c r="B324" s="117"/>
      <c r="C324" s="117"/>
      <c r="D324" s="117"/>
      <c r="E324" s="117"/>
      <c r="F324" s="117"/>
      <c r="G324" s="117"/>
      <c r="H324" s="117"/>
      <c r="I324" s="117"/>
      <c r="J324" s="117"/>
      <c r="K324" s="117"/>
      <c r="N324" s="126"/>
      <c r="O324" s="482"/>
      <c r="P324" s="528"/>
      <c r="Q324" s="528"/>
      <c r="R324" s="528"/>
      <c r="S324" s="528"/>
      <c r="T324" s="229"/>
      <c r="U324" s="229"/>
      <c r="V324" s="229"/>
      <c r="W324" s="229"/>
      <c r="X324" s="229"/>
      <c r="Y324" s="229"/>
    </row>
    <row r="325" spans="1:25">
      <c r="A325" s="126"/>
      <c r="B325" s="117"/>
      <c r="C325" s="117"/>
      <c r="D325" s="117"/>
      <c r="E325" s="117"/>
      <c r="F325" s="117"/>
      <c r="G325" s="117"/>
      <c r="H325" s="117"/>
      <c r="I325" s="117"/>
      <c r="J325" s="117"/>
      <c r="K325" s="117"/>
      <c r="N325" s="126"/>
      <c r="O325" s="482"/>
      <c r="P325" s="528"/>
      <c r="Q325" s="528"/>
      <c r="R325" s="528"/>
      <c r="S325" s="528"/>
      <c r="T325" s="229"/>
      <c r="U325" s="229"/>
      <c r="V325" s="229"/>
      <c r="W325" s="229"/>
      <c r="X325" s="229"/>
      <c r="Y325" s="229"/>
    </row>
    <row r="326" spans="1:25">
      <c r="A326" s="126"/>
      <c r="B326" s="117"/>
      <c r="C326" s="117"/>
      <c r="D326" s="117"/>
      <c r="E326" s="117"/>
      <c r="F326" s="117"/>
      <c r="G326" s="117"/>
      <c r="H326" s="117"/>
      <c r="I326" s="117"/>
      <c r="J326" s="117"/>
      <c r="K326" s="117"/>
      <c r="N326" s="126"/>
      <c r="O326" s="482"/>
      <c r="P326" s="528"/>
      <c r="Q326" s="528"/>
      <c r="R326" s="528"/>
      <c r="S326" s="528"/>
      <c r="T326" s="229"/>
      <c r="U326" s="229"/>
      <c r="V326" s="229"/>
      <c r="W326" s="229"/>
      <c r="X326" s="229"/>
      <c r="Y326" s="229"/>
    </row>
    <row r="327" spans="1:25">
      <c r="A327" s="126"/>
      <c r="B327" s="117"/>
      <c r="C327" s="117"/>
      <c r="D327" s="117"/>
      <c r="E327" s="117"/>
      <c r="F327" s="117"/>
      <c r="G327" s="117"/>
      <c r="H327" s="117"/>
      <c r="I327" s="117"/>
      <c r="J327" s="117"/>
      <c r="K327" s="117"/>
      <c r="N327" s="126"/>
      <c r="O327" s="482"/>
      <c r="P327" s="528"/>
      <c r="Q327" s="528"/>
      <c r="R327" s="528"/>
      <c r="S327" s="528"/>
      <c r="T327" s="229"/>
      <c r="U327" s="229"/>
      <c r="V327" s="229"/>
      <c r="W327" s="229"/>
      <c r="X327" s="229"/>
      <c r="Y327" s="229"/>
    </row>
    <row r="328" spans="1:25">
      <c r="A328" s="126"/>
      <c r="B328" s="117"/>
      <c r="C328" s="117"/>
      <c r="D328" s="117"/>
      <c r="E328" s="117"/>
      <c r="F328" s="117"/>
      <c r="G328" s="117"/>
      <c r="H328" s="117"/>
      <c r="I328" s="117"/>
      <c r="J328" s="117"/>
      <c r="K328" s="117"/>
      <c r="N328" s="126"/>
      <c r="O328" s="482"/>
      <c r="P328" s="528"/>
      <c r="Q328" s="528"/>
      <c r="R328" s="528"/>
      <c r="S328" s="528"/>
      <c r="T328" s="229"/>
      <c r="U328" s="229"/>
      <c r="V328" s="229"/>
      <c r="W328" s="229"/>
      <c r="X328" s="229"/>
      <c r="Y328" s="229"/>
    </row>
    <row r="329" spans="1:25">
      <c r="A329" s="126"/>
      <c r="B329" s="117"/>
      <c r="C329" s="117"/>
      <c r="D329" s="117"/>
      <c r="E329" s="117"/>
      <c r="F329" s="117"/>
      <c r="G329" s="117"/>
      <c r="H329" s="117"/>
      <c r="I329" s="117"/>
      <c r="J329" s="117"/>
      <c r="K329" s="117"/>
      <c r="N329" s="126"/>
      <c r="O329" s="482"/>
      <c r="P329" s="528"/>
      <c r="Q329" s="528"/>
      <c r="R329" s="528"/>
      <c r="S329" s="528"/>
      <c r="T329" s="229"/>
      <c r="U329" s="229"/>
      <c r="V329" s="229"/>
      <c r="W329" s="229"/>
      <c r="X329" s="229"/>
      <c r="Y329" s="229"/>
    </row>
    <row r="330" spans="1:25">
      <c r="B330" s="118"/>
      <c r="C330" s="118"/>
      <c r="D330" s="118"/>
      <c r="E330" s="118"/>
      <c r="F330" s="118"/>
      <c r="G330" s="118"/>
      <c r="H330" s="118"/>
      <c r="I330" s="118"/>
      <c r="J330" s="117"/>
      <c r="K330" s="117"/>
      <c r="N330" s="126"/>
      <c r="O330" s="482"/>
      <c r="P330" s="528"/>
      <c r="Q330" s="528"/>
      <c r="R330" s="528"/>
      <c r="S330" s="528"/>
      <c r="T330" s="229"/>
      <c r="U330" s="229"/>
      <c r="V330" s="229"/>
      <c r="W330" s="229"/>
      <c r="X330" s="229"/>
      <c r="Y330" s="229"/>
    </row>
    <row r="331" spans="1:25">
      <c r="B331" s="118"/>
      <c r="C331" s="118"/>
      <c r="D331" s="118"/>
      <c r="E331" s="118"/>
      <c r="F331" s="118"/>
      <c r="G331" s="118"/>
      <c r="H331" s="118"/>
      <c r="I331" s="118"/>
      <c r="J331" s="118"/>
      <c r="K331" s="118"/>
      <c r="N331" s="126"/>
      <c r="O331" s="482"/>
      <c r="P331" s="528"/>
      <c r="Q331" s="528"/>
      <c r="R331" s="528"/>
      <c r="S331" s="528"/>
      <c r="T331" s="229"/>
      <c r="U331" s="229"/>
      <c r="V331" s="229"/>
      <c r="W331" s="229"/>
      <c r="X331" s="229"/>
      <c r="Y331" s="229"/>
    </row>
    <row r="332" spans="1:25">
      <c r="B332" s="118"/>
      <c r="C332" s="118"/>
      <c r="D332" s="118"/>
      <c r="E332" s="118"/>
      <c r="F332" s="118"/>
      <c r="G332" s="118"/>
      <c r="H332" s="118"/>
      <c r="I332" s="118"/>
      <c r="J332" s="118"/>
      <c r="K332" s="118"/>
      <c r="N332" s="126"/>
      <c r="O332" s="482"/>
      <c r="P332" s="528"/>
      <c r="Q332" s="528"/>
      <c r="R332" s="528"/>
      <c r="S332" s="528"/>
      <c r="T332" s="229"/>
      <c r="U332" s="229"/>
      <c r="V332" s="229"/>
      <c r="W332" s="229"/>
      <c r="X332" s="229"/>
      <c r="Y332" s="229"/>
    </row>
    <row r="333" spans="1:25">
      <c r="B333" s="118"/>
      <c r="C333" s="118"/>
      <c r="D333" s="118"/>
      <c r="E333" s="118"/>
      <c r="F333" s="118"/>
      <c r="G333" s="118"/>
      <c r="H333" s="118"/>
      <c r="I333" s="118"/>
      <c r="J333" s="118"/>
      <c r="K333" s="118"/>
      <c r="N333" s="118"/>
      <c r="O333" s="482"/>
      <c r="P333" s="528"/>
      <c r="Q333" s="528"/>
      <c r="R333" s="528"/>
      <c r="S333" s="528"/>
      <c r="T333" s="229"/>
      <c r="U333" s="229"/>
      <c r="V333" s="229"/>
      <c r="W333" s="229"/>
      <c r="X333" s="229"/>
      <c r="Y333" s="229"/>
    </row>
    <row r="334" spans="1:25">
      <c r="B334" s="118"/>
      <c r="C334" s="118"/>
      <c r="D334" s="118"/>
      <c r="E334" s="118"/>
      <c r="F334" s="118"/>
      <c r="G334" s="118"/>
      <c r="H334" s="118"/>
      <c r="I334" s="118"/>
      <c r="J334" s="118"/>
      <c r="K334" s="118"/>
      <c r="N334" s="118"/>
      <c r="O334" s="482"/>
      <c r="P334" s="528"/>
      <c r="Q334" s="528"/>
      <c r="R334" s="528"/>
      <c r="S334" s="528"/>
      <c r="T334" s="229"/>
      <c r="U334" s="229"/>
      <c r="V334" s="229"/>
      <c r="W334" s="229"/>
      <c r="X334" s="229"/>
      <c r="Y334" s="229"/>
    </row>
    <row r="335" spans="1:25">
      <c r="B335" s="118"/>
      <c r="C335" s="118"/>
      <c r="D335" s="118"/>
      <c r="E335" s="118"/>
      <c r="F335" s="118"/>
      <c r="G335" s="118"/>
      <c r="H335" s="118"/>
      <c r="I335" s="118"/>
      <c r="J335" s="118"/>
      <c r="K335" s="118"/>
      <c r="N335" s="118"/>
      <c r="O335" s="482"/>
      <c r="P335" s="528"/>
      <c r="Q335" s="528"/>
      <c r="R335" s="528"/>
      <c r="S335" s="528"/>
      <c r="T335" s="229"/>
      <c r="U335" s="229"/>
      <c r="V335" s="229"/>
      <c r="W335" s="229"/>
      <c r="X335" s="229"/>
      <c r="Y335" s="229"/>
    </row>
    <row r="336" spans="1:25">
      <c r="B336" s="118"/>
      <c r="C336" s="118"/>
      <c r="D336" s="118"/>
      <c r="E336" s="118"/>
      <c r="F336" s="118"/>
      <c r="G336" s="118"/>
      <c r="H336" s="118"/>
      <c r="I336" s="118"/>
      <c r="J336" s="118"/>
      <c r="K336" s="118"/>
      <c r="N336" s="118"/>
      <c r="O336" s="482"/>
      <c r="P336" s="528"/>
      <c r="Q336" s="528"/>
      <c r="R336" s="528"/>
      <c r="S336" s="528"/>
      <c r="T336" s="229"/>
      <c r="U336" s="229"/>
      <c r="V336" s="229"/>
      <c r="W336" s="229"/>
      <c r="X336" s="229"/>
      <c r="Y336" s="229"/>
    </row>
    <row r="337" spans="2:25">
      <c r="B337" s="118"/>
      <c r="C337" s="118"/>
      <c r="D337" s="118"/>
      <c r="E337" s="118"/>
      <c r="F337" s="118"/>
      <c r="G337" s="118"/>
      <c r="H337" s="118"/>
      <c r="I337" s="118"/>
      <c r="J337" s="118"/>
      <c r="K337" s="118"/>
      <c r="N337" s="118"/>
      <c r="O337" s="482"/>
      <c r="P337" s="528"/>
      <c r="Q337" s="528"/>
      <c r="R337" s="528"/>
      <c r="S337" s="528"/>
      <c r="T337" s="229"/>
      <c r="U337" s="229"/>
      <c r="V337" s="229"/>
      <c r="W337" s="229"/>
      <c r="X337" s="229"/>
      <c r="Y337" s="229"/>
    </row>
    <row r="338" spans="2:25">
      <c r="B338" s="118"/>
      <c r="C338" s="118"/>
      <c r="D338" s="118"/>
      <c r="E338" s="118"/>
      <c r="F338" s="118"/>
      <c r="G338" s="118"/>
      <c r="H338" s="118"/>
      <c r="I338" s="118"/>
      <c r="J338" s="118"/>
      <c r="K338" s="118"/>
      <c r="N338" s="118"/>
    </row>
    <row r="339" spans="2:25">
      <c r="J339" s="118"/>
      <c r="K339" s="118"/>
      <c r="N339" s="118"/>
    </row>
    <row r="340" spans="2:25">
      <c r="N340" s="118"/>
    </row>
    <row r="341" spans="2:25">
      <c r="N341" s="118"/>
    </row>
  </sheetData>
  <mergeCells count="30">
    <mergeCell ref="B285:K285"/>
    <mergeCell ref="L223:N223"/>
    <mergeCell ref="C274:D274"/>
    <mergeCell ref="B282:K282"/>
    <mergeCell ref="B283:K283"/>
    <mergeCell ref="B284:K284"/>
    <mergeCell ref="B298:K298"/>
    <mergeCell ref="B286:K286"/>
    <mergeCell ref="B287:K287"/>
    <mergeCell ref="B288:K288"/>
    <mergeCell ref="B289:K289"/>
    <mergeCell ref="B290:K290"/>
    <mergeCell ref="B291:K291"/>
    <mergeCell ref="B292:K292"/>
    <mergeCell ref="E294:K294"/>
    <mergeCell ref="E295:K295"/>
    <mergeCell ref="B296:K296"/>
    <mergeCell ref="B297:K297"/>
    <mergeCell ref="B310:K310"/>
    <mergeCell ref="B299:K299"/>
    <mergeCell ref="B301:K301"/>
    <mergeCell ref="B302:K302"/>
    <mergeCell ref="B303:K303"/>
    <mergeCell ref="B304:K304"/>
    <mergeCell ref="B305:K305"/>
    <mergeCell ref="B306:K306"/>
    <mergeCell ref="B307:K307"/>
    <mergeCell ref="B308:K308"/>
    <mergeCell ref="B309:K309"/>
    <mergeCell ref="B300:K300"/>
  </mergeCells>
  <pageMargins left="0.5" right="0.5" top="0.75" bottom="0.75" header="0.09" footer="0.5"/>
  <pageSetup scale="63" fitToHeight="5" orientation="portrait" horizontalDpi="300" verticalDpi="300" r:id="rId1"/>
  <headerFooter alignWithMargins="0"/>
  <rowBreaks count="4" manualBreakCount="4">
    <brk id="71" max="10" man="1"/>
    <brk id="137" max="10" man="1"/>
    <brk id="204" max="10" man="1"/>
    <brk id="271"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41"/>
  <sheetViews>
    <sheetView workbookViewId="0">
      <selection activeCell="N35" sqref="N35:N36"/>
    </sheetView>
  </sheetViews>
  <sheetFormatPr defaultColWidth="8.90625" defaultRowHeight="14.4"/>
  <cols>
    <col min="1" max="1" width="10.453125" style="460" customWidth="1"/>
    <col min="2" max="2" width="10.36328125" style="460" customWidth="1"/>
    <col min="3" max="3" width="11" style="460" customWidth="1"/>
    <col min="4" max="4" width="10.36328125" style="460" customWidth="1"/>
    <col min="5" max="5" width="8.90625" style="460"/>
    <col min="6" max="6" width="9.6328125" style="460" customWidth="1"/>
    <col min="7" max="7" width="14.36328125" style="460" customWidth="1"/>
    <col min="8" max="8" width="1.90625" style="462" customWidth="1"/>
    <col min="9" max="9" width="9" style="460" bestFit="1" customWidth="1"/>
    <col min="10" max="10" width="9.81640625" style="460" customWidth="1"/>
    <col min="11" max="16384" width="8.90625" style="460"/>
  </cols>
  <sheetData>
    <row r="1" spans="1:10">
      <c r="A1" s="522" t="str">
        <f>+'Schedule 2'!A1:F1</f>
        <v>Detroit Lakes (Minnesota) Public Utilities</v>
      </c>
      <c r="B1" s="523"/>
      <c r="C1" s="523"/>
      <c r="D1" s="523"/>
      <c r="E1" s="523"/>
      <c r="F1" s="523"/>
      <c r="G1" s="523"/>
      <c r="H1" s="523"/>
      <c r="I1" s="523"/>
      <c r="J1" s="523"/>
    </row>
    <row r="2" spans="1:10">
      <c r="A2" s="524" t="str">
        <f>+'Schedule 2'!A4:F4</f>
        <v>For the Year Ended December 31, 2014</v>
      </c>
      <c r="B2" s="524"/>
      <c r="C2" s="524"/>
      <c r="D2" s="524"/>
      <c r="E2" s="524"/>
      <c r="F2" s="524"/>
      <c r="G2" s="524"/>
      <c r="H2" s="524"/>
      <c r="I2" s="524"/>
      <c r="J2" s="524"/>
    </row>
    <row r="3" spans="1:10">
      <c r="B3" s="461"/>
      <c r="C3" s="461"/>
    </row>
    <row r="4" spans="1:10">
      <c r="B4" s="270"/>
      <c r="C4" s="270"/>
    </row>
    <row r="5" spans="1:10">
      <c r="A5" s="271"/>
      <c r="B5" s="271"/>
      <c r="C5" s="271"/>
      <c r="D5" s="271"/>
      <c r="E5" s="476"/>
      <c r="F5" s="476"/>
      <c r="G5" s="300" t="s">
        <v>930</v>
      </c>
      <c r="H5" s="460"/>
    </row>
    <row r="6" spans="1:10">
      <c r="A6" s="463"/>
      <c r="B6" s="463"/>
      <c r="C6" s="463"/>
      <c r="E6" s="477" t="s">
        <v>880</v>
      </c>
      <c r="F6" s="477" t="s">
        <v>881</v>
      </c>
      <c r="G6" s="300" t="s">
        <v>856</v>
      </c>
      <c r="H6" s="460"/>
    </row>
    <row r="7" spans="1:10">
      <c r="A7" s="463"/>
      <c r="B7" s="463"/>
      <c r="C7" s="463"/>
      <c r="D7" s="463"/>
      <c r="E7" s="478">
        <v>735.97</v>
      </c>
      <c r="F7" s="478">
        <v>25.55</v>
      </c>
      <c r="G7" s="464">
        <f t="shared" ref="G7:G18" si="0">+E7+F7</f>
        <v>761.52</v>
      </c>
      <c r="H7" s="460"/>
    </row>
    <row r="8" spans="1:10">
      <c r="A8" s="463"/>
      <c r="B8" s="463"/>
      <c r="C8" s="463"/>
      <c r="D8" s="463"/>
      <c r="E8" s="478">
        <v>713.61</v>
      </c>
      <c r="F8" s="478">
        <v>22.97</v>
      </c>
      <c r="G8" s="464">
        <f t="shared" si="0"/>
        <v>736.58</v>
      </c>
      <c r="H8" s="460"/>
    </row>
    <row r="9" spans="1:10">
      <c r="A9" s="463"/>
      <c r="B9" s="463"/>
      <c r="C9" s="463"/>
      <c r="D9" s="463"/>
      <c r="E9" s="478">
        <v>870.62</v>
      </c>
      <c r="F9" s="478">
        <v>25.35</v>
      </c>
      <c r="G9" s="464">
        <f t="shared" si="0"/>
        <v>895.97</v>
      </c>
      <c r="H9" s="460"/>
    </row>
    <row r="10" spans="1:10">
      <c r="A10" s="463"/>
      <c r="B10" s="463"/>
      <c r="C10" s="463"/>
      <c r="D10" s="463"/>
      <c r="E10" s="478">
        <v>689.59</v>
      </c>
      <c r="F10" s="478">
        <v>24.59</v>
      </c>
      <c r="G10" s="464">
        <f t="shared" si="0"/>
        <v>714.18000000000006</v>
      </c>
      <c r="H10" s="460"/>
    </row>
    <row r="11" spans="1:10">
      <c r="A11" s="463"/>
      <c r="B11" s="463"/>
      <c r="C11" s="463"/>
      <c r="D11" s="463"/>
      <c r="E11" s="478">
        <v>1038.92</v>
      </c>
      <c r="F11" s="478">
        <v>25.53</v>
      </c>
      <c r="G11" s="464">
        <f t="shared" si="0"/>
        <v>1064.45</v>
      </c>
      <c r="H11" s="273"/>
    </row>
    <row r="12" spans="1:10">
      <c r="A12" s="463"/>
      <c r="B12" s="463"/>
      <c r="C12" s="463"/>
      <c r="D12" s="463"/>
      <c r="E12" s="478">
        <v>920.88</v>
      </c>
      <c r="F12" s="478">
        <v>24.57</v>
      </c>
      <c r="G12" s="464">
        <f t="shared" si="0"/>
        <v>945.45</v>
      </c>
      <c r="H12" s="273"/>
    </row>
    <row r="13" spans="1:10">
      <c r="A13" s="463"/>
      <c r="B13" s="463"/>
      <c r="C13" s="463"/>
      <c r="D13" s="463"/>
      <c r="E13" s="478">
        <v>974.64</v>
      </c>
      <c r="F13" s="478">
        <v>25.36</v>
      </c>
      <c r="G13" s="464">
        <f t="shared" si="0"/>
        <v>1000</v>
      </c>
      <c r="H13" s="460"/>
    </row>
    <row r="14" spans="1:10">
      <c r="A14" s="463"/>
      <c r="B14" s="463"/>
      <c r="C14" s="463"/>
      <c r="D14" s="463"/>
      <c r="E14" s="478">
        <v>991.96</v>
      </c>
      <c r="F14" s="478">
        <v>25.56</v>
      </c>
      <c r="G14" s="464">
        <f t="shared" si="0"/>
        <v>1017.52</v>
      </c>
      <c r="H14" s="460"/>
    </row>
    <row r="15" spans="1:10">
      <c r="A15" s="463"/>
      <c r="B15" s="463"/>
      <c r="C15" s="463"/>
      <c r="D15" s="463"/>
      <c r="E15" s="478">
        <v>986.31</v>
      </c>
      <c r="F15" s="478">
        <v>24.64</v>
      </c>
      <c r="G15" s="464">
        <f t="shared" si="0"/>
        <v>1010.9499999999999</v>
      </c>
      <c r="H15" s="460"/>
    </row>
    <row r="16" spans="1:10">
      <c r="A16" s="463"/>
      <c r="B16" s="463"/>
      <c r="C16" s="463"/>
      <c r="D16" s="463"/>
      <c r="E16" s="478">
        <v>920.01</v>
      </c>
      <c r="F16" s="478">
        <v>25.45</v>
      </c>
      <c r="G16" s="464">
        <f t="shared" si="0"/>
        <v>945.46</v>
      </c>
      <c r="H16" s="460"/>
    </row>
    <row r="17" spans="1:9">
      <c r="A17" s="463"/>
      <c r="B17" s="463"/>
      <c r="C17" s="463"/>
      <c r="D17" s="463"/>
      <c r="E17" s="478">
        <v>779.14</v>
      </c>
      <c r="F17" s="478">
        <v>24.69</v>
      </c>
      <c r="G17" s="464">
        <f t="shared" si="0"/>
        <v>803.83</v>
      </c>
      <c r="H17" s="460"/>
    </row>
    <row r="18" spans="1:9">
      <c r="A18" s="272"/>
      <c r="B18" s="272"/>
      <c r="C18" s="272"/>
      <c r="D18" s="272"/>
      <c r="E18" s="478">
        <v>0</v>
      </c>
      <c r="F18" s="478">
        <v>0</v>
      </c>
      <c r="G18" s="464">
        <f t="shared" si="0"/>
        <v>0</v>
      </c>
      <c r="H18" s="460"/>
      <c r="I18" s="460" t="s">
        <v>954</v>
      </c>
    </row>
    <row r="19" spans="1:9" ht="15" thickBot="1">
      <c r="A19" s="463"/>
      <c r="B19" s="463"/>
      <c r="C19" s="463"/>
      <c r="D19" s="463"/>
      <c r="E19" s="465">
        <f>SUM(E7:E18)</f>
        <v>9621.65</v>
      </c>
      <c r="F19" s="465">
        <f>SUM(F7:F18)</f>
        <v>274.26</v>
      </c>
      <c r="G19" s="469">
        <f>SUM(G7:G18)</f>
        <v>9895.91</v>
      </c>
      <c r="H19" s="460"/>
      <c r="I19" s="460" t="s">
        <v>955</v>
      </c>
    </row>
    <row r="20" spans="1:9" ht="15" thickTop="1">
      <c r="A20" s="463"/>
      <c r="B20" s="463"/>
      <c r="C20" s="463"/>
      <c r="D20" s="463"/>
      <c r="E20" s="479"/>
      <c r="F20" s="476"/>
      <c r="G20" s="464"/>
      <c r="H20" s="460"/>
    </row>
    <row r="21" spans="1:9">
      <c r="D21" s="463"/>
      <c r="E21" s="476"/>
      <c r="F21" s="476"/>
      <c r="G21" s="464"/>
      <c r="H21" s="460"/>
    </row>
    <row r="22" spans="1:9">
      <c r="A22" s="290" t="s">
        <v>867</v>
      </c>
      <c r="D22" s="463"/>
      <c r="E22" s="476"/>
      <c r="F22" s="476"/>
      <c r="G22" s="301"/>
      <c r="H22" s="460"/>
    </row>
    <row r="23" spans="1:9">
      <c r="A23" s="466" t="s">
        <v>868</v>
      </c>
      <c r="D23" s="463"/>
      <c r="E23" s="476"/>
      <c r="F23" s="476"/>
      <c r="G23" s="302">
        <f>+E19</f>
        <v>9621.65</v>
      </c>
      <c r="H23" s="460"/>
    </row>
    <row r="24" spans="1:9">
      <c r="A24" s="466" t="s">
        <v>869</v>
      </c>
      <c r="D24" s="463"/>
      <c r="G24" s="302">
        <f>+F19</f>
        <v>274.26</v>
      </c>
      <c r="H24" s="460"/>
    </row>
    <row r="25" spans="1:9">
      <c r="A25" s="466" t="s">
        <v>870</v>
      </c>
      <c r="D25" s="463"/>
      <c r="G25" s="302">
        <v>0</v>
      </c>
      <c r="H25" s="460"/>
    </row>
    <row r="26" spans="1:9">
      <c r="A26" s="466" t="s">
        <v>871</v>
      </c>
      <c r="D26" s="463"/>
      <c r="G26" s="302">
        <v>0</v>
      </c>
      <c r="H26" s="460"/>
    </row>
    <row r="27" spans="1:9">
      <c r="A27" s="466" t="s">
        <v>872</v>
      </c>
      <c r="G27" s="302">
        <v>0</v>
      </c>
      <c r="H27" s="460"/>
    </row>
    <row r="28" spans="1:9">
      <c r="A28" s="466" t="s">
        <v>873</v>
      </c>
      <c r="G28" s="302">
        <v>0</v>
      </c>
      <c r="H28" s="460"/>
    </row>
    <row r="29" spans="1:9">
      <c r="A29" s="466" t="s">
        <v>874</v>
      </c>
      <c r="G29" s="302">
        <v>0</v>
      </c>
      <c r="H29" s="460"/>
    </row>
    <row r="30" spans="1:9">
      <c r="A30" s="466" t="s">
        <v>875</v>
      </c>
      <c r="G30" s="302">
        <v>0</v>
      </c>
      <c r="H30" s="460"/>
    </row>
    <row r="31" spans="1:9">
      <c r="A31" s="466" t="s">
        <v>875</v>
      </c>
      <c r="G31" s="302">
        <v>0</v>
      </c>
      <c r="H31" s="460"/>
    </row>
    <row r="32" spans="1:9">
      <c r="A32" s="466" t="s">
        <v>876</v>
      </c>
      <c r="G32" s="294">
        <f>SUM(G23:G31)</f>
        <v>9895.91</v>
      </c>
      <c r="H32" s="460"/>
    </row>
    <row r="33" spans="1:8">
      <c r="A33" s="466"/>
      <c r="G33" s="295"/>
      <c r="H33" s="460"/>
    </row>
    <row r="34" spans="1:8">
      <c r="A34" s="466"/>
      <c r="G34" s="296"/>
      <c r="H34" s="460"/>
    </row>
    <row r="35" spans="1:8">
      <c r="A35" s="291" t="s">
        <v>140</v>
      </c>
      <c r="G35" s="296">
        <f>G32</f>
        <v>9895.91</v>
      </c>
      <c r="H35" s="460"/>
    </row>
    <row r="36" spans="1:8">
      <c r="A36" s="292" t="s">
        <v>877</v>
      </c>
      <c r="G36" s="296">
        <f>G25+G26+G24+G27</f>
        <v>274.26</v>
      </c>
      <c r="H36" s="460"/>
    </row>
    <row r="37" spans="1:8">
      <c r="A37" s="293" t="s">
        <v>799</v>
      </c>
      <c r="G37" s="296">
        <f>G28</f>
        <v>0</v>
      </c>
      <c r="H37" s="460"/>
    </row>
    <row r="38" spans="1:8">
      <c r="A38" s="293" t="s">
        <v>800</v>
      </c>
      <c r="G38" s="296">
        <f>G29</f>
        <v>0</v>
      </c>
      <c r="H38" s="460"/>
    </row>
    <row r="39" spans="1:8">
      <c r="A39" s="293" t="s">
        <v>878</v>
      </c>
      <c r="G39" s="297">
        <f>G35-G36-G37-G38</f>
        <v>9621.65</v>
      </c>
      <c r="H39" s="460"/>
    </row>
    <row r="40" spans="1:8">
      <c r="H40" s="467"/>
    </row>
    <row r="41" spans="1:8">
      <c r="H41" s="468"/>
    </row>
  </sheetData>
  <mergeCells count="2">
    <mergeCell ref="A1:J1"/>
    <mergeCell ref="A2:J2"/>
  </mergeCells>
  <pageMargins left="0.2" right="0.2" top="0.5" bottom="0.25" header="0.3" footer="0.3"/>
  <pageSetup scale="89"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K32"/>
  <sheetViews>
    <sheetView zoomScale="90" zoomScaleNormal="90" workbookViewId="0">
      <selection activeCell="J33" sqref="J33"/>
    </sheetView>
  </sheetViews>
  <sheetFormatPr defaultColWidth="8.90625" defaultRowHeight="15.6"/>
  <cols>
    <col min="1" max="1" width="7.08984375" style="111" bestFit="1" customWidth="1"/>
    <col min="2" max="2" width="38.81640625" style="109" customWidth="1"/>
    <col min="3" max="3" width="1.81640625" style="109" customWidth="1"/>
    <col min="4" max="4" width="9.90625" style="274" bestFit="1" customWidth="1"/>
    <col min="5" max="5" width="8.90625" style="109"/>
    <col min="6" max="6" width="9.81640625" style="109" customWidth="1"/>
    <col min="7" max="7" width="9.6328125" style="109" bestFit="1" customWidth="1"/>
    <col min="8" max="8" width="8.90625" style="109"/>
    <col min="9" max="9" width="13.81640625" style="109" customWidth="1"/>
    <col min="10" max="10" width="13.453125" style="109" customWidth="1"/>
    <col min="11" max="16384" width="8.90625" style="109"/>
  </cols>
  <sheetData>
    <row r="1" spans="1:11">
      <c r="A1" s="526" t="s">
        <v>809</v>
      </c>
      <c r="B1" s="514"/>
      <c r="C1" s="514"/>
      <c r="D1" s="514"/>
      <c r="E1" s="514"/>
    </row>
    <row r="2" spans="1:11">
      <c r="A2" s="514" t="s">
        <v>773</v>
      </c>
      <c r="B2" s="514"/>
      <c r="C2" s="514"/>
      <c r="D2" s="514"/>
      <c r="E2" s="514"/>
    </row>
    <row r="3" spans="1:11">
      <c r="A3" s="512" t="s">
        <v>883</v>
      </c>
      <c r="B3" s="512"/>
      <c r="C3" s="512"/>
      <c r="D3" s="512"/>
      <c r="E3" s="512"/>
      <c r="F3" s="274"/>
      <c r="G3" s="274"/>
      <c r="H3" s="274"/>
      <c r="I3" s="274"/>
      <c r="J3" s="274"/>
      <c r="K3" s="274"/>
    </row>
    <row r="4" spans="1:11">
      <c r="A4" s="527"/>
      <c r="B4" s="527"/>
      <c r="C4" s="527"/>
      <c r="D4" s="527"/>
      <c r="E4" s="527"/>
      <c r="F4" s="274"/>
      <c r="G4" s="274"/>
      <c r="H4" s="274"/>
      <c r="I4" s="274"/>
      <c r="J4" s="274"/>
      <c r="K4" s="274"/>
    </row>
    <row r="5" spans="1:11">
      <c r="A5" s="473" t="s">
        <v>774</v>
      </c>
      <c r="B5" s="274"/>
      <c r="C5" s="274"/>
      <c r="E5" s="274"/>
      <c r="F5" s="274"/>
      <c r="G5" s="274"/>
      <c r="H5" s="274"/>
      <c r="I5" s="274"/>
      <c r="J5" s="274"/>
      <c r="K5" s="274"/>
    </row>
    <row r="6" spans="1:11">
      <c r="A6" s="474">
        <v>1</v>
      </c>
      <c r="B6" s="274" t="s">
        <v>775</v>
      </c>
      <c r="C6" s="274"/>
      <c r="D6" s="276">
        <v>0</v>
      </c>
      <c r="E6" s="274"/>
      <c r="F6" s="274" t="s">
        <v>956</v>
      </c>
      <c r="G6" s="274"/>
      <c r="H6" s="274"/>
      <c r="I6" s="274"/>
      <c r="J6" s="274"/>
      <c r="K6" s="274"/>
    </row>
    <row r="7" spans="1:11">
      <c r="A7" s="475"/>
      <c r="B7" s="274" t="s">
        <v>776</v>
      </c>
      <c r="C7" s="274"/>
      <c r="E7" s="274"/>
      <c r="F7" s="274"/>
      <c r="G7" s="274"/>
      <c r="H7" s="274"/>
      <c r="I7" s="274"/>
      <c r="J7" s="274"/>
      <c r="K7" s="274"/>
    </row>
    <row r="8" spans="1:11">
      <c r="A8" s="475"/>
      <c r="B8" s="274" t="s">
        <v>777</v>
      </c>
      <c r="C8" s="274"/>
      <c r="E8" s="274"/>
      <c r="F8" s="274"/>
      <c r="G8" s="274"/>
      <c r="H8" s="274"/>
      <c r="I8" s="274"/>
      <c r="J8" s="274"/>
      <c r="K8" s="274"/>
    </row>
    <row r="9" spans="1:11">
      <c r="A9" s="475"/>
      <c r="B9" s="274"/>
      <c r="C9" s="274"/>
      <c r="E9" s="274"/>
      <c r="F9" s="274"/>
      <c r="G9" s="274"/>
      <c r="H9" s="274"/>
      <c r="I9" s="274"/>
      <c r="J9" s="274"/>
      <c r="K9" s="274"/>
    </row>
    <row r="10" spans="1:11">
      <c r="A10" s="474">
        <v>2</v>
      </c>
      <c r="B10" s="274" t="s">
        <v>929</v>
      </c>
      <c r="C10" s="274"/>
      <c r="E10" s="274"/>
      <c r="F10" s="274"/>
      <c r="G10" s="274"/>
      <c r="H10" s="274"/>
      <c r="I10" s="274"/>
      <c r="J10" s="274"/>
      <c r="K10" s="274"/>
    </row>
    <row r="11" spans="1:11">
      <c r="A11" s="475"/>
      <c r="B11" s="274" t="s">
        <v>778</v>
      </c>
      <c r="C11" s="274"/>
      <c r="D11" s="275">
        <v>0</v>
      </c>
      <c r="E11" s="274"/>
      <c r="F11" s="274" t="s">
        <v>866</v>
      </c>
      <c r="G11" s="274"/>
      <c r="H11" s="274"/>
      <c r="I11" s="274"/>
      <c r="J11" s="274"/>
      <c r="K11" s="274"/>
    </row>
    <row r="12" spans="1:11">
      <c r="A12" s="475"/>
      <c r="B12" s="274" t="s">
        <v>779</v>
      </c>
      <c r="C12" s="274"/>
      <c r="D12" s="275">
        <v>964430</v>
      </c>
      <c r="E12" s="274"/>
      <c r="F12" s="274"/>
      <c r="G12" s="285"/>
      <c r="H12" s="286"/>
      <c r="I12" s="286"/>
      <c r="J12" s="286"/>
      <c r="K12" s="274"/>
    </row>
    <row r="13" spans="1:11">
      <c r="A13" s="475"/>
      <c r="B13" s="274" t="s">
        <v>794</v>
      </c>
      <c r="C13" s="274"/>
      <c r="D13" s="275">
        <v>0</v>
      </c>
      <c r="E13" s="274"/>
      <c r="F13" s="274"/>
      <c r="G13" s="286"/>
      <c r="H13" s="286"/>
      <c r="I13" s="286"/>
      <c r="J13" s="286"/>
      <c r="K13" s="274"/>
    </row>
    <row r="14" spans="1:11">
      <c r="A14" s="475"/>
      <c r="B14" s="274" t="s">
        <v>780</v>
      </c>
      <c r="C14" s="274"/>
      <c r="D14" s="298">
        <f>SUM(D11:D13)</f>
        <v>964430</v>
      </c>
      <c r="E14" s="274"/>
      <c r="F14" s="274"/>
      <c r="G14" s="274"/>
      <c r="H14" s="274"/>
      <c r="I14" s="274"/>
      <c r="J14" s="274"/>
      <c r="K14" s="274"/>
    </row>
    <row r="15" spans="1:11">
      <c r="A15" s="475"/>
      <c r="B15" s="274"/>
      <c r="C15" s="274"/>
      <c r="E15" s="274"/>
      <c r="F15" s="274"/>
      <c r="G15" s="274"/>
      <c r="H15" s="274"/>
      <c r="I15" s="274"/>
      <c r="J15" s="274"/>
      <c r="K15" s="274"/>
    </row>
    <row r="16" spans="1:11">
      <c r="A16" s="474">
        <v>3</v>
      </c>
      <c r="B16" s="274" t="s">
        <v>781</v>
      </c>
      <c r="C16" s="274"/>
      <c r="D16" s="276">
        <v>0</v>
      </c>
      <c r="E16" s="274"/>
      <c r="F16" s="274"/>
      <c r="G16" s="274"/>
      <c r="H16" s="274"/>
      <c r="I16" s="274"/>
      <c r="J16" s="274"/>
      <c r="K16" s="274"/>
    </row>
    <row r="17" spans="1:11">
      <c r="A17" s="475"/>
      <c r="B17" s="274" t="s">
        <v>782</v>
      </c>
      <c r="C17" s="274"/>
      <c r="E17" s="274"/>
      <c r="F17" s="274"/>
      <c r="G17" s="274"/>
      <c r="H17" s="274"/>
      <c r="I17" s="274"/>
      <c r="J17" s="274"/>
      <c r="K17" s="274"/>
    </row>
    <row r="18" spans="1:11">
      <c r="A18" s="475"/>
      <c r="B18" s="274"/>
      <c r="C18" s="274"/>
      <c r="E18" s="274"/>
      <c r="F18" s="274"/>
      <c r="G18" s="274"/>
      <c r="H18" s="274"/>
      <c r="I18" s="274"/>
      <c r="J18" s="274"/>
      <c r="K18" s="274"/>
    </row>
    <row r="19" spans="1:11">
      <c r="A19" s="474">
        <v>4</v>
      </c>
      <c r="B19" s="274" t="s">
        <v>781</v>
      </c>
      <c r="C19" s="274"/>
      <c r="D19" s="276">
        <v>0</v>
      </c>
      <c r="E19" s="274"/>
      <c r="F19" s="274"/>
      <c r="G19" s="274"/>
      <c r="H19" s="274"/>
      <c r="I19" s="274"/>
      <c r="J19" s="274"/>
      <c r="K19" s="274"/>
    </row>
    <row r="20" spans="1:11">
      <c r="A20" s="475"/>
      <c r="B20" s="274" t="s">
        <v>783</v>
      </c>
      <c r="C20" s="274"/>
      <c r="E20" s="274"/>
      <c r="F20" s="274"/>
      <c r="G20" s="274"/>
      <c r="H20" s="274"/>
      <c r="I20" s="274"/>
      <c r="J20" s="274"/>
      <c r="K20" s="274"/>
    </row>
    <row r="21" spans="1:11">
      <c r="A21" s="475"/>
      <c r="B21" s="274" t="s">
        <v>782</v>
      </c>
      <c r="C21" s="274"/>
      <c r="E21" s="274"/>
      <c r="F21" s="274"/>
      <c r="G21" s="274"/>
      <c r="H21" s="274"/>
      <c r="I21" s="274"/>
      <c r="J21" s="274"/>
      <c r="K21" s="274"/>
    </row>
    <row r="22" spans="1:11">
      <c r="A22" s="475"/>
      <c r="B22" s="274"/>
      <c r="C22" s="274"/>
      <c r="E22" s="274"/>
      <c r="F22" s="274"/>
      <c r="G22" s="274"/>
      <c r="H22" s="274"/>
      <c r="I22" s="274"/>
      <c r="J22" s="274"/>
      <c r="K22" s="274"/>
    </row>
    <row r="23" spans="1:11">
      <c r="A23" s="474">
        <v>5</v>
      </c>
      <c r="B23" s="274" t="s">
        <v>784</v>
      </c>
      <c r="C23" s="274"/>
      <c r="E23" s="274"/>
      <c r="F23" s="274"/>
      <c r="G23" s="274"/>
      <c r="H23" s="274"/>
      <c r="I23" s="274"/>
      <c r="J23" s="274"/>
      <c r="K23" s="274"/>
    </row>
    <row r="24" spans="1:11">
      <c r="A24" s="475"/>
      <c r="B24" s="274" t="s">
        <v>785</v>
      </c>
      <c r="C24" s="274"/>
      <c r="D24" s="275">
        <f>+F24+F25*0.8</f>
        <v>10922.4</v>
      </c>
      <c r="E24" s="274"/>
      <c r="F24" s="480">
        <v>7852</v>
      </c>
      <c r="G24" s="274" t="s">
        <v>931</v>
      </c>
      <c r="H24" s="274"/>
      <c r="I24" s="274" t="s">
        <v>932</v>
      </c>
      <c r="J24" s="274"/>
      <c r="K24" s="274"/>
    </row>
    <row r="25" spans="1:11">
      <c r="A25" s="475"/>
      <c r="B25" s="274" t="s">
        <v>786</v>
      </c>
      <c r="C25" s="274"/>
      <c r="D25" s="275">
        <f>+F25*0.2</f>
        <v>767.6</v>
      </c>
      <c r="E25" s="274"/>
      <c r="F25" s="480">
        <v>3838</v>
      </c>
      <c r="G25" s="274" t="s">
        <v>933</v>
      </c>
      <c r="H25" s="274"/>
      <c r="I25" s="274" t="s">
        <v>934</v>
      </c>
      <c r="J25" s="274" t="s">
        <v>795</v>
      </c>
    </row>
    <row r="26" spans="1:11">
      <c r="A26" s="475"/>
      <c r="B26" s="274" t="s">
        <v>787</v>
      </c>
      <c r="C26" s="274"/>
      <c r="D26" s="298">
        <f>SUM(D24:D25)</f>
        <v>11690</v>
      </c>
      <c r="F26" s="298">
        <f>+F24+F25</f>
        <v>11690</v>
      </c>
      <c r="G26" s="274"/>
      <c r="H26" s="274"/>
      <c r="I26" s="274"/>
      <c r="J26" s="274"/>
      <c r="K26" s="274"/>
    </row>
    <row r="27" spans="1:11">
      <c r="A27" s="475"/>
      <c r="B27" s="274"/>
      <c r="C27" s="274"/>
      <c r="E27" s="274"/>
      <c r="F27" s="274"/>
      <c r="G27" s="274"/>
      <c r="H27" s="274"/>
      <c r="I27" s="274"/>
      <c r="J27" s="274"/>
      <c r="K27" s="274"/>
    </row>
    <row r="28" spans="1:11">
      <c r="A28" s="474">
        <v>6</v>
      </c>
      <c r="B28" s="274" t="s">
        <v>788</v>
      </c>
      <c r="C28" s="274"/>
      <c r="D28" s="276">
        <f>1330752+695548</f>
        <v>2026300</v>
      </c>
      <c r="E28" s="274"/>
      <c r="F28" s="274"/>
      <c r="G28" s="274"/>
      <c r="H28" s="274"/>
      <c r="I28" s="274"/>
      <c r="J28" s="274"/>
      <c r="K28" s="274"/>
    </row>
    <row r="29" spans="1:11">
      <c r="A29" s="475"/>
      <c r="B29" s="274" t="s">
        <v>789</v>
      </c>
      <c r="C29" s="274"/>
      <c r="E29" s="274"/>
      <c r="F29" s="274"/>
      <c r="G29" s="274"/>
      <c r="H29" s="274"/>
      <c r="I29" s="274"/>
      <c r="J29" s="274"/>
      <c r="K29" s="274"/>
    </row>
    <row r="30" spans="1:11">
      <c r="A30" s="475"/>
      <c r="B30" s="274"/>
      <c r="C30" s="274"/>
      <c r="E30" s="274"/>
      <c r="F30" s="274"/>
      <c r="G30" s="274"/>
      <c r="H30" s="274"/>
      <c r="I30" s="274"/>
      <c r="J30" s="274"/>
      <c r="K30" s="274"/>
    </row>
    <row r="31" spans="1:11">
      <c r="A31" s="110">
        <v>7</v>
      </c>
      <c r="B31" s="109" t="s">
        <v>790</v>
      </c>
      <c r="D31" s="276">
        <v>0</v>
      </c>
    </row>
    <row r="32" spans="1:11">
      <c r="B32" s="109" t="s">
        <v>791</v>
      </c>
    </row>
  </sheetData>
  <mergeCells count="4">
    <mergeCell ref="A1:E1"/>
    <mergeCell ref="A2:E2"/>
    <mergeCell ref="A3:E3"/>
    <mergeCell ref="A4:E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F76"/>
  <sheetViews>
    <sheetView zoomScale="80" workbookViewId="0">
      <selection activeCell="I29" sqref="I29"/>
    </sheetView>
  </sheetViews>
  <sheetFormatPr defaultRowHeight="15.6"/>
  <cols>
    <col min="1" max="1" width="5.1796875" style="373" customWidth="1"/>
    <col min="2" max="2" width="30.90625" style="373" customWidth="1"/>
    <col min="3" max="3" width="13" style="373" customWidth="1"/>
    <col min="4" max="4" width="5.1796875" style="373" customWidth="1"/>
    <col min="5" max="5" width="30.90625" style="373" customWidth="1"/>
    <col min="6" max="6" width="13" style="373" customWidth="1"/>
    <col min="7" max="7" width="1.6328125" style="373" customWidth="1"/>
    <col min="8" max="8" width="1.54296875" style="373" customWidth="1"/>
    <col min="9" max="256" width="8.90625" style="373"/>
    <col min="257" max="257" width="5.1796875" style="373" customWidth="1"/>
    <col min="258" max="258" width="30.90625" style="373" customWidth="1"/>
    <col min="259" max="259" width="13" style="373" customWidth="1"/>
    <col min="260" max="260" width="5.1796875" style="373" customWidth="1"/>
    <col min="261" max="261" width="30.90625" style="373" customWidth="1"/>
    <col min="262" max="262" width="13" style="373" customWidth="1"/>
    <col min="263" max="512" width="8.90625" style="373"/>
    <col min="513" max="513" width="5.1796875" style="373" customWidth="1"/>
    <col min="514" max="514" width="30.90625" style="373" customWidth="1"/>
    <col min="515" max="515" width="13" style="373" customWidth="1"/>
    <col min="516" max="516" width="5.1796875" style="373" customWidth="1"/>
    <col min="517" max="517" width="30.90625" style="373" customWidth="1"/>
    <col min="518" max="518" width="13" style="373" customWidth="1"/>
    <col min="519" max="768" width="8.90625" style="373"/>
    <col min="769" max="769" width="5.1796875" style="373" customWidth="1"/>
    <col min="770" max="770" width="30.90625" style="373" customWidth="1"/>
    <col min="771" max="771" width="13" style="373" customWidth="1"/>
    <col min="772" max="772" width="5.1796875" style="373" customWidth="1"/>
    <col min="773" max="773" width="30.90625" style="373" customWidth="1"/>
    <col min="774" max="774" width="13" style="373" customWidth="1"/>
    <col min="775" max="1024" width="8.90625" style="373"/>
    <col min="1025" max="1025" width="5.1796875" style="373" customWidth="1"/>
    <col min="1026" max="1026" width="30.90625" style="373" customWidth="1"/>
    <col min="1027" max="1027" width="13" style="373" customWidth="1"/>
    <col min="1028" max="1028" width="5.1796875" style="373" customWidth="1"/>
    <col min="1029" max="1029" width="30.90625" style="373" customWidth="1"/>
    <col min="1030" max="1030" width="13" style="373" customWidth="1"/>
    <col min="1031" max="1280" width="8.90625" style="373"/>
    <col min="1281" max="1281" width="5.1796875" style="373" customWidth="1"/>
    <col min="1282" max="1282" width="30.90625" style="373" customWidth="1"/>
    <col min="1283" max="1283" width="13" style="373" customWidth="1"/>
    <col min="1284" max="1284" width="5.1796875" style="373" customWidth="1"/>
    <col min="1285" max="1285" width="30.90625" style="373" customWidth="1"/>
    <col min="1286" max="1286" width="13" style="373" customWidth="1"/>
    <col min="1287" max="1536" width="8.90625" style="373"/>
    <col min="1537" max="1537" width="5.1796875" style="373" customWidth="1"/>
    <col min="1538" max="1538" width="30.90625" style="373" customWidth="1"/>
    <col min="1539" max="1539" width="13" style="373" customWidth="1"/>
    <col min="1540" max="1540" width="5.1796875" style="373" customWidth="1"/>
    <col min="1541" max="1541" width="30.90625" style="373" customWidth="1"/>
    <col min="1542" max="1542" width="13" style="373" customWidth="1"/>
    <col min="1543" max="1792" width="8.90625" style="373"/>
    <col min="1793" max="1793" width="5.1796875" style="373" customWidth="1"/>
    <col min="1794" max="1794" width="30.90625" style="373" customWidth="1"/>
    <col min="1795" max="1795" width="13" style="373" customWidth="1"/>
    <col min="1796" max="1796" width="5.1796875" style="373" customWidth="1"/>
    <col min="1797" max="1797" width="30.90625" style="373" customWidth="1"/>
    <col min="1798" max="1798" width="13" style="373" customWidth="1"/>
    <col min="1799" max="2048" width="8.90625" style="373"/>
    <col min="2049" max="2049" width="5.1796875" style="373" customWidth="1"/>
    <col min="2050" max="2050" width="30.90625" style="373" customWidth="1"/>
    <col min="2051" max="2051" width="13" style="373" customWidth="1"/>
    <col min="2052" max="2052" width="5.1796875" style="373" customWidth="1"/>
    <col min="2053" max="2053" width="30.90625" style="373" customWidth="1"/>
    <col min="2054" max="2054" width="13" style="373" customWidth="1"/>
    <col min="2055" max="2304" width="8.90625" style="373"/>
    <col min="2305" max="2305" width="5.1796875" style="373" customWidth="1"/>
    <col min="2306" max="2306" width="30.90625" style="373" customWidth="1"/>
    <col min="2307" max="2307" width="13" style="373" customWidth="1"/>
    <col min="2308" max="2308" width="5.1796875" style="373" customWidth="1"/>
    <col min="2309" max="2309" width="30.90625" style="373" customWidth="1"/>
    <col min="2310" max="2310" width="13" style="373" customWidth="1"/>
    <col min="2311" max="2560" width="8.90625" style="373"/>
    <col min="2561" max="2561" width="5.1796875" style="373" customWidth="1"/>
    <col min="2562" max="2562" width="30.90625" style="373" customWidth="1"/>
    <col min="2563" max="2563" width="13" style="373" customWidth="1"/>
    <col min="2564" max="2564" width="5.1796875" style="373" customWidth="1"/>
    <col min="2565" max="2565" width="30.90625" style="373" customWidth="1"/>
    <col min="2566" max="2566" width="13" style="373" customWidth="1"/>
    <col min="2567" max="2816" width="8.90625" style="373"/>
    <col min="2817" max="2817" width="5.1796875" style="373" customWidth="1"/>
    <col min="2818" max="2818" width="30.90625" style="373" customWidth="1"/>
    <col min="2819" max="2819" width="13" style="373" customWidth="1"/>
    <col min="2820" max="2820" width="5.1796875" style="373" customWidth="1"/>
    <col min="2821" max="2821" width="30.90625" style="373" customWidth="1"/>
    <col min="2822" max="2822" width="13" style="373" customWidth="1"/>
    <col min="2823" max="3072" width="8.90625" style="373"/>
    <col min="3073" max="3073" width="5.1796875" style="373" customWidth="1"/>
    <col min="3074" max="3074" width="30.90625" style="373" customWidth="1"/>
    <col min="3075" max="3075" width="13" style="373" customWidth="1"/>
    <col min="3076" max="3076" width="5.1796875" style="373" customWidth="1"/>
    <col min="3077" max="3077" width="30.90625" style="373" customWidth="1"/>
    <col min="3078" max="3078" width="13" style="373" customWidth="1"/>
    <col min="3079" max="3328" width="8.90625" style="373"/>
    <col min="3329" max="3329" width="5.1796875" style="373" customWidth="1"/>
    <col min="3330" max="3330" width="30.90625" style="373" customWidth="1"/>
    <col min="3331" max="3331" width="13" style="373" customWidth="1"/>
    <col min="3332" max="3332" width="5.1796875" style="373" customWidth="1"/>
    <col min="3333" max="3333" width="30.90625" style="373" customWidth="1"/>
    <col min="3334" max="3334" width="13" style="373" customWidth="1"/>
    <col min="3335" max="3584" width="8.90625" style="373"/>
    <col min="3585" max="3585" width="5.1796875" style="373" customWidth="1"/>
    <col min="3586" max="3586" width="30.90625" style="373" customWidth="1"/>
    <col min="3587" max="3587" width="13" style="373" customWidth="1"/>
    <col min="3588" max="3588" width="5.1796875" style="373" customWidth="1"/>
    <col min="3589" max="3589" width="30.90625" style="373" customWidth="1"/>
    <col min="3590" max="3590" width="13" style="373" customWidth="1"/>
    <col min="3591" max="3840" width="8.90625" style="373"/>
    <col min="3841" max="3841" width="5.1796875" style="373" customWidth="1"/>
    <col min="3842" max="3842" width="30.90625" style="373" customWidth="1"/>
    <col min="3843" max="3843" width="13" style="373" customWidth="1"/>
    <col min="3844" max="3844" width="5.1796875" style="373" customWidth="1"/>
    <col min="3845" max="3845" width="30.90625" style="373" customWidth="1"/>
    <col min="3846" max="3846" width="13" style="373" customWidth="1"/>
    <col min="3847" max="4096" width="8.90625" style="373"/>
    <col min="4097" max="4097" width="5.1796875" style="373" customWidth="1"/>
    <col min="4098" max="4098" width="30.90625" style="373" customWidth="1"/>
    <col min="4099" max="4099" width="13" style="373" customWidth="1"/>
    <col min="4100" max="4100" width="5.1796875" style="373" customWidth="1"/>
    <col min="4101" max="4101" width="30.90625" style="373" customWidth="1"/>
    <col min="4102" max="4102" width="13" style="373" customWidth="1"/>
    <col min="4103" max="4352" width="8.90625" style="373"/>
    <col min="4353" max="4353" width="5.1796875" style="373" customWidth="1"/>
    <col min="4354" max="4354" width="30.90625" style="373" customWidth="1"/>
    <col min="4355" max="4355" width="13" style="373" customWidth="1"/>
    <col min="4356" max="4356" width="5.1796875" style="373" customWidth="1"/>
    <col min="4357" max="4357" width="30.90625" style="373" customWidth="1"/>
    <col min="4358" max="4358" width="13" style="373" customWidth="1"/>
    <col min="4359" max="4608" width="8.90625" style="373"/>
    <col min="4609" max="4609" width="5.1796875" style="373" customWidth="1"/>
    <col min="4610" max="4610" width="30.90625" style="373" customWidth="1"/>
    <col min="4611" max="4611" width="13" style="373" customWidth="1"/>
    <col min="4612" max="4612" width="5.1796875" style="373" customWidth="1"/>
    <col min="4613" max="4613" width="30.90625" style="373" customWidth="1"/>
    <col min="4614" max="4614" width="13" style="373" customWidth="1"/>
    <col min="4615" max="4864" width="8.90625" style="373"/>
    <col min="4865" max="4865" width="5.1796875" style="373" customWidth="1"/>
    <col min="4866" max="4866" width="30.90625" style="373" customWidth="1"/>
    <col min="4867" max="4867" width="13" style="373" customWidth="1"/>
    <col min="4868" max="4868" width="5.1796875" style="373" customWidth="1"/>
    <col min="4869" max="4869" width="30.90625" style="373" customWidth="1"/>
    <col min="4870" max="4870" width="13" style="373" customWidth="1"/>
    <col min="4871" max="5120" width="8.90625" style="373"/>
    <col min="5121" max="5121" width="5.1796875" style="373" customWidth="1"/>
    <col min="5122" max="5122" width="30.90625" style="373" customWidth="1"/>
    <col min="5123" max="5123" width="13" style="373" customWidth="1"/>
    <col min="5124" max="5124" width="5.1796875" style="373" customWidth="1"/>
    <col min="5125" max="5125" width="30.90625" style="373" customWidth="1"/>
    <col min="5126" max="5126" width="13" style="373" customWidth="1"/>
    <col min="5127" max="5376" width="8.90625" style="373"/>
    <col min="5377" max="5377" width="5.1796875" style="373" customWidth="1"/>
    <col min="5378" max="5378" width="30.90625" style="373" customWidth="1"/>
    <col min="5379" max="5379" width="13" style="373" customWidth="1"/>
    <col min="5380" max="5380" width="5.1796875" style="373" customWidth="1"/>
    <col min="5381" max="5381" width="30.90625" style="373" customWidth="1"/>
    <col min="5382" max="5382" width="13" style="373" customWidth="1"/>
    <col min="5383" max="5632" width="8.90625" style="373"/>
    <col min="5633" max="5633" width="5.1796875" style="373" customWidth="1"/>
    <col min="5634" max="5634" width="30.90625" style="373" customWidth="1"/>
    <col min="5635" max="5635" width="13" style="373" customWidth="1"/>
    <col min="5636" max="5636" width="5.1796875" style="373" customWidth="1"/>
    <col min="5637" max="5637" width="30.90625" style="373" customWidth="1"/>
    <col min="5638" max="5638" width="13" style="373" customWidth="1"/>
    <col min="5639" max="5888" width="8.90625" style="373"/>
    <col min="5889" max="5889" width="5.1796875" style="373" customWidth="1"/>
    <col min="5890" max="5890" width="30.90625" style="373" customWidth="1"/>
    <col min="5891" max="5891" width="13" style="373" customWidth="1"/>
    <col min="5892" max="5892" width="5.1796875" style="373" customWidth="1"/>
    <col min="5893" max="5893" width="30.90625" style="373" customWidth="1"/>
    <col min="5894" max="5894" width="13" style="373" customWidth="1"/>
    <col min="5895" max="6144" width="8.90625" style="373"/>
    <col min="6145" max="6145" width="5.1796875" style="373" customWidth="1"/>
    <col min="6146" max="6146" width="30.90625" style="373" customWidth="1"/>
    <col min="6147" max="6147" width="13" style="373" customWidth="1"/>
    <col min="6148" max="6148" width="5.1796875" style="373" customWidth="1"/>
    <col min="6149" max="6149" width="30.90625" style="373" customWidth="1"/>
    <col min="6150" max="6150" width="13" style="373" customWidth="1"/>
    <col min="6151" max="6400" width="8.90625" style="373"/>
    <col min="6401" max="6401" width="5.1796875" style="373" customWidth="1"/>
    <col min="6402" max="6402" width="30.90625" style="373" customWidth="1"/>
    <col min="6403" max="6403" width="13" style="373" customWidth="1"/>
    <col min="6404" max="6404" width="5.1796875" style="373" customWidth="1"/>
    <col min="6405" max="6405" width="30.90625" style="373" customWidth="1"/>
    <col min="6406" max="6406" width="13" style="373" customWidth="1"/>
    <col min="6407" max="6656" width="8.90625" style="373"/>
    <col min="6657" max="6657" width="5.1796875" style="373" customWidth="1"/>
    <col min="6658" max="6658" width="30.90625" style="373" customWidth="1"/>
    <col min="6659" max="6659" width="13" style="373" customWidth="1"/>
    <col min="6660" max="6660" width="5.1796875" style="373" customWidth="1"/>
    <col min="6661" max="6661" width="30.90625" style="373" customWidth="1"/>
    <col min="6662" max="6662" width="13" style="373" customWidth="1"/>
    <col min="6663" max="6912" width="8.90625" style="373"/>
    <col min="6913" max="6913" width="5.1796875" style="373" customWidth="1"/>
    <col min="6914" max="6914" width="30.90625" style="373" customWidth="1"/>
    <col min="6915" max="6915" width="13" style="373" customWidth="1"/>
    <col min="6916" max="6916" width="5.1796875" style="373" customWidth="1"/>
    <col min="6917" max="6917" width="30.90625" style="373" customWidth="1"/>
    <col min="6918" max="6918" width="13" style="373" customWidth="1"/>
    <col min="6919" max="7168" width="8.90625" style="373"/>
    <col min="7169" max="7169" width="5.1796875" style="373" customWidth="1"/>
    <col min="7170" max="7170" width="30.90625" style="373" customWidth="1"/>
    <col min="7171" max="7171" width="13" style="373" customWidth="1"/>
    <col min="7172" max="7172" width="5.1796875" style="373" customWidth="1"/>
    <col min="7173" max="7173" width="30.90625" style="373" customWidth="1"/>
    <col min="7174" max="7174" width="13" style="373" customWidth="1"/>
    <col min="7175" max="7424" width="8.90625" style="373"/>
    <col min="7425" max="7425" width="5.1796875" style="373" customWidth="1"/>
    <col min="7426" max="7426" width="30.90625" style="373" customWidth="1"/>
    <col min="7427" max="7427" width="13" style="373" customWidth="1"/>
    <col min="7428" max="7428" width="5.1796875" style="373" customWidth="1"/>
    <col min="7429" max="7429" width="30.90625" style="373" customWidth="1"/>
    <col min="7430" max="7430" width="13" style="373" customWidth="1"/>
    <col min="7431" max="7680" width="8.90625" style="373"/>
    <col min="7681" max="7681" width="5.1796875" style="373" customWidth="1"/>
    <col min="7682" max="7682" width="30.90625" style="373" customWidth="1"/>
    <col min="7683" max="7683" width="13" style="373" customWidth="1"/>
    <col min="7684" max="7684" width="5.1796875" style="373" customWidth="1"/>
    <col min="7685" max="7685" width="30.90625" style="373" customWidth="1"/>
    <col min="7686" max="7686" width="13" style="373" customWidth="1"/>
    <col min="7687" max="7936" width="8.90625" style="373"/>
    <col min="7937" max="7937" width="5.1796875" style="373" customWidth="1"/>
    <col min="7938" max="7938" width="30.90625" style="373" customWidth="1"/>
    <col min="7939" max="7939" width="13" style="373" customWidth="1"/>
    <col min="7940" max="7940" width="5.1796875" style="373" customWidth="1"/>
    <col min="7941" max="7941" width="30.90625" style="373" customWidth="1"/>
    <col min="7942" max="7942" width="13" style="373" customWidth="1"/>
    <col min="7943" max="8192" width="8.90625" style="373"/>
    <col min="8193" max="8193" width="5.1796875" style="373" customWidth="1"/>
    <col min="8194" max="8194" width="30.90625" style="373" customWidth="1"/>
    <col min="8195" max="8195" width="13" style="373" customWidth="1"/>
    <col min="8196" max="8196" width="5.1796875" style="373" customWidth="1"/>
    <col min="8197" max="8197" width="30.90625" style="373" customWidth="1"/>
    <col min="8198" max="8198" width="13" style="373" customWidth="1"/>
    <col min="8199" max="8448" width="8.90625" style="373"/>
    <col min="8449" max="8449" width="5.1796875" style="373" customWidth="1"/>
    <col min="8450" max="8450" width="30.90625" style="373" customWidth="1"/>
    <col min="8451" max="8451" width="13" style="373" customWidth="1"/>
    <col min="8452" max="8452" width="5.1796875" style="373" customWidth="1"/>
    <col min="8453" max="8453" width="30.90625" style="373" customWidth="1"/>
    <col min="8454" max="8454" width="13" style="373" customWidth="1"/>
    <col min="8455" max="8704" width="8.90625" style="373"/>
    <col min="8705" max="8705" width="5.1796875" style="373" customWidth="1"/>
    <col min="8706" max="8706" width="30.90625" style="373" customWidth="1"/>
    <col min="8707" max="8707" width="13" style="373" customWidth="1"/>
    <col min="8708" max="8708" width="5.1796875" style="373" customWidth="1"/>
    <col min="8709" max="8709" width="30.90625" style="373" customWidth="1"/>
    <col min="8710" max="8710" width="13" style="373" customWidth="1"/>
    <col min="8711" max="8960" width="8.90625" style="373"/>
    <col min="8961" max="8961" width="5.1796875" style="373" customWidth="1"/>
    <col min="8962" max="8962" width="30.90625" style="373" customWidth="1"/>
    <col min="8963" max="8963" width="13" style="373" customWidth="1"/>
    <col min="8964" max="8964" width="5.1796875" style="373" customWidth="1"/>
    <col min="8965" max="8965" width="30.90625" style="373" customWidth="1"/>
    <col min="8966" max="8966" width="13" style="373" customWidth="1"/>
    <col min="8967" max="9216" width="8.90625" style="373"/>
    <col min="9217" max="9217" width="5.1796875" style="373" customWidth="1"/>
    <col min="9218" max="9218" width="30.90625" style="373" customWidth="1"/>
    <col min="9219" max="9219" width="13" style="373" customWidth="1"/>
    <col min="9220" max="9220" width="5.1796875" style="373" customWidth="1"/>
    <col min="9221" max="9221" width="30.90625" style="373" customWidth="1"/>
    <col min="9222" max="9222" width="13" style="373" customWidth="1"/>
    <col min="9223" max="9472" width="8.90625" style="373"/>
    <col min="9473" max="9473" width="5.1796875" style="373" customWidth="1"/>
    <col min="9474" max="9474" width="30.90625" style="373" customWidth="1"/>
    <col min="9475" max="9475" width="13" style="373" customWidth="1"/>
    <col min="9476" max="9476" width="5.1796875" style="373" customWidth="1"/>
    <col min="9477" max="9477" width="30.90625" style="373" customWidth="1"/>
    <col min="9478" max="9478" width="13" style="373" customWidth="1"/>
    <col min="9479" max="9728" width="8.90625" style="373"/>
    <col min="9729" max="9729" width="5.1796875" style="373" customWidth="1"/>
    <col min="9730" max="9730" width="30.90625" style="373" customWidth="1"/>
    <col min="9731" max="9731" width="13" style="373" customWidth="1"/>
    <col min="9732" max="9732" width="5.1796875" style="373" customWidth="1"/>
    <col min="9733" max="9733" width="30.90625" style="373" customWidth="1"/>
    <col min="9734" max="9734" width="13" style="373" customWidth="1"/>
    <col min="9735" max="9984" width="8.90625" style="373"/>
    <col min="9985" max="9985" width="5.1796875" style="373" customWidth="1"/>
    <col min="9986" max="9986" width="30.90625" style="373" customWidth="1"/>
    <col min="9987" max="9987" width="13" style="373" customWidth="1"/>
    <col min="9988" max="9988" width="5.1796875" style="373" customWidth="1"/>
    <col min="9989" max="9989" width="30.90625" style="373" customWidth="1"/>
    <col min="9990" max="9990" width="13" style="373" customWidth="1"/>
    <col min="9991" max="10240" width="8.90625" style="373"/>
    <col min="10241" max="10241" width="5.1796875" style="373" customWidth="1"/>
    <col min="10242" max="10242" width="30.90625" style="373" customWidth="1"/>
    <col min="10243" max="10243" width="13" style="373" customWidth="1"/>
    <col min="10244" max="10244" width="5.1796875" style="373" customWidth="1"/>
    <col min="10245" max="10245" width="30.90625" style="373" customWidth="1"/>
    <col min="10246" max="10246" width="13" style="373" customWidth="1"/>
    <col min="10247" max="10496" width="8.90625" style="373"/>
    <col min="10497" max="10497" width="5.1796875" style="373" customWidth="1"/>
    <col min="10498" max="10498" width="30.90625" style="373" customWidth="1"/>
    <col min="10499" max="10499" width="13" style="373" customWidth="1"/>
    <col min="10500" max="10500" width="5.1796875" style="373" customWidth="1"/>
    <col min="10501" max="10501" width="30.90625" style="373" customWidth="1"/>
    <col min="10502" max="10502" width="13" style="373" customWidth="1"/>
    <col min="10503" max="10752" width="8.90625" style="373"/>
    <col min="10753" max="10753" width="5.1796875" style="373" customWidth="1"/>
    <col min="10754" max="10754" width="30.90625" style="373" customWidth="1"/>
    <col min="10755" max="10755" width="13" style="373" customWidth="1"/>
    <col min="10756" max="10756" width="5.1796875" style="373" customWidth="1"/>
    <col min="10757" max="10757" width="30.90625" style="373" customWidth="1"/>
    <col min="10758" max="10758" width="13" style="373" customWidth="1"/>
    <col min="10759" max="11008" width="8.90625" style="373"/>
    <col min="11009" max="11009" width="5.1796875" style="373" customWidth="1"/>
    <col min="11010" max="11010" width="30.90625" style="373" customWidth="1"/>
    <col min="11011" max="11011" width="13" style="373" customWidth="1"/>
    <col min="11012" max="11012" width="5.1796875" style="373" customWidth="1"/>
    <col min="11013" max="11013" width="30.90625" style="373" customWidth="1"/>
    <col min="11014" max="11014" width="13" style="373" customWidth="1"/>
    <col min="11015" max="11264" width="8.90625" style="373"/>
    <col min="11265" max="11265" width="5.1796875" style="373" customWidth="1"/>
    <col min="11266" max="11266" width="30.90625" style="373" customWidth="1"/>
    <col min="11267" max="11267" width="13" style="373" customWidth="1"/>
    <col min="11268" max="11268" width="5.1796875" style="373" customWidth="1"/>
    <col min="11269" max="11269" width="30.90625" style="373" customWidth="1"/>
    <col min="11270" max="11270" width="13" style="373" customWidth="1"/>
    <col min="11271" max="11520" width="8.90625" style="373"/>
    <col min="11521" max="11521" width="5.1796875" style="373" customWidth="1"/>
    <col min="11522" max="11522" width="30.90625" style="373" customWidth="1"/>
    <col min="11523" max="11523" width="13" style="373" customWidth="1"/>
    <col min="11524" max="11524" width="5.1796875" style="373" customWidth="1"/>
    <col min="11525" max="11525" width="30.90625" style="373" customWidth="1"/>
    <col min="11526" max="11526" width="13" style="373" customWidth="1"/>
    <col min="11527" max="11776" width="8.90625" style="373"/>
    <col min="11777" max="11777" width="5.1796875" style="373" customWidth="1"/>
    <col min="11778" max="11778" width="30.90625" style="373" customWidth="1"/>
    <col min="11779" max="11779" width="13" style="373" customWidth="1"/>
    <col min="11780" max="11780" width="5.1796875" style="373" customWidth="1"/>
    <col min="11781" max="11781" width="30.90625" style="373" customWidth="1"/>
    <col min="11782" max="11782" width="13" style="373" customWidth="1"/>
    <col min="11783" max="12032" width="8.90625" style="373"/>
    <col min="12033" max="12033" width="5.1796875" style="373" customWidth="1"/>
    <col min="12034" max="12034" width="30.90625" style="373" customWidth="1"/>
    <col min="12035" max="12035" width="13" style="373" customWidth="1"/>
    <col min="12036" max="12036" width="5.1796875" style="373" customWidth="1"/>
    <col min="12037" max="12037" width="30.90625" style="373" customWidth="1"/>
    <col min="12038" max="12038" width="13" style="373" customWidth="1"/>
    <col min="12039" max="12288" width="8.90625" style="373"/>
    <col min="12289" max="12289" width="5.1796875" style="373" customWidth="1"/>
    <col min="12290" max="12290" width="30.90625" style="373" customWidth="1"/>
    <col min="12291" max="12291" width="13" style="373" customWidth="1"/>
    <col min="12292" max="12292" width="5.1796875" style="373" customWidth="1"/>
    <col min="12293" max="12293" width="30.90625" style="373" customWidth="1"/>
    <col min="12294" max="12294" width="13" style="373" customWidth="1"/>
    <col min="12295" max="12544" width="8.90625" style="373"/>
    <col min="12545" max="12545" width="5.1796875" style="373" customWidth="1"/>
    <col min="12546" max="12546" width="30.90625" style="373" customWidth="1"/>
    <col min="12547" max="12547" width="13" style="373" customWidth="1"/>
    <col min="12548" max="12548" width="5.1796875" style="373" customWidth="1"/>
    <col min="12549" max="12549" width="30.90625" style="373" customWidth="1"/>
    <col min="12550" max="12550" width="13" style="373" customWidth="1"/>
    <col min="12551" max="12800" width="8.90625" style="373"/>
    <col min="12801" max="12801" width="5.1796875" style="373" customWidth="1"/>
    <col min="12802" max="12802" width="30.90625" style="373" customWidth="1"/>
    <col min="12803" max="12803" width="13" style="373" customWidth="1"/>
    <col min="12804" max="12804" width="5.1796875" style="373" customWidth="1"/>
    <col min="12805" max="12805" width="30.90625" style="373" customWidth="1"/>
    <col min="12806" max="12806" width="13" style="373" customWidth="1"/>
    <col min="12807" max="13056" width="8.90625" style="373"/>
    <col min="13057" max="13057" width="5.1796875" style="373" customWidth="1"/>
    <col min="13058" max="13058" width="30.90625" style="373" customWidth="1"/>
    <col min="13059" max="13059" width="13" style="373" customWidth="1"/>
    <col min="13060" max="13060" width="5.1796875" style="373" customWidth="1"/>
    <col min="13061" max="13061" width="30.90625" style="373" customWidth="1"/>
    <col min="13062" max="13062" width="13" style="373" customWidth="1"/>
    <col min="13063" max="13312" width="8.90625" style="373"/>
    <col min="13313" max="13313" width="5.1796875" style="373" customWidth="1"/>
    <col min="13314" max="13314" width="30.90625" style="373" customWidth="1"/>
    <col min="13315" max="13315" width="13" style="373" customWidth="1"/>
    <col min="13316" max="13316" width="5.1796875" style="373" customWidth="1"/>
    <col min="13317" max="13317" width="30.90625" style="373" customWidth="1"/>
    <col min="13318" max="13318" width="13" style="373" customWidth="1"/>
    <col min="13319" max="13568" width="8.90625" style="373"/>
    <col min="13569" max="13569" width="5.1796875" style="373" customWidth="1"/>
    <col min="13570" max="13570" width="30.90625" style="373" customWidth="1"/>
    <col min="13571" max="13571" width="13" style="373" customWidth="1"/>
    <col min="13572" max="13572" width="5.1796875" style="373" customWidth="1"/>
    <col min="13573" max="13573" width="30.90625" style="373" customWidth="1"/>
    <col min="13574" max="13574" width="13" style="373" customWidth="1"/>
    <col min="13575" max="13824" width="8.90625" style="373"/>
    <col min="13825" max="13825" width="5.1796875" style="373" customWidth="1"/>
    <col min="13826" max="13826" width="30.90625" style="373" customWidth="1"/>
    <col min="13827" max="13827" width="13" style="373" customWidth="1"/>
    <col min="13828" max="13828" width="5.1796875" style="373" customWidth="1"/>
    <col min="13829" max="13829" width="30.90625" style="373" customWidth="1"/>
    <col min="13830" max="13830" width="13" style="373" customWidth="1"/>
    <col min="13831" max="14080" width="8.90625" style="373"/>
    <col min="14081" max="14081" width="5.1796875" style="373" customWidth="1"/>
    <col min="14082" max="14082" width="30.90625" style="373" customWidth="1"/>
    <col min="14083" max="14083" width="13" style="373" customWidth="1"/>
    <col min="14084" max="14084" width="5.1796875" style="373" customWidth="1"/>
    <col min="14085" max="14085" width="30.90625" style="373" customWidth="1"/>
    <col min="14086" max="14086" width="13" style="373" customWidth="1"/>
    <col min="14087" max="14336" width="8.90625" style="373"/>
    <col min="14337" max="14337" width="5.1796875" style="373" customWidth="1"/>
    <col min="14338" max="14338" width="30.90625" style="373" customWidth="1"/>
    <col min="14339" max="14339" width="13" style="373" customWidth="1"/>
    <col min="14340" max="14340" width="5.1796875" style="373" customWidth="1"/>
    <col min="14341" max="14341" width="30.90625" style="373" customWidth="1"/>
    <col min="14342" max="14342" width="13" style="373" customWidth="1"/>
    <col min="14343" max="14592" width="8.90625" style="373"/>
    <col min="14593" max="14593" width="5.1796875" style="373" customWidth="1"/>
    <col min="14594" max="14594" width="30.90625" style="373" customWidth="1"/>
    <col min="14595" max="14595" width="13" style="373" customWidth="1"/>
    <col min="14596" max="14596" width="5.1796875" style="373" customWidth="1"/>
    <col min="14597" max="14597" width="30.90625" style="373" customWidth="1"/>
    <col min="14598" max="14598" width="13" style="373" customWidth="1"/>
    <col min="14599" max="14848" width="8.90625" style="373"/>
    <col min="14849" max="14849" width="5.1796875" style="373" customWidth="1"/>
    <col min="14850" max="14850" width="30.90625" style="373" customWidth="1"/>
    <col min="14851" max="14851" width="13" style="373" customWidth="1"/>
    <col min="14852" max="14852" width="5.1796875" style="373" customWidth="1"/>
    <col min="14853" max="14853" width="30.90625" style="373" customWidth="1"/>
    <col min="14854" max="14854" width="13" style="373" customWidth="1"/>
    <col min="14855" max="15104" width="8.90625" style="373"/>
    <col min="15105" max="15105" width="5.1796875" style="373" customWidth="1"/>
    <col min="15106" max="15106" width="30.90625" style="373" customWidth="1"/>
    <col min="15107" max="15107" width="13" style="373" customWidth="1"/>
    <col min="15108" max="15108" width="5.1796875" style="373" customWidth="1"/>
    <col min="15109" max="15109" width="30.90625" style="373" customWidth="1"/>
    <col min="15110" max="15110" width="13" style="373" customWidth="1"/>
    <col min="15111" max="15360" width="8.90625" style="373"/>
    <col min="15361" max="15361" width="5.1796875" style="373" customWidth="1"/>
    <col min="15362" max="15362" width="30.90625" style="373" customWidth="1"/>
    <col min="15363" max="15363" width="13" style="373" customWidth="1"/>
    <col min="15364" max="15364" width="5.1796875" style="373" customWidth="1"/>
    <col min="15365" max="15365" width="30.90625" style="373" customWidth="1"/>
    <col min="15366" max="15366" width="13" style="373" customWidth="1"/>
    <col min="15367" max="15616" width="8.90625" style="373"/>
    <col min="15617" max="15617" width="5.1796875" style="373" customWidth="1"/>
    <col min="15618" max="15618" width="30.90625" style="373" customWidth="1"/>
    <col min="15619" max="15619" width="13" style="373" customWidth="1"/>
    <col min="15620" max="15620" width="5.1796875" style="373" customWidth="1"/>
    <col min="15621" max="15621" width="30.90625" style="373" customWidth="1"/>
    <col min="15622" max="15622" width="13" style="373" customWidth="1"/>
    <col min="15623" max="15872" width="8.90625" style="373"/>
    <col min="15873" max="15873" width="5.1796875" style="373" customWidth="1"/>
    <col min="15874" max="15874" width="30.90625" style="373" customWidth="1"/>
    <col min="15875" max="15875" width="13" style="373" customWidth="1"/>
    <col min="15876" max="15876" width="5.1796875" style="373" customWidth="1"/>
    <col min="15877" max="15877" width="30.90625" style="373" customWidth="1"/>
    <col min="15878" max="15878" width="13" style="373" customWidth="1"/>
    <col min="15879" max="16128" width="8.90625" style="373"/>
    <col min="16129" max="16129" width="5.1796875" style="373" customWidth="1"/>
    <col min="16130" max="16130" width="30.90625" style="373" customWidth="1"/>
    <col min="16131" max="16131" width="13" style="373" customWidth="1"/>
    <col min="16132" max="16132" width="5.1796875" style="373" customWidth="1"/>
    <col min="16133" max="16133" width="30.90625" style="373" customWidth="1"/>
    <col min="16134" max="16134" width="13" style="373" customWidth="1"/>
    <col min="16135" max="16384" width="8.90625" style="373"/>
  </cols>
  <sheetData>
    <row r="1" spans="1:6">
      <c r="A1" s="510" t="s">
        <v>809</v>
      </c>
      <c r="B1" s="511"/>
      <c r="C1" s="511"/>
      <c r="D1" s="511"/>
      <c r="E1" s="511"/>
      <c r="F1" s="511"/>
    </row>
    <row r="2" spans="1:6">
      <c r="A2" s="511" t="s">
        <v>281</v>
      </c>
      <c r="B2" s="511"/>
      <c r="C2" s="511"/>
      <c r="D2" s="511"/>
      <c r="E2" s="511"/>
      <c r="F2" s="511"/>
    </row>
    <row r="3" spans="1:6">
      <c r="A3" s="511" t="s">
        <v>282</v>
      </c>
      <c r="B3" s="511"/>
      <c r="C3" s="511"/>
      <c r="D3" s="511"/>
      <c r="E3" s="511"/>
      <c r="F3" s="511"/>
    </row>
    <row r="4" spans="1:6">
      <c r="A4" s="512" t="s">
        <v>883</v>
      </c>
      <c r="B4" s="512"/>
      <c r="C4" s="512"/>
      <c r="D4" s="512"/>
      <c r="E4" s="512"/>
      <c r="F4" s="512"/>
    </row>
    <row r="6" spans="1:6">
      <c r="A6" s="513" t="s">
        <v>283</v>
      </c>
      <c r="B6" s="513"/>
      <c r="C6" s="513"/>
      <c r="D6" s="513"/>
      <c r="E6" s="513"/>
      <c r="F6" s="513"/>
    </row>
    <row r="7" spans="1:6">
      <c r="A7" s="431" t="s">
        <v>4</v>
      </c>
      <c r="B7" s="365"/>
      <c r="C7" s="432" t="s">
        <v>284</v>
      </c>
      <c r="D7" s="432" t="s">
        <v>4</v>
      </c>
      <c r="E7" s="365"/>
      <c r="F7" s="432" t="s">
        <v>284</v>
      </c>
    </row>
    <row r="8" spans="1:6">
      <c r="A8" s="433" t="s">
        <v>6</v>
      </c>
      <c r="B8" s="415" t="s">
        <v>285</v>
      </c>
      <c r="C8" s="415" t="s">
        <v>286</v>
      </c>
      <c r="D8" s="415" t="s">
        <v>287</v>
      </c>
      <c r="E8" s="415" t="s">
        <v>288</v>
      </c>
      <c r="F8" s="415" t="s">
        <v>286</v>
      </c>
    </row>
    <row r="9" spans="1:6">
      <c r="A9" s="381"/>
      <c r="B9" s="434" t="s">
        <v>289</v>
      </c>
      <c r="C9" s="425"/>
      <c r="D9" s="431"/>
      <c r="E9" s="434" t="s">
        <v>290</v>
      </c>
      <c r="F9" s="425"/>
    </row>
    <row r="10" spans="1:6">
      <c r="A10" s="381">
        <v>1</v>
      </c>
      <c r="B10" s="356" t="s">
        <v>291</v>
      </c>
      <c r="C10" s="426"/>
      <c r="D10" s="381"/>
      <c r="E10" s="356"/>
      <c r="F10" s="426"/>
    </row>
    <row r="11" spans="1:6">
      <c r="A11" s="433"/>
      <c r="B11" s="435" t="s">
        <v>292</v>
      </c>
      <c r="C11" s="436">
        <f>181944+5117536+21920858+1929600</f>
        <v>29149938</v>
      </c>
      <c r="D11" s="433">
        <v>29</v>
      </c>
      <c r="E11" s="437" t="s">
        <v>293</v>
      </c>
      <c r="F11" s="436">
        <v>12095338</v>
      </c>
    </row>
    <row r="12" spans="1:6">
      <c r="A12" s="438">
        <v>2</v>
      </c>
      <c r="B12" s="357" t="s">
        <v>294</v>
      </c>
      <c r="C12" s="427">
        <v>0</v>
      </c>
      <c r="D12" s="438">
        <v>30</v>
      </c>
      <c r="E12" s="357" t="s">
        <v>295</v>
      </c>
      <c r="F12" s="427">
        <v>0</v>
      </c>
    </row>
    <row r="13" spans="1:6">
      <c r="A13" s="381">
        <v>3</v>
      </c>
      <c r="B13" s="356" t="s">
        <v>296</v>
      </c>
      <c r="C13" s="426"/>
      <c r="D13" s="381"/>
      <c r="E13" s="356"/>
      <c r="F13" s="426"/>
    </row>
    <row r="14" spans="1:6">
      <c r="A14" s="381"/>
      <c r="B14" s="439" t="s">
        <v>297</v>
      </c>
      <c r="C14" s="426"/>
      <c r="D14" s="381">
        <v>31</v>
      </c>
      <c r="E14" s="356" t="s">
        <v>298</v>
      </c>
      <c r="F14" s="426"/>
    </row>
    <row r="15" spans="1:6" ht="16.2" thickBot="1">
      <c r="A15" s="433"/>
      <c r="B15" s="435" t="s">
        <v>299</v>
      </c>
      <c r="C15" s="426">
        <v>14264600</v>
      </c>
      <c r="D15" s="433"/>
      <c r="E15" s="435" t="s">
        <v>300</v>
      </c>
      <c r="F15" s="426">
        <f>173400+11202816</f>
        <v>11376216</v>
      </c>
    </row>
    <row r="16" spans="1:6" ht="16.2" thickBot="1">
      <c r="A16" s="438">
        <v>4</v>
      </c>
      <c r="B16" s="440" t="s">
        <v>301</v>
      </c>
      <c r="C16" s="441">
        <f>+C11+C12-C15</f>
        <v>14885338</v>
      </c>
      <c r="D16" s="442">
        <v>32</v>
      </c>
      <c r="E16" s="443" t="s">
        <v>302</v>
      </c>
      <c r="F16" s="441">
        <f>+F15+F11+F12</f>
        <v>23471554</v>
      </c>
    </row>
    <row r="17" spans="1:6">
      <c r="A17" s="431">
        <v>5</v>
      </c>
      <c r="B17" s="356" t="s">
        <v>303</v>
      </c>
      <c r="C17" s="444">
        <v>0</v>
      </c>
      <c r="D17" s="381"/>
      <c r="E17" s="445" t="s">
        <v>304</v>
      </c>
      <c r="F17" s="426"/>
    </row>
    <row r="18" spans="1:6">
      <c r="A18" s="381">
        <v>6</v>
      </c>
      <c r="B18" s="446" t="s">
        <v>296</v>
      </c>
      <c r="C18" s="426"/>
      <c r="D18" s="432"/>
      <c r="E18" s="356"/>
      <c r="F18" s="426"/>
    </row>
    <row r="19" spans="1:6">
      <c r="A19" s="381"/>
      <c r="B19" s="439" t="s">
        <v>305</v>
      </c>
      <c r="C19" s="426"/>
      <c r="D19" s="381"/>
      <c r="E19" s="356"/>
      <c r="F19" s="426"/>
    </row>
    <row r="20" spans="1:6">
      <c r="A20" s="381"/>
      <c r="B20" s="439" t="s">
        <v>306</v>
      </c>
      <c r="C20" s="426">
        <v>0</v>
      </c>
      <c r="D20" s="433">
        <v>33</v>
      </c>
      <c r="E20" s="437" t="s">
        <v>307</v>
      </c>
      <c r="F20" s="428">
        <f>2505000+285000</f>
        <v>2790000</v>
      </c>
    </row>
    <row r="21" spans="1:6" ht="16.2" thickBot="1">
      <c r="A21" s="431">
        <v>7</v>
      </c>
      <c r="B21" s="447" t="s">
        <v>308</v>
      </c>
      <c r="C21" s="448"/>
      <c r="D21" s="432">
        <v>34</v>
      </c>
      <c r="E21" s="356" t="s">
        <v>309</v>
      </c>
      <c r="F21" s="426"/>
    </row>
    <row r="22" spans="1:6" ht="16.2" thickBot="1">
      <c r="A22" s="433"/>
      <c r="B22" s="449" t="s">
        <v>310</v>
      </c>
      <c r="C22" s="441">
        <f>+C16+C17-C20</f>
        <v>14885338</v>
      </c>
      <c r="D22" s="415"/>
      <c r="E22" s="435" t="s">
        <v>311</v>
      </c>
      <c r="F22" s="428">
        <v>0</v>
      </c>
    </row>
    <row r="23" spans="1:6">
      <c r="A23" s="381"/>
      <c r="B23" s="445" t="s">
        <v>312</v>
      </c>
      <c r="C23" s="426"/>
      <c r="D23" s="381">
        <v>35</v>
      </c>
      <c r="E23" s="356" t="s">
        <v>313</v>
      </c>
      <c r="F23" s="426"/>
    </row>
    <row r="24" spans="1:6">
      <c r="A24" s="433">
        <v>8</v>
      </c>
      <c r="B24" s="437" t="s">
        <v>314</v>
      </c>
      <c r="C24" s="354">
        <v>0</v>
      </c>
      <c r="D24" s="433"/>
      <c r="E24" s="435" t="s">
        <v>315</v>
      </c>
      <c r="F24" s="354">
        <v>0</v>
      </c>
    </row>
    <row r="25" spans="1:6">
      <c r="A25" s="381">
        <v>9</v>
      </c>
      <c r="B25" s="356" t="s">
        <v>296</v>
      </c>
      <c r="C25" s="350"/>
      <c r="D25" s="381">
        <v>36</v>
      </c>
      <c r="E25" s="356" t="s">
        <v>316</v>
      </c>
      <c r="F25" s="350"/>
    </row>
    <row r="26" spans="1:6">
      <c r="A26" s="433"/>
      <c r="B26" s="435" t="s">
        <v>317</v>
      </c>
      <c r="C26" s="354">
        <v>0</v>
      </c>
      <c r="D26" s="433"/>
      <c r="E26" s="435" t="s">
        <v>318</v>
      </c>
      <c r="F26" s="354">
        <v>0</v>
      </c>
    </row>
    <row r="27" spans="1:6" ht="16.2" thickBot="1">
      <c r="A27" s="381">
        <v>10</v>
      </c>
      <c r="B27" s="356" t="s">
        <v>319</v>
      </c>
      <c r="C27" s="350"/>
      <c r="D27" s="381"/>
      <c r="E27" s="356"/>
      <c r="F27" s="350"/>
    </row>
    <row r="28" spans="1:6" ht="16.2" thickBot="1">
      <c r="A28" s="433"/>
      <c r="B28" s="435" t="s">
        <v>320</v>
      </c>
      <c r="C28" s="354">
        <v>0</v>
      </c>
      <c r="D28" s="433">
        <v>37</v>
      </c>
      <c r="E28" s="450" t="s">
        <v>321</v>
      </c>
      <c r="F28" s="451">
        <f>+F20+F22+F24-F26</f>
        <v>2790000</v>
      </c>
    </row>
    <row r="29" spans="1:6" ht="16.2" thickBot="1">
      <c r="A29" s="438">
        <v>11</v>
      </c>
      <c r="B29" s="357" t="s">
        <v>322</v>
      </c>
      <c r="C29" s="389">
        <v>0</v>
      </c>
      <c r="D29" s="433"/>
      <c r="E29" s="437"/>
      <c r="F29" s="354"/>
    </row>
    <row r="30" spans="1:6" ht="16.2" thickBot="1">
      <c r="A30" s="438">
        <v>12</v>
      </c>
      <c r="B30" s="443" t="s">
        <v>323</v>
      </c>
      <c r="C30" s="451">
        <f>+C24+C26+C28+C29</f>
        <v>0</v>
      </c>
      <c r="D30" s="415"/>
      <c r="E30" s="452" t="s">
        <v>324</v>
      </c>
      <c r="F30" s="354"/>
    </row>
    <row r="31" spans="1:6">
      <c r="A31" s="381"/>
      <c r="B31" s="445" t="s">
        <v>325</v>
      </c>
      <c r="C31" s="350"/>
      <c r="D31" s="438">
        <v>38</v>
      </c>
      <c r="E31" s="357" t="s">
        <v>326</v>
      </c>
      <c r="F31" s="359">
        <f>15600+153398+37960+238524</f>
        <v>445482</v>
      </c>
    </row>
    <row r="32" spans="1:6" ht="16.2" thickBot="1">
      <c r="A32" s="381">
        <v>13</v>
      </c>
      <c r="B32" s="356" t="s">
        <v>327</v>
      </c>
      <c r="C32" s="350"/>
      <c r="D32" s="438">
        <v>39</v>
      </c>
      <c r="E32" s="357" t="s">
        <v>328</v>
      </c>
      <c r="F32" s="389">
        <v>0</v>
      </c>
    </row>
    <row r="33" spans="1:6" ht="16.2" thickBot="1">
      <c r="A33" s="433"/>
      <c r="B33" s="435" t="s">
        <v>329</v>
      </c>
      <c r="C33" s="354">
        <f>1917591+6367723+131342+173400</f>
        <v>8590056</v>
      </c>
      <c r="D33" s="433">
        <v>40</v>
      </c>
      <c r="E33" s="450" t="s">
        <v>330</v>
      </c>
      <c r="F33" s="451">
        <f>SUM(F31:F32)</f>
        <v>445482</v>
      </c>
    </row>
    <row r="34" spans="1:6">
      <c r="A34" s="381">
        <v>14</v>
      </c>
      <c r="B34" s="356" t="s">
        <v>331</v>
      </c>
      <c r="C34" s="350"/>
      <c r="D34" s="381"/>
      <c r="E34" s="356"/>
      <c r="F34" s="350"/>
    </row>
    <row r="35" spans="1:6">
      <c r="A35" s="433"/>
      <c r="B35" s="435" t="s">
        <v>332</v>
      </c>
      <c r="C35" s="354">
        <f>1787169+276167+13049</f>
        <v>2076385</v>
      </c>
      <c r="D35" s="433"/>
      <c r="E35" s="452" t="s">
        <v>333</v>
      </c>
      <c r="F35" s="354"/>
    </row>
    <row r="36" spans="1:6">
      <c r="A36" s="438">
        <v>15</v>
      </c>
      <c r="B36" s="357" t="s">
        <v>334</v>
      </c>
      <c r="C36" s="359">
        <v>1617845</v>
      </c>
      <c r="D36" s="433">
        <v>41</v>
      </c>
      <c r="E36" s="437" t="s">
        <v>335</v>
      </c>
      <c r="F36" s="354">
        <v>0</v>
      </c>
    </row>
    <row r="37" spans="1:6">
      <c r="A37" s="381">
        <v>16</v>
      </c>
      <c r="B37" s="356" t="s">
        <v>296</v>
      </c>
      <c r="C37" s="350"/>
      <c r="D37" s="381"/>
      <c r="E37" s="356"/>
      <c r="F37" s="350"/>
    </row>
    <row r="38" spans="1:6">
      <c r="A38" s="433"/>
      <c r="B38" s="435" t="s">
        <v>336</v>
      </c>
      <c r="C38" s="354">
        <v>0</v>
      </c>
      <c r="D38" s="433">
        <v>42</v>
      </c>
      <c r="E38" s="437" t="s">
        <v>337</v>
      </c>
      <c r="F38" s="354">
        <f>1171059+12571+62333+89398</f>
        <v>1335361</v>
      </c>
    </row>
    <row r="39" spans="1:6">
      <c r="A39" s="381">
        <v>17</v>
      </c>
      <c r="B39" s="356" t="s">
        <v>338</v>
      </c>
      <c r="C39" s="350" t="s">
        <v>2</v>
      </c>
      <c r="D39" s="381">
        <v>43</v>
      </c>
      <c r="E39" s="356" t="s">
        <v>339</v>
      </c>
      <c r="F39" s="350"/>
    </row>
    <row r="40" spans="1:6">
      <c r="A40" s="433"/>
      <c r="B40" s="435" t="s">
        <v>340</v>
      </c>
      <c r="C40" s="354">
        <v>55265</v>
      </c>
      <c r="D40" s="433"/>
      <c r="E40" s="435" t="s">
        <v>341</v>
      </c>
      <c r="F40" s="354">
        <v>0</v>
      </c>
    </row>
    <row r="41" spans="1:6">
      <c r="A41" s="438">
        <v>18</v>
      </c>
      <c r="B41" s="357" t="s">
        <v>342</v>
      </c>
      <c r="C41" s="359">
        <v>964431</v>
      </c>
      <c r="D41" s="433">
        <v>44</v>
      </c>
      <c r="E41" s="437" t="s">
        <v>343</v>
      </c>
      <c r="F41" s="354">
        <v>131342</v>
      </c>
    </row>
    <row r="42" spans="1:6">
      <c r="A42" s="438">
        <v>19</v>
      </c>
      <c r="B42" s="357" t="s">
        <v>344</v>
      </c>
      <c r="C42" s="359">
        <v>0</v>
      </c>
      <c r="D42" s="433">
        <v>45</v>
      </c>
      <c r="E42" s="437" t="s">
        <v>345</v>
      </c>
      <c r="F42" s="354">
        <v>0</v>
      </c>
    </row>
    <row r="43" spans="1:6">
      <c r="A43" s="438">
        <v>20</v>
      </c>
      <c r="B43" s="357" t="s">
        <v>346</v>
      </c>
      <c r="C43" s="359">
        <v>0</v>
      </c>
      <c r="D43" s="433">
        <v>46</v>
      </c>
      <c r="E43" s="437" t="s">
        <v>347</v>
      </c>
      <c r="F43" s="354">
        <v>15581</v>
      </c>
    </row>
    <row r="44" spans="1:6" ht="16.2" thickBot="1">
      <c r="A44" s="438">
        <v>21</v>
      </c>
      <c r="B44" s="357" t="s">
        <v>348</v>
      </c>
      <c r="C44" s="359">
        <v>0</v>
      </c>
      <c r="D44" s="433">
        <v>47</v>
      </c>
      <c r="E44" s="437" t="s">
        <v>349</v>
      </c>
      <c r="F44" s="350">
        <v>0</v>
      </c>
    </row>
    <row r="45" spans="1:6" ht="16.2" thickBot="1">
      <c r="A45" s="438">
        <v>22</v>
      </c>
      <c r="B45" s="357" t="s">
        <v>350</v>
      </c>
      <c r="C45" s="389">
        <v>0</v>
      </c>
      <c r="D45" s="433">
        <v>48</v>
      </c>
      <c r="E45" s="450" t="s">
        <v>351</v>
      </c>
      <c r="F45" s="451">
        <f>+F44+F43+F42+F41+F40+F38+F36</f>
        <v>1482284</v>
      </c>
    </row>
    <row r="46" spans="1:6" ht="16.2" thickBot="1">
      <c r="A46" s="438">
        <v>23</v>
      </c>
      <c r="B46" s="443" t="s">
        <v>352</v>
      </c>
      <c r="C46" s="451">
        <f>+C33+C35+C36-C38+C40+C42+C43+C44+C45+C41</f>
        <v>13303982</v>
      </c>
      <c r="D46" s="415"/>
      <c r="E46" s="452" t="s">
        <v>353</v>
      </c>
      <c r="F46" s="354"/>
    </row>
    <row r="47" spans="1:6">
      <c r="A47" s="356"/>
      <c r="B47" s="445" t="s">
        <v>354</v>
      </c>
      <c r="C47" s="350"/>
      <c r="D47" s="381">
        <v>49</v>
      </c>
      <c r="E47" s="356" t="s">
        <v>355</v>
      </c>
      <c r="F47" s="350"/>
    </row>
    <row r="48" spans="1:6">
      <c r="A48" s="433">
        <v>24</v>
      </c>
      <c r="B48" s="437" t="s">
        <v>356</v>
      </c>
      <c r="C48" s="354">
        <v>0</v>
      </c>
      <c r="D48" s="433"/>
      <c r="E48" s="453" t="s">
        <v>357</v>
      </c>
      <c r="F48" s="354">
        <v>0</v>
      </c>
    </row>
    <row r="49" spans="1:6">
      <c r="A49" s="381">
        <v>25</v>
      </c>
      <c r="B49" s="356" t="s">
        <v>358</v>
      </c>
      <c r="C49" s="350"/>
      <c r="D49" s="381">
        <v>50</v>
      </c>
      <c r="E49" s="356" t="s">
        <v>359</v>
      </c>
      <c r="F49" s="350"/>
    </row>
    <row r="50" spans="1:6">
      <c r="A50" s="437"/>
      <c r="B50" s="435" t="s">
        <v>360</v>
      </c>
      <c r="C50" s="354">
        <v>0</v>
      </c>
      <c r="D50" s="433"/>
      <c r="E50" s="435" t="s">
        <v>361</v>
      </c>
      <c r="F50" s="354">
        <v>0</v>
      </c>
    </row>
    <row r="51" spans="1:6">
      <c r="A51" s="381">
        <v>26</v>
      </c>
      <c r="B51" s="356" t="s">
        <v>362</v>
      </c>
      <c r="C51" s="350"/>
      <c r="D51" s="381"/>
      <c r="E51" s="356"/>
      <c r="F51" s="350"/>
    </row>
    <row r="52" spans="1:6">
      <c r="A52" s="381"/>
      <c r="B52" s="439" t="s">
        <v>363</v>
      </c>
      <c r="C52" s="350"/>
      <c r="D52" s="381">
        <v>51</v>
      </c>
      <c r="E52" s="356" t="s">
        <v>364</v>
      </c>
      <c r="F52" s="350"/>
    </row>
    <row r="53" spans="1:6" ht="16.2" thickBot="1">
      <c r="A53" s="433"/>
      <c r="B53" s="435" t="s">
        <v>365</v>
      </c>
      <c r="C53" s="350">
        <v>0</v>
      </c>
      <c r="D53" s="433"/>
      <c r="E53" s="453" t="s">
        <v>366</v>
      </c>
      <c r="F53" s="350">
        <v>0</v>
      </c>
    </row>
    <row r="54" spans="1:6" ht="16.2" thickBot="1">
      <c r="A54" s="438">
        <v>27</v>
      </c>
      <c r="B54" s="443" t="s">
        <v>367</v>
      </c>
      <c r="C54" s="451">
        <f>C48+C50+C53</f>
        <v>0</v>
      </c>
      <c r="D54" s="415">
        <v>52</v>
      </c>
      <c r="E54" s="450" t="s">
        <v>368</v>
      </c>
      <c r="F54" s="451">
        <f>+F53+F50+F48</f>
        <v>0</v>
      </c>
    </row>
    <row r="55" spans="1:6" ht="16.2" thickBot="1">
      <c r="A55" s="381"/>
      <c r="B55" s="454"/>
      <c r="C55" s="455"/>
      <c r="D55" s="381"/>
      <c r="E55" s="356"/>
      <c r="F55" s="350"/>
    </row>
    <row r="56" spans="1:6" ht="16.2" thickBot="1">
      <c r="A56" s="456">
        <v>28</v>
      </c>
      <c r="B56" s="457" t="s">
        <v>369</v>
      </c>
      <c r="C56" s="396">
        <f>+C54+C46+C21+C22+C30</f>
        <v>28189320</v>
      </c>
      <c r="D56" s="458">
        <v>53</v>
      </c>
      <c r="E56" s="457" t="s">
        <v>370</v>
      </c>
      <c r="F56" s="396">
        <f>+F54+F45+F28+F16+F33</f>
        <v>28189320</v>
      </c>
    </row>
    <row r="57" spans="1:6">
      <c r="A57" s="349"/>
      <c r="B57" s="349"/>
      <c r="C57" s="429"/>
      <c r="D57" s="349"/>
      <c r="E57" s="349"/>
      <c r="F57" s="430">
        <f>+C56-F56</f>
        <v>0</v>
      </c>
    </row>
    <row r="58" spans="1:6">
      <c r="A58" s="349"/>
      <c r="B58" s="349"/>
      <c r="C58" s="429"/>
      <c r="D58" s="349"/>
      <c r="E58" s="349"/>
      <c r="F58" s="430"/>
    </row>
    <row r="59" spans="1:6">
      <c r="A59" s="349"/>
      <c r="B59" s="349"/>
      <c r="C59" s="424"/>
      <c r="D59" s="349"/>
      <c r="E59" s="349"/>
      <c r="F59" s="430"/>
    </row>
    <row r="60" spans="1:6">
      <c r="A60" s="349"/>
      <c r="B60" s="349"/>
      <c r="C60" s="424"/>
      <c r="D60" s="349"/>
      <c r="E60" s="349"/>
      <c r="F60" s="430"/>
    </row>
    <row r="61" spans="1:6">
      <c r="A61" s="349"/>
      <c r="B61" s="349"/>
      <c r="C61" s="424"/>
      <c r="D61" s="349"/>
      <c r="E61" s="349"/>
      <c r="F61" s="430"/>
    </row>
    <row r="62" spans="1:6">
      <c r="A62" s="349"/>
      <c r="B62" s="349"/>
      <c r="C62" s="424"/>
      <c r="D62" s="349"/>
      <c r="E62" s="349"/>
      <c r="F62" s="430"/>
    </row>
    <row r="63" spans="1:6">
      <c r="A63" s="349"/>
      <c r="B63" s="349"/>
      <c r="C63" s="424"/>
      <c r="D63" s="349"/>
      <c r="E63" s="349"/>
      <c r="F63" s="430"/>
    </row>
    <row r="64" spans="1:6">
      <c r="A64" s="349"/>
      <c r="B64" s="349"/>
      <c r="C64" s="424"/>
      <c r="D64" s="349"/>
      <c r="E64" s="349"/>
      <c r="F64" s="349"/>
    </row>
    <row r="65" spans="1:6">
      <c r="A65" s="349"/>
      <c r="B65" s="349"/>
      <c r="C65" s="424"/>
      <c r="D65" s="349"/>
      <c r="E65" s="349"/>
      <c r="F65" s="349"/>
    </row>
    <row r="66" spans="1:6">
      <c r="A66" s="349"/>
      <c r="B66" s="349"/>
      <c r="C66" s="424"/>
      <c r="D66" s="349"/>
      <c r="E66" s="349"/>
      <c r="F66" s="349"/>
    </row>
    <row r="67" spans="1:6">
      <c r="A67" s="349"/>
      <c r="B67" s="349"/>
      <c r="C67" s="424"/>
      <c r="D67" s="349"/>
      <c r="E67" s="349"/>
      <c r="F67" s="349"/>
    </row>
    <row r="68" spans="1:6">
      <c r="A68" s="349"/>
      <c r="B68" s="349"/>
      <c r="C68" s="424"/>
      <c r="D68" s="349"/>
      <c r="E68" s="349"/>
      <c r="F68" s="349"/>
    </row>
    <row r="69" spans="1:6">
      <c r="A69" s="349"/>
      <c r="B69" s="349"/>
      <c r="C69" s="349"/>
      <c r="D69" s="349"/>
      <c r="E69" s="349"/>
      <c r="F69" s="349"/>
    </row>
    <row r="70" spans="1:6">
      <c r="A70" s="349"/>
      <c r="B70" s="349"/>
      <c r="C70" s="349"/>
      <c r="D70" s="349"/>
      <c r="E70" s="349"/>
      <c r="F70" s="349"/>
    </row>
    <row r="71" spans="1:6">
      <c r="A71" s="349"/>
      <c r="B71" s="349"/>
      <c r="C71" s="349"/>
      <c r="D71" s="349"/>
      <c r="E71" s="349"/>
      <c r="F71" s="349"/>
    </row>
    <row r="72" spans="1:6">
      <c r="A72" s="349"/>
      <c r="B72" s="349"/>
      <c r="C72" s="349"/>
      <c r="D72" s="349"/>
      <c r="E72" s="349"/>
      <c r="F72" s="349"/>
    </row>
    <row r="73" spans="1:6">
      <c r="A73" s="349"/>
      <c r="B73" s="349"/>
      <c r="C73" s="349"/>
      <c r="D73" s="349"/>
      <c r="E73" s="349"/>
      <c r="F73" s="349"/>
    </row>
    <row r="74" spans="1:6">
      <c r="A74" s="349"/>
      <c r="B74" s="349"/>
      <c r="C74" s="349"/>
      <c r="D74" s="349"/>
      <c r="E74" s="349"/>
      <c r="F74" s="349"/>
    </row>
    <row r="75" spans="1:6">
      <c r="A75" s="349"/>
      <c r="B75" s="349"/>
      <c r="C75" s="349"/>
      <c r="D75" s="349"/>
      <c r="E75" s="349"/>
      <c r="F75" s="349"/>
    </row>
    <row r="76" spans="1:6">
      <c r="A76" s="349"/>
      <c r="B76" s="349"/>
      <c r="C76" s="349"/>
      <c r="D76" s="349"/>
      <c r="E76" s="349"/>
      <c r="F76" s="349"/>
    </row>
  </sheetData>
  <mergeCells count="5">
    <mergeCell ref="A1:F1"/>
    <mergeCell ref="A2:F2"/>
    <mergeCell ref="A3:F3"/>
    <mergeCell ref="A4:F4"/>
    <mergeCell ref="A6:F6"/>
  </mergeCells>
  <pageMargins left="0.47" right="0.45" top="1" bottom="0.5" header="0.5" footer="0.5"/>
  <pageSetup scale="76"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53"/>
  <sheetViews>
    <sheetView zoomScale="90" workbookViewId="0">
      <selection activeCell="D9" sqref="D9:L31"/>
    </sheetView>
  </sheetViews>
  <sheetFormatPr defaultRowHeight="15.6"/>
  <cols>
    <col min="1" max="1" width="5.1796875" style="334" customWidth="1"/>
    <col min="2" max="2" width="60" style="334" customWidth="1"/>
    <col min="3" max="3" width="13" style="373" customWidth="1"/>
    <col min="4" max="4" width="8.90625" style="334"/>
    <col min="5" max="5" width="7.08984375" style="334" customWidth="1"/>
    <col min="6" max="6" width="17.6328125" style="334" customWidth="1"/>
    <col min="7" max="256" width="8.90625" style="334"/>
    <col min="257" max="257" width="5.1796875" style="334" customWidth="1"/>
    <col min="258" max="258" width="60" style="334" customWidth="1"/>
    <col min="259" max="259" width="13" style="334" customWidth="1"/>
    <col min="260" max="512" width="8.90625" style="334"/>
    <col min="513" max="513" width="5.1796875" style="334" customWidth="1"/>
    <col min="514" max="514" width="60" style="334" customWidth="1"/>
    <col min="515" max="515" width="13" style="334" customWidth="1"/>
    <col min="516" max="768" width="8.90625" style="334"/>
    <col min="769" max="769" width="5.1796875" style="334" customWidth="1"/>
    <col min="770" max="770" width="60" style="334" customWidth="1"/>
    <col min="771" max="771" width="13" style="334" customWidth="1"/>
    <col min="772" max="1024" width="8.90625" style="334"/>
    <col min="1025" max="1025" width="5.1796875" style="334" customWidth="1"/>
    <col min="1026" max="1026" width="60" style="334" customWidth="1"/>
    <col min="1027" max="1027" width="13" style="334" customWidth="1"/>
    <col min="1028" max="1280" width="8.90625" style="334"/>
    <col min="1281" max="1281" width="5.1796875" style="334" customWidth="1"/>
    <col min="1282" max="1282" width="60" style="334" customWidth="1"/>
    <col min="1283" max="1283" width="13" style="334" customWidth="1"/>
    <col min="1284" max="1536" width="8.90625" style="334"/>
    <col min="1537" max="1537" width="5.1796875" style="334" customWidth="1"/>
    <col min="1538" max="1538" width="60" style="334" customWidth="1"/>
    <col min="1539" max="1539" width="13" style="334" customWidth="1"/>
    <col min="1540" max="1792" width="8.90625" style="334"/>
    <col min="1793" max="1793" width="5.1796875" style="334" customWidth="1"/>
    <col min="1794" max="1794" width="60" style="334" customWidth="1"/>
    <col min="1795" max="1795" width="13" style="334" customWidth="1"/>
    <col min="1796" max="2048" width="8.90625" style="334"/>
    <col min="2049" max="2049" width="5.1796875" style="334" customWidth="1"/>
    <col min="2050" max="2050" width="60" style="334" customWidth="1"/>
    <col min="2051" max="2051" width="13" style="334" customWidth="1"/>
    <col min="2052" max="2304" width="8.90625" style="334"/>
    <col min="2305" max="2305" width="5.1796875" style="334" customWidth="1"/>
    <col min="2306" max="2306" width="60" style="334" customWidth="1"/>
    <col min="2307" max="2307" width="13" style="334" customWidth="1"/>
    <col min="2308" max="2560" width="8.90625" style="334"/>
    <col min="2561" max="2561" width="5.1796875" style="334" customWidth="1"/>
    <col min="2562" max="2562" width="60" style="334" customWidth="1"/>
    <col min="2563" max="2563" width="13" style="334" customWidth="1"/>
    <col min="2564" max="2816" width="8.90625" style="334"/>
    <col min="2817" max="2817" width="5.1796875" style="334" customWidth="1"/>
    <col min="2818" max="2818" width="60" style="334" customWidth="1"/>
    <col min="2819" max="2819" width="13" style="334" customWidth="1"/>
    <col min="2820" max="3072" width="8.90625" style="334"/>
    <col min="3073" max="3073" width="5.1796875" style="334" customWidth="1"/>
    <col min="3074" max="3074" width="60" style="334" customWidth="1"/>
    <col min="3075" max="3075" width="13" style="334" customWidth="1"/>
    <col min="3076" max="3328" width="8.90625" style="334"/>
    <col min="3329" max="3329" width="5.1796875" style="334" customWidth="1"/>
    <col min="3330" max="3330" width="60" style="334" customWidth="1"/>
    <col min="3331" max="3331" width="13" style="334" customWidth="1"/>
    <col min="3332" max="3584" width="8.90625" style="334"/>
    <col min="3585" max="3585" width="5.1796875" style="334" customWidth="1"/>
    <col min="3586" max="3586" width="60" style="334" customWidth="1"/>
    <col min="3587" max="3587" width="13" style="334" customWidth="1"/>
    <col min="3588" max="3840" width="8.90625" style="334"/>
    <col min="3841" max="3841" width="5.1796875" style="334" customWidth="1"/>
    <col min="3842" max="3842" width="60" style="334" customWidth="1"/>
    <col min="3843" max="3843" width="13" style="334" customWidth="1"/>
    <col min="3844" max="4096" width="8.90625" style="334"/>
    <col min="4097" max="4097" width="5.1796875" style="334" customWidth="1"/>
    <col min="4098" max="4098" width="60" style="334" customWidth="1"/>
    <col min="4099" max="4099" width="13" style="334" customWidth="1"/>
    <col min="4100" max="4352" width="8.90625" style="334"/>
    <col min="4353" max="4353" width="5.1796875" style="334" customWidth="1"/>
    <col min="4354" max="4354" width="60" style="334" customWidth="1"/>
    <col min="4355" max="4355" width="13" style="334" customWidth="1"/>
    <col min="4356" max="4608" width="8.90625" style="334"/>
    <col min="4609" max="4609" width="5.1796875" style="334" customWidth="1"/>
    <col min="4610" max="4610" width="60" style="334" customWidth="1"/>
    <col min="4611" max="4611" width="13" style="334" customWidth="1"/>
    <col min="4612" max="4864" width="8.90625" style="334"/>
    <col min="4865" max="4865" width="5.1796875" style="334" customWidth="1"/>
    <col min="4866" max="4866" width="60" style="334" customWidth="1"/>
    <col min="4867" max="4867" width="13" style="334" customWidth="1"/>
    <col min="4868" max="5120" width="8.90625" style="334"/>
    <col min="5121" max="5121" width="5.1796875" style="334" customWidth="1"/>
    <col min="5122" max="5122" width="60" style="334" customWidth="1"/>
    <col min="5123" max="5123" width="13" style="334" customWidth="1"/>
    <col min="5124" max="5376" width="8.90625" style="334"/>
    <col min="5377" max="5377" width="5.1796875" style="334" customWidth="1"/>
    <col min="5378" max="5378" width="60" style="334" customWidth="1"/>
    <col min="5379" max="5379" width="13" style="334" customWidth="1"/>
    <col min="5380" max="5632" width="8.90625" style="334"/>
    <col min="5633" max="5633" width="5.1796875" style="334" customWidth="1"/>
    <col min="5634" max="5634" width="60" style="334" customWidth="1"/>
    <col min="5635" max="5635" width="13" style="334" customWidth="1"/>
    <col min="5636" max="5888" width="8.90625" style="334"/>
    <col min="5889" max="5889" width="5.1796875" style="334" customWidth="1"/>
    <col min="5890" max="5890" width="60" style="334" customWidth="1"/>
    <col min="5891" max="5891" width="13" style="334" customWidth="1"/>
    <col min="5892" max="6144" width="8.90625" style="334"/>
    <col min="6145" max="6145" width="5.1796875" style="334" customWidth="1"/>
    <col min="6146" max="6146" width="60" style="334" customWidth="1"/>
    <col min="6147" max="6147" width="13" style="334" customWidth="1"/>
    <col min="6148" max="6400" width="8.90625" style="334"/>
    <col min="6401" max="6401" width="5.1796875" style="334" customWidth="1"/>
    <col min="6402" max="6402" width="60" style="334" customWidth="1"/>
    <col min="6403" max="6403" width="13" style="334" customWidth="1"/>
    <col min="6404" max="6656" width="8.90625" style="334"/>
    <col min="6657" max="6657" width="5.1796875" style="334" customWidth="1"/>
    <col min="6658" max="6658" width="60" style="334" customWidth="1"/>
    <col min="6659" max="6659" width="13" style="334" customWidth="1"/>
    <col min="6660" max="6912" width="8.90625" style="334"/>
    <col min="6913" max="6913" width="5.1796875" style="334" customWidth="1"/>
    <col min="6914" max="6914" width="60" style="334" customWidth="1"/>
    <col min="6915" max="6915" width="13" style="334" customWidth="1"/>
    <col min="6916" max="7168" width="8.90625" style="334"/>
    <col min="7169" max="7169" width="5.1796875" style="334" customWidth="1"/>
    <col min="7170" max="7170" width="60" style="334" customWidth="1"/>
    <col min="7171" max="7171" width="13" style="334" customWidth="1"/>
    <col min="7172" max="7424" width="8.90625" style="334"/>
    <col min="7425" max="7425" width="5.1796875" style="334" customWidth="1"/>
    <col min="7426" max="7426" width="60" style="334" customWidth="1"/>
    <col min="7427" max="7427" width="13" style="334" customWidth="1"/>
    <col min="7428" max="7680" width="8.90625" style="334"/>
    <col min="7681" max="7681" width="5.1796875" style="334" customWidth="1"/>
    <col min="7682" max="7682" width="60" style="334" customWidth="1"/>
    <col min="7683" max="7683" width="13" style="334" customWidth="1"/>
    <col min="7684" max="7936" width="8.90625" style="334"/>
    <col min="7937" max="7937" width="5.1796875" style="334" customWidth="1"/>
    <col min="7938" max="7938" width="60" style="334" customWidth="1"/>
    <col min="7939" max="7939" width="13" style="334" customWidth="1"/>
    <col min="7940" max="8192" width="8.90625" style="334"/>
    <col min="8193" max="8193" width="5.1796875" style="334" customWidth="1"/>
    <col min="8194" max="8194" width="60" style="334" customWidth="1"/>
    <col min="8195" max="8195" width="13" style="334" customWidth="1"/>
    <col min="8196" max="8448" width="8.90625" style="334"/>
    <col min="8449" max="8449" width="5.1796875" style="334" customWidth="1"/>
    <col min="8450" max="8450" width="60" style="334" customWidth="1"/>
    <col min="8451" max="8451" width="13" style="334" customWidth="1"/>
    <col min="8452" max="8704" width="8.90625" style="334"/>
    <col min="8705" max="8705" width="5.1796875" style="334" customWidth="1"/>
    <col min="8706" max="8706" width="60" style="334" customWidth="1"/>
    <col min="8707" max="8707" width="13" style="334" customWidth="1"/>
    <col min="8708" max="8960" width="8.90625" style="334"/>
    <col min="8961" max="8961" width="5.1796875" style="334" customWidth="1"/>
    <col min="8962" max="8962" width="60" style="334" customWidth="1"/>
    <col min="8963" max="8963" width="13" style="334" customWidth="1"/>
    <col min="8964" max="9216" width="8.90625" style="334"/>
    <col min="9217" max="9217" width="5.1796875" style="334" customWidth="1"/>
    <col min="9218" max="9218" width="60" style="334" customWidth="1"/>
    <col min="9219" max="9219" width="13" style="334" customWidth="1"/>
    <col min="9220" max="9472" width="8.90625" style="334"/>
    <col min="9473" max="9473" width="5.1796875" style="334" customWidth="1"/>
    <col min="9474" max="9474" width="60" style="334" customWidth="1"/>
    <col min="9475" max="9475" width="13" style="334" customWidth="1"/>
    <col min="9476" max="9728" width="8.90625" style="334"/>
    <col min="9729" max="9729" width="5.1796875" style="334" customWidth="1"/>
    <col min="9730" max="9730" width="60" style="334" customWidth="1"/>
    <col min="9731" max="9731" width="13" style="334" customWidth="1"/>
    <col min="9732" max="9984" width="8.90625" style="334"/>
    <col min="9985" max="9985" width="5.1796875" style="334" customWidth="1"/>
    <col min="9986" max="9986" width="60" style="334" customWidth="1"/>
    <col min="9987" max="9987" width="13" style="334" customWidth="1"/>
    <col min="9988" max="10240" width="8.90625" style="334"/>
    <col min="10241" max="10241" width="5.1796875" style="334" customWidth="1"/>
    <col min="10242" max="10242" width="60" style="334" customWidth="1"/>
    <col min="10243" max="10243" width="13" style="334" customWidth="1"/>
    <col min="10244" max="10496" width="8.90625" style="334"/>
    <col min="10497" max="10497" width="5.1796875" style="334" customWidth="1"/>
    <col min="10498" max="10498" width="60" style="334" customWidth="1"/>
    <col min="10499" max="10499" width="13" style="334" customWidth="1"/>
    <col min="10500" max="10752" width="8.90625" style="334"/>
    <col min="10753" max="10753" width="5.1796875" style="334" customWidth="1"/>
    <col min="10754" max="10754" width="60" style="334" customWidth="1"/>
    <col min="10755" max="10755" width="13" style="334" customWidth="1"/>
    <col min="10756" max="11008" width="8.90625" style="334"/>
    <col min="11009" max="11009" width="5.1796875" style="334" customWidth="1"/>
    <col min="11010" max="11010" width="60" style="334" customWidth="1"/>
    <col min="11011" max="11011" width="13" style="334" customWidth="1"/>
    <col min="11012" max="11264" width="8.90625" style="334"/>
    <col min="11265" max="11265" width="5.1796875" style="334" customWidth="1"/>
    <col min="11266" max="11266" width="60" style="334" customWidth="1"/>
    <col min="11267" max="11267" width="13" style="334" customWidth="1"/>
    <col min="11268" max="11520" width="8.90625" style="334"/>
    <col min="11521" max="11521" width="5.1796875" style="334" customWidth="1"/>
    <col min="11522" max="11522" width="60" style="334" customWidth="1"/>
    <col min="11523" max="11523" width="13" style="334" customWidth="1"/>
    <col min="11524" max="11776" width="8.90625" style="334"/>
    <col min="11777" max="11777" width="5.1796875" style="334" customWidth="1"/>
    <col min="11778" max="11778" width="60" style="334" customWidth="1"/>
    <col min="11779" max="11779" width="13" style="334" customWidth="1"/>
    <col min="11780" max="12032" width="8.90625" style="334"/>
    <col min="12033" max="12033" width="5.1796875" style="334" customWidth="1"/>
    <col min="12034" max="12034" width="60" style="334" customWidth="1"/>
    <col min="12035" max="12035" width="13" style="334" customWidth="1"/>
    <col min="12036" max="12288" width="8.90625" style="334"/>
    <col min="12289" max="12289" width="5.1796875" style="334" customWidth="1"/>
    <col min="12290" max="12290" width="60" style="334" customWidth="1"/>
    <col min="12291" max="12291" width="13" style="334" customWidth="1"/>
    <col min="12292" max="12544" width="8.90625" style="334"/>
    <col min="12545" max="12545" width="5.1796875" style="334" customWidth="1"/>
    <col min="12546" max="12546" width="60" style="334" customWidth="1"/>
    <col min="12547" max="12547" width="13" style="334" customWidth="1"/>
    <col min="12548" max="12800" width="8.90625" style="334"/>
    <col min="12801" max="12801" width="5.1796875" style="334" customWidth="1"/>
    <col min="12802" max="12802" width="60" style="334" customWidth="1"/>
    <col min="12803" max="12803" width="13" style="334" customWidth="1"/>
    <col min="12804" max="13056" width="8.90625" style="334"/>
    <col min="13057" max="13057" width="5.1796875" style="334" customWidth="1"/>
    <col min="13058" max="13058" width="60" style="334" customWidth="1"/>
    <col min="13059" max="13059" width="13" style="334" customWidth="1"/>
    <col min="13060" max="13312" width="8.90625" style="334"/>
    <col min="13313" max="13313" width="5.1796875" style="334" customWidth="1"/>
    <col min="13314" max="13314" width="60" style="334" customWidth="1"/>
    <col min="13315" max="13315" width="13" style="334" customWidth="1"/>
    <col min="13316" max="13568" width="8.90625" style="334"/>
    <col min="13569" max="13569" width="5.1796875" style="334" customWidth="1"/>
    <col min="13570" max="13570" width="60" style="334" customWidth="1"/>
    <col min="13571" max="13571" width="13" style="334" customWidth="1"/>
    <col min="13572" max="13824" width="8.90625" style="334"/>
    <col min="13825" max="13825" width="5.1796875" style="334" customWidth="1"/>
    <col min="13826" max="13826" width="60" style="334" customWidth="1"/>
    <col min="13827" max="13827" width="13" style="334" customWidth="1"/>
    <col min="13828" max="14080" width="8.90625" style="334"/>
    <col min="14081" max="14081" width="5.1796875" style="334" customWidth="1"/>
    <col min="14082" max="14082" width="60" style="334" customWidth="1"/>
    <col min="14083" max="14083" width="13" style="334" customWidth="1"/>
    <col min="14084" max="14336" width="8.90625" style="334"/>
    <col min="14337" max="14337" width="5.1796875" style="334" customWidth="1"/>
    <col min="14338" max="14338" width="60" style="334" customWidth="1"/>
    <col min="14339" max="14339" width="13" style="334" customWidth="1"/>
    <col min="14340" max="14592" width="8.90625" style="334"/>
    <col min="14593" max="14593" width="5.1796875" style="334" customWidth="1"/>
    <col min="14594" max="14594" width="60" style="334" customWidth="1"/>
    <col min="14595" max="14595" width="13" style="334" customWidth="1"/>
    <col min="14596" max="14848" width="8.90625" style="334"/>
    <col min="14849" max="14849" width="5.1796875" style="334" customWidth="1"/>
    <col min="14850" max="14850" width="60" style="334" customWidth="1"/>
    <col min="14851" max="14851" width="13" style="334" customWidth="1"/>
    <col min="14852" max="15104" width="8.90625" style="334"/>
    <col min="15105" max="15105" width="5.1796875" style="334" customWidth="1"/>
    <col min="15106" max="15106" width="60" style="334" customWidth="1"/>
    <col min="15107" max="15107" width="13" style="334" customWidth="1"/>
    <col min="15108" max="15360" width="8.90625" style="334"/>
    <col min="15361" max="15361" width="5.1796875" style="334" customWidth="1"/>
    <col min="15362" max="15362" width="60" style="334" customWidth="1"/>
    <col min="15363" max="15363" width="13" style="334" customWidth="1"/>
    <col min="15364" max="15616" width="8.90625" style="334"/>
    <col min="15617" max="15617" width="5.1796875" style="334" customWidth="1"/>
    <col min="15618" max="15618" width="60" style="334" customWidth="1"/>
    <col min="15619" max="15619" width="13" style="334" customWidth="1"/>
    <col min="15620" max="15872" width="8.90625" style="334"/>
    <col min="15873" max="15873" width="5.1796875" style="334" customWidth="1"/>
    <col min="15874" max="15874" width="60" style="334" customWidth="1"/>
    <col min="15875" max="15875" width="13" style="334" customWidth="1"/>
    <col min="15876" max="16128" width="8.90625" style="334"/>
    <col min="16129" max="16129" width="5.1796875" style="334" customWidth="1"/>
    <col min="16130" max="16130" width="60" style="334" customWidth="1"/>
    <col min="16131" max="16131" width="13" style="334" customWidth="1"/>
    <col min="16132" max="16384" width="8.90625" style="334"/>
  </cols>
  <sheetData>
    <row r="1" spans="1:9">
      <c r="A1" s="514" t="str">
        <f>+'Schedule 2'!A1:F1</f>
        <v>Detroit Lakes (Minnesota) Public Utilities</v>
      </c>
      <c r="B1" s="514"/>
      <c r="C1" s="514"/>
      <c r="D1" s="331"/>
      <c r="E1" s="331"/>
      <c r="F1" s="331"/>
    </row>
    <row r="2" spans="1:9">
      <c r="A2" s="514" t="s">
        <v>281</v>
      </c>
      <c r="B2" s="514"/>
      <c r="C2" s="514"/>
      <c r="D2" s="331"/>
      <c r="E2" s="331"/>
      <c r="F2" s="331"/>
    </row>
    <row r="3" spans="1:9">
      <c r="A3" s="514" t="s">
        <v>371</v>
      </c>
      <c r="B3" s="514"/>
      <c r="C3" s="514"/>
      <c r="D3" s="331"/>
      <c r="E3" s="331"/>
      <c r="F3" s="331"/>
    </row>
    <row r="4" spans="1:9">
      <c r="A4" s="515" t="str">
        <f>+'Schedule 2'!A4:F4</f>
        <v>For the Year Ended December 31, 2014</v>
      </c>
      <c r="B4" s="515"/>
      <c r="C4" s="515"/>
      <c r="D4" s="332"/>
      <c r="E4" s="332"/>
      <c r="F4" s="332"/>
    </row>
    <row r="5" spans="1:9">
      <c r="A5" s="331"/>
      <c r="B5" s="331"/>
      <c r="C5" s="352"/>
      <c r="D5" s="331"/>
      <c r="E5" s="331"/>
      <c r="F5" s="331"/>
    </row>
    <row r="6" spans="1:9">
      <c r="A6" s="516" t="s">
        <v>372</v>
      </c>
      <c r="B6" s="516"/>
      <c r="C6" s="516"/>
      <c r="D6" s="411"/>
      <c r="E6" s="411"/>
      <c r="F6" s="411"/>
    </row>
    <row r="7" spans="1:9">
      <c r="A7" s="335" t="s">
        <v>4</v>
      </c>
      <c r="B7" s="412"/>
      <c r="C7" s="413" t="s">
        <v>7</v>
      </c>
    </row>
    <row r="8" spans="1:9">
      <c r="A8" s="337" t="s">
        <v>6</v>
      </c>
      <c r="B8" s="414"/>
      <c r="C8" s="415" t="s">
        <v>286</v>
      </c>
    </row>
    <row r="9" spans="1:9">
      <c r="A9" s="337">
        <v>1</v>
      </c>
      <c r="B9" s="414" t="s">
        <v>373</v>
      </c>
      <c r="C9" s="416">
        <v>17422577</v>
      </c>
      <c r="F9" s="410"/>
    </row>
    <row r="10" spans="1:9">
      <c r="A10" s="337">
        <v>2</v>
      </c>
      <c r="B10" s="414" t="s">
        <v>374</v>
      </c>
      <c r="C10" s="355">
        <v>14546130</v>
      </c>
    </row>
    <row r="11" spans="1:9">
      <c r="A11" s="337">
        <v>3</v>
      </c>
      <c r="B11" s="414" t="s">
        <v>375</v>
      </c>
      <c r="C11" s="355"/>
    </row>
    <row r="12" spans="1:9">
      <c r="A12" s="382">
        <v>4</v>
      </c>
      <c r="B12" s="417" t="s">
        <v>376</v>
      </c>
      <c r="C12" s="360">
        <v>827357</v>
      </c>
      <c r="E12" s="334" t="s">
        <v>978</v>
      </c>
      <c r="F12" s="496"/>
      <c r="G12" s="497">
        <v>2014</v>
      </c>
      <c r="H12" s="496"/>
      <c r="I12" s="496"/>
    </row>
    <row r="13" spans="1:9">
      <c r="A13" s="337">
        <v>5</v>
      </c>
      <c r="B13" s="414" t="s">
        <v>377</v>
      </c>
      <c r="C13" s="355">
        <v>0</v>
      </c>
      <c r="F13" s="496" t="s">
        <v>980</v>
      </c>
      <c r="G13" s="498">
        <f>+'Schedule 5'!C12</f>
        <v>559948</v>
      </c>
      <c r="H13" s="496" t="s">
        <v>981</v>
      </c>
      <c r="I13" s="496"/>
    </row>
    <row r="14" spans="1:9" ht="16.2" thickBot="1">
      <c r="A14" s="418">
        <v>6</v>
      </c>
      <c r="B14" s="419" t="s">
        <v>378</v>
      </c>
      <c r="C14" s="351">
        <f>+G13</f>
        <v>559948</v>
      </c>
      <c r="D14" s="373"/>
      <c r="E14" s="373"/>
      <c r="F14" s="499" t="s">
        <v>980</v>
      </c>
      <c r="G14" s="498">
        <f>+'Schedule 5'!C13</f>
        <v>28840</v>
      </c>
      <c r="H14" s="334" t="s">
        <v>935</v>
      </c>
      <c r="I14" s="496"/>
    </row>
    <row r="15" spans="1:9" ht="16.2" thickBot="1">
      <c r="A15" s="420">
        <v>7</v>
      </c>
      <c r="B15" s="421" t="s">
        <v>379</v>
      </c>
      <c r="C15" s="422">
        <f>SUM(C10:C14)</f>
        <v>15933435</v>
      </c>
      <c r="D15" s="373"/>
      <c r="E15" s="373"/>
      <c r="F15" s="499" t="s">
        <v>738</v>
      </c>
      <c r="G15" s="500">
        <f>+G13+G14</f>
        <v>588788</v>
      </c>
      <c r="H15" s="496"/>
      <c r="I15" s="496"/>
    </row>
    <row r="16" spans="1:9" ht="16.2" thickBot="1">
      <c r="A16" s="420">
        <v>8</v>
      </c>
      <c r="B16" s="423" t="s">
        <v>380</v>
      </c>
      <c r="C16" s="422">
        <f>+C9-C15</f>
        <v>1489142</v>
      </c>
      <c r="D16" s="373"/>
      <c r="E16" s="373"/>
      <c r="F16" s="499"/>
      <c r="G16" s="499"/>
      <c r="H16" s="496"/>
      <c r="I16" s="496"/>
    </row>
    <row r="17" spans="1:8" ht="16.2" thickBot="1">
      <c r="A17" s="418">
        <v>9</v>
      </c>
      <c r="B17" s="419" t="s">
        <v>381</v>
      </c>
      <c r="C17" s="351"/>
      <c r="D17" s="373"/>
      <c r="E17" s="373"/>
      <c r="F17" s="373"/>
      <c r="G17" s="373"/>
      <c r="H17" s="373"/>
    </row>
    <row r="18" spans="1:8" ht="16.2" thickBot="1">
      <c r="A18" s="420">
        <v>10</v>
      </c>
      <c r="B18" s="421" t="s">
        <v>382</v>
      </c>
      <c r="C18" s="422">
        <f>+C17+C16</f>
        <v>1489142</v>
      </c>
      <c r="D18" s="373"/>
      <c r="E18" s="373"/>
      <c r="F18" s="373"/>
      <c r="G18" s="373"/>
      <c r="H18" s="373"/>
    </row>
    <row r="19" spans="1:8">
      <c r="A19" s="337">
        <v>11</v>
      </c>
      <c r="B19" s="414" t="s">
        <v>383</v>
      </c>
      <c r="C19" s="355">
        <v>224340</v>
      </c>
      <c r="E19" s="373" t="s">
        <v>936</v>
      </c>
      <c r="F19" s="373"/>
      <c r="G19" s="373"/>
      <c r="H19" s="373"/>
    </row>
    <row r="20" spans="1:8">
      <c r="A20" s="337">
        <v>12</v>
      </c>
      <c r="B20" s="414" t="s">
        <v>384</v>
      </c>
      <c r="C20" s="355">
        <f>16130+G14</f>
        <v>44970</v>
      </c>
      <c r="E20" s="373" t="s">
        <v>960</v>
      </c>
      <c r="F20" s="373"/>
      <c r="G20" s="373"/>
      <c r="H20" s="373"/>
    </row>
    <row r="21" spans="1:8">
      <c r="A21" s="337">
        <v>13</v>
      </c>
      <c r="B21" s="414" t="s">
        <v>385</v>
      </c>
      <c r="C21" s="355"/>
      <c r="E21" s="373"/>
      <c r="F21" s="373"/>
      <c r="G21" s="373"/>
      <c r="H21" s="373"/>
    </row>
    <row r="22" spans="1:8" ht="16.2" thickBot="1">
      <c r="A22" s="418">
        <v>14</v>
      </c>
      <c r="B22" s="419" t="s">
        <v>386</v>
      </c>
      <c r="C22" s="351"/>
      <c r="E22" s="373"/>
      <c r="F22" s="373"/>
      <c r="G22" s="373"/>
      <c r="H22" s="373"/>
    </row>
    <row r="23" spans="1:8" ht="16.2" thickBot="1">
      <c r="A23" s="420">
        <v>15</v>
      </c>
      <c r="B23" s="421" t="s">
        <v>387</v>
      </c>
      <c r="C23" s="422">
        <f>+C18+C19-C20-C21-C22</f>
        <v>1668512</v>
      </c>
      <c r="E23" s="373"/>
      <c r="F23" s="373"/>
      <c r="G23" s="373"/>
      <c r="H23" s="373"/>
    </row>
    <row r="24" spans="1:8">
      <c r="A24" s="337">
        <v>16</v>
      </c>
      <c r="B24" s="414" t="s">
        <v>388</v>
      </c>
      <c r="C24" s="355">
        <f>37511</f>
        <v>37511</v>
      </c>
      <c r="F24" s="373"/>
      <c r="G24" s="373"/>
      <c r="H24" s="373"/>
    </row>
    <row r="25" spans="1:8">
      <c r="A25" s="337">
        <v>17</v>
      </c>
      <c r="B25" s="414" t="s">
        <v>389</v>
      </c>
      <c r="C25" s="355">
        <v>210995</v>
      </c>
      <c r="E25" s="373"/>
      <c r="F25" s="373"/>
      <c r="G25" s="373"/>
      <c r="H25" s="373"/>
    </row>
    <row r="26" spans="1:8" ht="16.2" thickBot="1">
      <c r="A26" s="418">
        <v>18</v>
      </c>
      <c r="B26" s="419" t="s">
        <v>390</v>
      </c>
      <c r="C26" s="351">
        <v>0</v>
      </c>
      <c r="E26" s="373"/>
      <c r="F26" s="373"/>
      <c r="G26" s="373"/>
      <c r="H26" s="373"/>
    </row>
    <row r="27" spans="1:8" ht="16.2" thickBot="1">
      <c r="A27" s="420">
        <v>19</v>
      </c>
      <c r="B27" s="421" t="s">
        <v>391</v>
      </c>
      <c r="C27" s="422">
        <f>SUM(C24:C26)</f>
        <v>248506</v>
      </c>
      <c r="E27" s="373"/>
      <c r="F27" s="373"/>
      <c r="G27" s="373"/>
    </row>
    <row r="28" spans="1:8" ht="16.2" thickBot="1">
      <c r="A28" s="420">
        <v>20</v>
      </c>
      <c r="B28" s="421" t="s">
        <v>392</v>
      </c>
      <c r="C28" s="422">
        <f>+C23-C27</f>
        <v>1420006</v>
      </c>
      <c r="E28" s="373"/>
      <c r="F28" s="373"/>
      <c r="G28" s="373"/>
    </row>
    <row r="29" spans="1:8">
      <c r="A29" s="337">
        <v>21</v>
      </c>
      <c r="B29" s="414" t="s">
        <v>393</v>
      </c>
      <c r="C29" s="355">
        <v>465431</v>
      </c>
      <c r="E29" s="373" t="s">
        <v>979</v>
      </c>
      <c r="F29" s="373"/>
      <c r="G29" s="373"/>
    </row>
    <row r="30" spans="1:8" ht="16.2" thickBot="1">
      <c r="A30" s="418">
        <v>22</v>
      </c>
      <c r="B30" s="419" t="s">
        <v>394</v>
      </c>
      <c r="C30" s="351">
        <v>0</v>
      </c>
    </row>
    <row r="31" spans="1:8" ht="16.2" thickBot="1">
      <c r="A31" s="420">
        <v>23</v>
      </c>
      <c r="B31" s="423" t="s">
        <v>395</v>
      </c>
      <c r="C31" s="395">
        <f>SUM(C28:C30)</f>
        <v>1885437</v>
      </c>
    </row>
    <row r="32" spans="1:8">
      <c r="A32" s="340"/>
      <c r="B32" s="340"/>
      <c r="C32" s="424"/>
    </row>
    <row r="33" spans="1:4">
      <c r="A33" s="340"/>
      <c r="B33" s="340"/>
      <c r="C33" s="424"/>
      <c r="D33" s="340"/>
    </row>
    <row r="34" spans="1:4">
      <c r="A34" s="340"/>
      <c r="B34" s="340"/>
      <c r="C34" s="424"/>
      <c r="D34" s="340"/>
    </row>
    <row r="35" spans="1:4">
      <c r="A35" s="340"/>
      <c r="B35" s="340"/>
      <c r="C35" s="424"/>
      <c r="D35" s="340"/>
    </row>
    <row r="36" spans="1:4">
      <c r="A36" s="340"/>
      <c r="B36" s="340"/>
      <c r="C36" s="424"/>
      <c r="D36" s="340"/>
    </row>
    <row r="37" spans="1:4">
      <c r="A37" s="340"/>
      <c r="B37" s="340"/>
      <c r="C37" s="424"/>
      <c r="D37" s="340"/>
    </row>
    <row r="38" spans="1:4">
      <c r="A38" s="340"/>
      <c r="B38" s="340"/>
      <c r="C38" s="424"/>
      <c r="D38" s="340"/>
    </row>
    <row r="39" spans="1:4">
      <c r="A39" s="340"/>
      <c r="B39" s="340"/>
      <c r="C39" s="424"/>
      <c r="D39" s="340"/>
    </row>
    <row r="40" spans="1:4">
      <c r="A40" s="340"/>
      <c r="B40" s="340"/>
      <c r="C40" s="424"/>
      <c r="D40" s="340"/>
    </row>
    <row r="41" spans="1:4">
      <c r="A41" s="340"/>
      <c r="B41" s="340"/>
      <c r="C41" s="424"/>
      <c r="D41" s="340"/>
    </row>
    <row r="42" spans="1:4">
      <c r="A42" s="340"/>
      <c r="B42" s="340"/>
      <c r="C42" s="424"/>
      <c r="D42" s="340"/>
    </row>
    <row r="43" spans="1:4">
      <c r="A43" s="340"/>
      <c r="B43" s="340"/>
      <c r="C43" s="424"/>
      <c r="D43" s="340"/>
    </row>
    <row r="44" spans="1:4">
      <c r="C44" s="374"/>
    </row>
    <row r="45" spans="1:4">
      <c r="C45" s="374"/>
    </row>
    <row r="46" spans="1:4">
      <c r="C46" s="374"/>
    </row>
    <row r="47" spans="1:4">
      <c r="C47" s="374"/>
    </row>
    <row r="48" spans="1:4">
      <c r="C48" s="374"/>
    </row>
    <row r="49" spans="3:3">
      <c r="C49" s="374"/>
    </row>
    <row r="50" spans="3:3">
      <c r="C50" s="374"/>
    </row>
    <row r="51" spans="3:3">
      <c r="C51" s="374"/>
    </row>
    <row r="52" spans="3:3">
      <c r="C52" s="374"/>
    </row>
    <row r="53" spans="3:3">
      <c r="C53" s="374"/>
    </row>
  </sheetData>
  <mergeCells count="5">
    <mergeCell ref="A1:C1"/>
    <mergeCell ref="A2:C2"/>
    <mergeCell ref="A3:C3"/>
    <mergeCell ref="A4:C4"/>
    <mergeCell ref="A6:C6"/>
  </mergeCells>
  <pageMargins left="0.75" right="0.75" top="1" bottom="1" header="0.5" footer="0.5"/>
  <pageSetup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33"/>
  <sheetViews>
    <sheetView zoomScale="90" workbookViewId="0">
      <selection activeCell="O11" sqref="O11:O23"/>
    </sheetView>
  </sheetViews>
  <sheetFormatPr defaultRowHeight="15.6"/>
  <cols>
    <col min="1" max="1" width="5.1796875" style="334" customWidth="1"/>
    <col min="2" max="2" width="22.81640625" style="334" customWidth="1"/>
    <col min="3" max="7" width="12.1796875" style="334" customWidth="1"/>
    <col min="8" max="8" width="2.453125" style="334" customWidth="1"/>
    <col min="9" max="9" width="12.81640625" style="334" customWidth="1"/>
    <col min="10" max="10" width="0.81640625" style="334" customWidth="1"/>
    <col min="11" max="11" width="13.453125" style="334" customWidth="1"/>
    <col min="12" max="12" width="0.81640625" style="334" customWidth="1"/>
    <col min="13" max="13" width="8.90625" style="334"/>
    <col min="14" max="14" width="9.453125" style="334" bestFit="1" customWidth="1"/>
    <col min="15" max="15" width="11.54296875" style="334" bestFit="1" customWidth="1"/>
    <col min="16" max="256" width="8.90625" style="334"/>
    <col min="257" max="257" width="5.1796875" style="334" customWidth="1"/>
    <col min="258" max="258" width="22.81640625" style="334" customWidth="1"/>
    <col min="259" max="263" width="12.1796875" style="334" customWidth="1"/>
    <col min="264" max="512" width="8.90625" style="334"/>
    <col min="513" max="513" width="5.1796875" style="334" customWidth="1"/>
    <col min="514" max="514" width="22.81640625" style="334" customWidth="1"/>
    <col min="515" max="519" width="12.1796875" style="334" customWidth="1"/>
    <col min="520" max="768" width="8.90625" style="334"/>
    <col min="769" max="769" width="5.1796875" style="334" customWidth="1"/>
    <col min="770" max="770" width="22.81640625" style="334" customWidth="1"/>
    <col min="771" max="775" width="12.1796875" style="334" customWidth="1"/>
    <col min="776" max="1024" width="8.90625" style="334"/>
    <col min="1025" max="1025" width="5.1796875" style="334" customWidth="1"/>
    <col min="1026" max="1026" width="22.81640625" style="334" customWidth="1"/>
    <col min="1027" max="1031" width="12.1796875" style="334" customWidth="1"/>
    <col min="1032" max="1280" width="8.90625" style="334"/>
    <col min="1281" max="1281" width="5.1796875" style="334" customWidth="1"/>
    <col min="1282" max="1282" width="22.81640625" style="334" customWidth="1"/>
    <col min="1283" max="1287" width="12.1796875" style="334" customWidth="1"/>
    <col min="1288" max="1536" width="8.90625" style="334"/>
    <col min="1537" max="1537" width="5.1796875" style="334" customWidth="1"/>
    <col min="1538" max="1538" width="22.81640625" style="334" customWidth="1"/>
    <col min="1539" max="1543" width="12.1796875" style="334" customWidth="1"/>
    <col min="1544" max="1792" width="8.90625" style="334"/>
    <col min="1793" max="1793" width="5.1796875" style="334" customWidth="1"/>
    <col min="1794" max="1794" width="22.81640625" style="334" customWidth="1"/>
    <col min="1795" max="1799" width="12.1796875" style="334" customWidth="1"/>
    <col min="1800" max="2048" width="8.90625" style="334"/>
    <col min="2049" max="2049" width="5.1796875" style="334" customWidth="1"/>
    <col min="2050" max="2050" width="22.81640625" style="334" customWidth="1"/>
    <col min="2051" max="2055" width="12.1796875" style="334" customWidth="1"/>
    <col min="2056" max="2304" width="8.90625" style="334"/>
    <col min="2305" max="2305" width="5.1796875" style="334" customWidth="1"/>
    <col min="2306" max="2306" width="22.81640625" style="334" customWidth="1"/>
    <col min="2307" max="2311" width="12.1796875" style="334" customWidth="1"/>
    <col min="2312" max="2560" width="8.90625" style="334"/>
    <col min="2561" max="2561" width="5.1796875" style="334" customWidth="1"/>
    <col min="2562" max="2562" width="22.81640625" style="334" customWidth="1"/>
    <col min="2563" max="2567" width="12.1796875" style="334" customWidth="1"/>
    <col min="2568" max="2816" width="8.90625" style="334"/>
    <col min="2817" max="2817" width="5.1796875" style="334" customWidth="1"/>
    <col min="2818" max="2818" width="22.81640625" style="334" customWidth="1"/>
    <col min="2819" max="2823" width="12.1796875" style="334" customWidth="1"/>
    <col min="2824" max="3072" width="8.90625" style="334"/>
    <col min="3073" max="3073" width="5.1796875" style="334" customWidth="1"/>
    <col min="3074" max="3074" width="22.81640625" style="334" customWidth="1"/>
    <col min="3075" max="3079" width="12.1796875" style="334" customWidth="1"/>
    <col min="3080" max="3328" width="8.90625" style="334"/>
    <col min="3329" max="3329" width="5.1796875" style="334" customWidth="1"/>
    <col min="3330" max="3330" width="22.81640625" style="334" customWidth="1"/>
    <col min="3331" max="3335" width="12.1796875" style="334" customWidth="1"/>
    <col min="3336" max="3584" width="8.90625" style="334"/>
    <col min="3585" max="3585" width="5.1796875" style="334" customWidth="1"/>
    <col min="3586" max="3586" width="22.81640625" style="334" customWidth="1"/>
    <col min="3587" max="3591" width="12.1796875" style="334" customWidth="1"/>
    <col min="3592" max="3840" width="8.90625" style="334"/>
    <col min="3841" max="3841" width="5.1796875" style="334" customWidth="1"/>
    <col min="3842" max="3842" width="22.81640625" style="334" customWidth="1"/>
    <col min="3843" max="3847" width="12.1796875" style="334" customWidth="1"/>
    <col min="3848" max="4096" width="8.90625" style="334"/>
    <col min="4097" max="4097" width="5.1796875" style="334" customWidth="1"/>
    <col min="4098" max="4098" width="22.81640625" style="334" customWidth="1"/>
    <col min="4099" max="4103" width="12.1796875" style="334" customWidth="1"/>
    <col min="4104" max="4352" width="8.90625" style="334"/>
    <col min="4353" max="4353" width="5.1796875" style="334" customWidth="1"/>
    <col min="4354" max="4354" width="22.81640625" style="334" customWidth="1"/>
    <col min="4355" max="4359" width="12.1796875" style="334" customWidth="1"/>
    <col min="4360" max="4608" width="8.90625" style="334"/>
    <col min="4609" max="4609" width="5.1796875" style="334" customWidth="1"/>
    <col min="4610" max="4610" width="22.81640625" style="334" customWidth="1"/>
    <col min="4611" max="4615" width="12.1796875" style="334" customWidth="1"/>
    <col min="4616" max="4864" width="8.90625" style="334"/>
    <col min="4865" max="4865" width="5.1796875" style="334" customWidth="1"/>
    <col min="4866" max="4866" width="22.81640625" style="334" customWidth="1"/>
    <col min="4867" max="4871" width="12.1796875" style="334" customWidth="1"/>
    <col min="4872" max="5120" width="8.90625" style="334"/>
    <col min="5121" max="5121" width="5.1796875" style="334" customWidth="1"/>
    <col min="5122" max="5122" width="22.81640625" style="334" customWidth="1"/>
    <col min="5123" max="5127" width="12.1796875" style="334" customWidth="1"/>
    <col min="5128" max="5376" width="8.90625" style="334"/>
    <col min="5377" max="5377" width="5.1796875" style="334" customWidth="1"/>
    <col min="5378" max="5378" width="22.81640625" style="334" customWidth="1"/>
    <col min="5379" max="5383" width="12.1796875" style="334" customWidth="1"/>
    <col min="5384" max="5632" width="8.90625" style="334"/>
    <col min="5633" max="5633" width="5.1796875" style="334" customWidth="1"/>
    <col min="5634" max="5634" width="22.81640625" style="334" customWidth="1"/>
    <col min="5635" max="5639" width="12.1796875" style="334" customWidth="1"/>
    <col min="5640" max="5888" width="8.90625" style="334"/>
    <col min="5889" max="5889" width="5.1796875" style="334" customWidth="1"/>
    <col min="5890" max="5890" width="22.81640625" style="334" customWidth="1"/>
    <col min="5891" max="5895" width="12.1796875" style="334" customWidth="1"/>
    <col min="5896" max="6144" width="8.90625" style="334"/>
    <col min="6145" max="6145" width="5.1796875" style="334" customWidth="1"/>
    <col min="6146" max="6146" width="22.81640625" style="334" customWidth="1"/>
    <col min="6147" max="6151" width="12.1796875" style="334" customWidth="1"/>
    <col min="6152" max="6400" width="8.90625" style="334"/>
    <col min="6401" max="6401" width="5.1796875" style="334" customWidth="1"/>
    <col min="6402" max="6402" width="22.81640625" style="334" customWidth="1"/>
    <col min="6403" max="6407" width="12.1796875" style="334" customWidth="1"/>
    <col min="6408" max="6656" width="8.90625" style="334"/>
    <col min="6657" max="6657" width="5.1796875" style="334" customWidth="1"/>
    <col min="6658" max="6658" width="22.81640625" style="334" customWidth="1"/>
    <col min="6659" max="6663" width="12.1796875" style="334" customWidth="1"/>
    <col min="6664" max="6912" width="8.90625" style="334"/>
    <col min="6913" max="6913" width="5.1796875" style="334" customWidth="1"/>
    <col min="6914" max="6914" width="22.81640625" style="334" customWidth="1"/>
    <col min="6915" max="6919" width="12.1796875" style="334" customWidth="1"/>
    <col min="6920" max="7168" width="8.90625" style="334"/>
    <col min="7169" max="7169" width="5.1796875" style="334" customWidth="1"/>
    <col min="7170" max="7170" width="22.81640625" style="334" customWidth="1"/>
    <col min="7171" max="7175" width="12.1796875" style="334" customWidth="1"/>
    <col min="7176" max="7424" width="8.90625" style="334"/>
    <col min="7425" max="7425" width="5.1796875" style="334" customWidth="1"/>
    <col min="7426" max="7426" width="22.81640625" style="334" customWidth="1"/>
    <col min="7427" max="7431" width="12.1796875" style="334" customWidth="1"/>
    <col min="7432" max="7680" width="8.90625" style="334"/>
    <col min="7681" max="7681" width="5.1796875" style="334" customWidth="1"/>
    <col min="7682" max="7682" width="22.81640625" style="334" customWidth="1"/>
    <col min="7683" max="7687" width="12.1796875" style="334" customWidth="1"/>
    <col min="7688" max="7936" width="8.90625" style="334"/>
    <col min="7937" max="7937" width="5.1796875" style="334" customWidth="1"/>
    <col min="7938" max="7938" width="22.81640625" style="334" customWidth="1"/>
    <col min="7939" max="7943" width="12.1796875" style="334" customWidth="1"/>
    <col min="7944" max="8192" width="8.90625" style="334"/>
    <col min="8193" max="8193" width="5.1796875" style="334" customWidth="1"/>
    <col min="8194" max="8194" width="22.81640625" style="334" customWidth="1"/>
    <col min="8195" max="8199" width="12.1796875" style="334" customWidth="1"/>
    <col min="8200" max="8448" width="8.90625" style="334"/>
    <col min="8449" max="8449" width="5.1796875" style="334" customWidth="1"/>
    <col min="8450" max="8450" width="22.81640625" style="334" customWidth="1"/>
    <col min="8451" max="8455" width="12.1796875" style="334" customWidth="1"/>
    <col min="8456" max="8704" width="8.90625" style="334"/>
    <col min="8705" max="8705" width="5.1796875" style="334" customWidth="1"/>
    <col min="8706" max="8706" width="22.81640625" style="334" customWidth="1"/>
    <col min="8707" max="8711" width="12.1796875" style="334" customWidth="1"/>
    <col min="8712" max="8960" width="8.90625" style="334"/>
    <col min="8961" max="8961" width="5.1796875" style="334" customWidth="1"/>
    <col min="8962" max="8962" width="22.81640625" style="334" customWidth="1"/>
    <col min="8963" max="8967" width="12.1796875" style="334" customWidth="1"/>
    <col min="8968" max="9216" width="8.90625" style="334"/>
    <col min="9217" max="9217" width="5.1796875" style="334" customWidth="1"/>
    <col min="9218" max="9218" width="22.81640625" style="334" customWidth="1"/>
    <col min="9219" max="9223" width="12.1796875" style="334" customWidth="1"/>
    <col min="9224" max="9472" width="8.90625" style="334"/>
    <col min="9473" max="9473" width="5.1796875" style="334" customWidth="1"/>
    <col min="9474" max="9474" width="22.81640625" style="334" customWidth="1"/>
    <col min="9475" max="9479" width="12.1796875" style="334" customWidth="1"/>
    <col min="9480" max="9728" width="8.90625" style="334"/>
    <col min="9729" max="9729" width="5.1796875" style="334" customWidth="1"/>
    <col min="9730" max="9730" width="22.81640625" style="334" customWidth="1"/>
    <col min="9731" max="9735" width="12.1796875" style="334" customWidth="1"/>
    <col min="9736" max="9984" width="8.90625" style="334"/>
    <col min="9985" max="9985" width="5.1796875" style="334" customWidth="1"/>
    <col min="9986" max="9986" width="22.81640625" style="334" customWidth="1"/>
    <col min="9987" max="9991" width="12.1796875" style="334" customWidth="1"/>
    <col min="9992" max="10240" width="8.90625" style="334"/>
    <col min="10241" max="10241" width="5.1796875" style="334" customWidth="1"/>
    <col min="10242" max="10242" width="22.81640625" style="334" customWidth="1"/>
    <col min="10243" max="10247" width="12.1796875" style="334" customWidth="1"/>
    <col min="10248" max="10496" width="8.90625" style="334"/>
    <col min="10497" max="10497" width="5.1796875" style="334" customWidth="1"/>
    <col min="10498" max="10498" width="22.81640625" style="334" customWidth="1"/>
    <col min="10499" max="10503" width="12.1796875" style="334" customWidth="1"/>
    <col min="10504" max="10752" width="8.90625" style="334"/>
    <col min="10753" max="10753" width="5.1796875" style="334" customWidth="1"/>
    <col min="10754" max="10754" width="22.81640625" style="334" customWidth="1"/>
    <col min="10755" max="10759" width="12.1796875" style="334" customWidth="1"/>
    <col min="10760" max="11008" width="8.90625" style="334"/>
    <col min="11009" max="11009" width="5.1796875" style="334" customWidth="1"/>
    <col min="11010" max="11010" width="22.81640625" style="334" customWidth="1"/>
    <col min="11011" max="11015" width="12.1796875" style="334" customWidth="1"/>
    <col min="11016" max="11264" width="8.90625" style="334"/>
    <col min="11265" max="11265" width="5.1796875" style="334" customWidth="1"/>
    <col min="11266" max="11266" width="22.81640625" style="334" customWidth="1"/>
    <col min="11267" max="11271" width="12.1796875" style="334" customWidth="1"/>
    <col min="11272" max="11520" width="8.90625" style="334"/>
    <col min="11521" max="11521" width="5.1796875" style="334" customWidth="1"/>
    <col min="11522" max="11522" width="22.81640625" style="334" customWidth="1"/>
    <col min="11523" max="11527" width="12.1796875" style="334" customWidth="1"/>
    <col min="11528" max="11776" width="8.90625" style="334"/>
    <col min="11777" max="11777" width="5.1796875" style="334" customWidth="1"/>
    <col min="11778" max="11778" width="22.81640625" style="334" customWidth="1"/>
    <col min="11779" max="11783" width="12.1796875" style="334" customWidth="1"/>
    <col min="11784" max="12032" width="8.90625" style="334"/>
    <col min="12033" max="12033" width="5.1796875" style="334" customWidth="1"/>
    <col min="12034" max="12034" width="22.81640625" style="334" customWidth="1"/>
    <col min="12035" max="12039" width="12.1796875" style="334" customWidth="1"/>
    <col min="12040" max="12288" width="8.90625" style="334"/>
    <col min="12289" max="12289" width="5.1796875" style="334" customWidth="1"/>
    <col min="12290" max="12290" width="22.81640625" style="334" customWidth="1"/>
    <col min="12291" max="12295" width="12.1796875" style="334" customWidth="1"/>
    <col min="12296" max="12544" width="8.90625" style="334"/>
    <col min="12545" max="12545" width="5.1796875" style="334" customWidth="1"/>
    <col min="12546" max="12546" width="22.81640625" style="334" customWidth="1"/>
    <col min="12547" max="12551" width="12.1796875" style="334" customWidth="1"/>
    <col min="12552" max="12800" width="8.90625" style="334"/>
    <col min="12801" max="12801" width="5.1796875" style="334" customWidth="1"/>
    <col min="12802" max="12802" width="22.81640625" style="334" customWidth="1"/>
    <col min="12803" max="12807" width="12.1796875" style="334" customWidth="1"/>
    <col min="12808" max="13056" width="8.90625" style="334"/>
    <col min="13057" max="13057" width="5.1796875" style="334" customWidth="1"/>
    <col min="13058" max="13058" width="22.81640625" style="334" customWidth="1"/>
    <col min="13059" max="13063" width="12.1796875" style="334" customWidth="1"/>
    <col min="13064" max="13312" width="8.90625" style="334"/>
    <col min="13313" max="13313" width="5.1796875" style="334" customWidth="1"/>
    <col min="13314" max="13314" width="22.81640625" style="334" customWidth="1"/>
    <col min="13315" max="13319" width="12.1796875" style="334" customWidth="1"/>
    <col min="13320" max="13568" width="8.90625" style="334"/>
    <col min="13569" max="13569" width="5.1796875" style="334" customWidth="1"/>
    <col min="13570" max="13570" width="22.81640625" style="334" customWidth="1"/>
    <col min="13571" max="13575" width="12.1796875" style="334" customWidth="1"/>
    <col min="13576" max="13824" width="8.90625" style="334"/>
    <col min="13825" max="13825" width="5.1796875" style="334" customWidth="1"/>
    <col min="13826" max="13826" width="22.81640625" style="334" customWidth="1"/>
    <col min="13827" max="13831" width="12.1796875" style="334" customWidth="1"/>
    <col min="13832" max="14080" width="8.90625" style="334"/>
    <col min="14081" max="14081" width="5.1796875" style="334" customWidth="1"/>
    <col min="14082" max="14082" width="22.81640625" style="334" customWidth="1"/>
    <col min="14083" max="14087" width="12.1796875" style="334" customWidth="1"/>
    <col min="14088" max="14336" width="8.90625" style="334"/>
    <col min="14337" max="14337" width="5.1796875" style="334" customWidth="1"/>
    <col min="14338" max="14338" width="22.81640625" style="334" customWidth="1"/>
    <col min="14339" max="14343" width="12.1796875" style="334" customWidth="1"/>
    <col min="14344" max="14592" width="8.90625" style="334"/>
    <col min="14593" max="14593" width="5.1796875" style="334" customWidth="1"/>
    <col min="14594" max="14594" width="22.81640625" style="334" customWidth="1"/>
    <col min="14595" max="14599" width="12.1796875" style="334" customWidth="1"/>
    <col min="14600" max="14848" width="8.90625" style="334"/>
    <col min="14849" max="14849" width="5.1796875" style="334" customWidth="1"/>
    <col min="14850" max="14850" width="22.81640625" style="334" customWidth="1"/>
    <col min="14851" max="14855" width="12.1796875" style="334" customWidth="1"/>
    <col min="14856" max="15104" width="8.90625" style="334"/>
    <col min="15105" max="15105" width="5.1796875" style="334" customWidth="1"/>
    <col min="15106" max="15106" width="22.81640625" style="334" customWidth="1"/>
    <col min="15107" max="15111" width="12.1796875" style="334" customWidth="1"/>
    <col min="15112" max="15360" width="8.90625" style="334"/>
    <col min="15361" max="15361" width="5.1796875" style="334" customWidth="1"/>
    <col min="15362" max="15362" width="22.81640625" style="334" customWidth="1"/>
    <col min="15363" max="15367" width="12.1796875" style="334" customWidth="1"/>
    <col min="15368" max="15616" width="8.90625" style="334"/>
    <col min="15617" max="15617" width="5.1796875" style="334" customWidth="1"/>
    <col min="15618" max="15618" width="22.81640625" style="334" customWidth="1"/>
    <col min="15619" max="15623" width="12.1796875" style="334" customWidth="1"/>
    <col min="15624" max="15872" width="8.90625" style="334"/>
    <col min="15873" max="15873" width="5.1796875" style="334" customWidth="1"/>
    <col min="15874" max="15874" width="22.81640625" style="334" customWidth="1"/>
    <col min="15875" max="15879" width="12.1796875" style="334" customWidth="1"/>
    <col min="15880" max="16128" width="8.90625" style="334"/>
    <col min="16129" max="16129" width="5.1796875" style="334" customWidth="1"/>
    <col min="16130" max="16130" width="22.81640625" style="334" customWidth="1"/>
    <col min="16131" max="16135" width="12.1796875" style="334" customWidth="1"/>
    <col min="16136" max="16384" width="8.90625" style="334"/>
  </cols>
  <sheetData>
    <row r="1" spans="1:15">
      <c r="A1" s="514" t="str">
        <f>+'Schedule 2'!A1:F1</f>
        <v>Detroit Lakes (Minnesota) Public Utilities</v>
      </c>
      <c r="B1" s="514"/>
      <c r="C1" s="514"/>
      <c r="D1" s="514"/>
      <c r="E1" s="514"/>
      <c r="F1" s="514"/>
      <c r="G1" s="514"/>
    </row>
    <row r="2" spans="1:15">
      <c r="A2" s="514" t="s">
        <v>281</v>
      </c>
      <c r="B2" s="514"/>
      <c r="C2" s="514"/>
      <c r="D2" s="514"/>
      <c r="E2" s="514"/>
      <c r="F2" s="514"/>
      <c r="G2" s="514"/>
    </row>
    <row r="3" spans="1:15">
      <c r="A3" s="514" t="s">
        <v>396</v>
      </c>
      <c r="B3" s="514"/>
      <c r="C3" s="514"/>
      <c r="D3" s="514"/>
      <c r="E3" s="514"/>
      <c r="F3" s="514"/>
      <c r="G3" s="514"/>
    </row>
    <row r="4" spans="1:15">
      <c r="A4" s="515" t="str">
        <f>+'Schedule 2'!A4:F4</f>
        <v>For the Year Ended December 31, 2014</v>
      </c>
      <c r="B4" s="515"/>
      <c r="C4" s="515"/>
      <c r="D4" s="515"/>
      <c r="E4" s="515"/>
      <c r="F4" s="515"/>
      <c r="G4" s="515"/>
    </row>
    <row r="5" spans="1:15">
      <c r="A5" s="331"/>
      <c r="B5" s="331"/>
      <c r="C5" s="331"/>
    </row>
    <row r="6" spans="1:15">
      <c r="A6" s="516" t="s">
        <v>289</v>
      </c>
      <c r="B6" s="516"/>
      <c r="C6" s="516"/>
      <c r="D6" s="516"/>
      <c r="E6" s="516"/>
      <c r="F6" s="516"/>
      <c r="G6" s="516"/>
    </row>
    <row r="7" spans="1:15">
      <c r="A7" s="335" t="s">
        <v>4</v>
      </c>
      <c r="B7" s="380"/>
      <c r="C7" s="380" t="s">
        <v>397</v>
      </c>
      <c r="D7" s="380"/>
      <c r="E7" s="380"/>
      <c r="F7" s="380"/>
      <c r="G7" s="380" t="s">
        <v>398</v>
      </c>
      <c r="I7" s="335" t="s">
        <v>399</v>
      </c>
      <c r="K7" s="335" t="s">
        <v>928</v>
      </c>
    </row>
    <row r="8" spans="1:15">
      <c r="A8" s="337" t="s">
        <v>6</v>
      </c>
      <c r="B8" s="338"/>
      <c r="C8" s="338" t="s">
        <v>400</v>
      </c>
      <c r="D8" s="338" t="s">
        <v>401</v>
      </c>
      <c r="E8" s="338" t="s">
        <v>402</v>
      </c>
      <c r="F8" s="338" t="s">
        <v>403</v>
      </c>
      <c r="G8" s="338" t="s">
        <v>400</v>
      </c>
      <c r="I8" s="381" t="s">
        <v>404</v>
      </c>
      <c r="K8" s="381" t="s">
        <v>405</v>
      </c>
    </row>
    <row r="9" spans="1:15" ht="20.100000000000001" customHeight="1">
      <c r="A9" s="382">
        <v>1</v>
      </c>
      <c r="B9" s="361" t="s">
        <v>406</v>
      </c>
      <c r="C9" s="383">
        <v>0</v>
      </c>
      <c r="D9" s="383">
        <v>0</v>
      </c>
      <c r="E9" s="383">
        <v>0</v>
      </c>
      <c r="F9" s="383">
        <v>0</v>
      </c>
      <c r="G9" s="384">
        <f t="shared" ref="G9:G17" si="0">+C9+D9-E9-F9</f>
        <v>0</v>
      </c>
      <c r="I9" s="383">
        <v>0</v>
      </c>
      <c r="K9" s="383">
        <v>0</v>
      </c>
    </row>
    <row r="10" spans="1:15" ht="12.75" customHeight="1">
      <c r="A10" s="382"/>
      <c r="B10" s="361"/>
      <c r="C10" s="383"/>
      <c r="D10" s="383"/>
      <c r="E10" s="383"/>
      <c r="F10" s="383"/>
      <c r="G10" s="384"/>
      <c r="I10" s="383"/>
      <c r="K10" s="383"/>
    </row>
    <row r="11" spans="1:15" ht="20.100000000000001" customHeight="1">
      <c r="A11" s="382">
        <v>2</v>
      </c>
      <c r="B11" s="361" t="s">
        <v>407</v>
      </c>
      <c r="C11" s="385">
        <v>0</v>
      </c>
      <c r="D11" s="385">
        <v>0</v>
      </c>
      <c r="E11" s="385">
        <v>0</v>
      </c>
      <c r="F11" s="385"/>
      <c r="G11" s="386">
        <f t="shared" si="0"/>
        <v>0</v>
      </c>
      <c r="I11" s="383">
        <v>0</v>
      </c>
      <c r="K11" s="383">
        <v>0</v>
      </c>
    </row>
    <row r="12" spans="1:15" ht="20.100000000000001" customHeight="1">
      <c r="A12" s="382">
        <v>3</v>
      </c>
      <c r="B12" s="361" t="s">
        <v>408</v>
      </c>
      <c r="C12" s="385">
        <v>0</v>
      </c>
      <c r="D12" s="359">
        <v>0</v>
      </c>
      <c r="E12" s="359">
        <v>0</v>
      </c>
      <c r="F12" s="359">
        <v>0</v>
      </c>
      <c r="G12" s="388">
        <f t="shared" si="0"/>
        <v>0</v>
      </c>
      <c r="H12" s="373"/>
      <c r="I12" s="387">
        <v>0</v>
      </c>
      <c r="J12" s="373"/>
      <c r="K12" s="387">
        <v>0</v>
      </c>
      <c r="L12" s="373"/>
      <c r="M12" s="373"/>
    </row>
    <row r="13" spans="1:15" ht="20.100000000000001" customHeight="1">
      <c r="A13" s="382">
        <v>4</v>
      </c>
      <c r="B13" s="361" t="s">
        <v>409</v>
      </c>
      <c r="C13" s="385">
        <v>0</v>
      </c>
      <c r="D13" s="359">
        <v>0</v>
      </c>
      <c r="E13" s="359">
        <v>0</v>
      </c>
      <c r="F13" s="359">
        <v>0</v>
      </c>
      <c r="G13" s="388">
        <f t="shared" si="0"/>
        <v>0</v>
      </c>
      <c r="H13" s="373"/>
      <c r="I13" s="387">
        <v>0</v>
      </c>
      <c r="J13" s="373"/>
      <c r="K13" s="387">
        <v>0</v>
      </c>
      <c r="L13" s="373"/>
      <c r="M13" s="373"/>
    </row>
    <row r="14" spans="1:15" ht="20.100000000000001" customHeight="1" thickBot="1">
      <c r="A14" s="382">
        <v>5</v>
      </c>
      <c r="B14" s="361" t="s">
        <v>410</v>
      </c>
      <c r="C14" s="389">
        <v>2005646</v>
      </c>
      <c r="D14" s="389"/>
      <c r="E14" s="389"/>
      <c r="F14" s="389"/>
      <c r="G14" s="390">
        <f t="shared" si="0"/>
        <v>2005646</v>
      </c>
      <c r="H14" s="373"/>
      <c r="I14" s="471">
        <v>1625499</v>
      </c>
      <c r="J14" s="373"/>
      <c r="K14" s="471">
        <v>30677</v>
      </c>
      <c r="L14" s="373"/>
      <c r="M14" s="373"/>
      <c r="N14" s="391"/>
      <c r="O14" s="333"/>
    </row>
    <row r="15" spans="1:15" ht="20.100000000000001" customHeight="1" thickBot="1">
      <c r="A15" s="382">
        <v>6</v>
      </c>
      <c r="B15" s="392" t="s">
        <v>411</v>
      </c>
      <c r="C15" s="393">
        <f>SUM(C11:C14)</f>
        <v>2005646</v>
      </c>
      <c r="D15" s="394">
        <f>SUM(D11:D14)</f>
        <v>0</v>
      </c>
      <c r="E15" s="394">
        <f>SUM(E11:E14)</f>
        <v>0</v>
      </c>
      <c r="F15" s="394">
        <f>SUM(F11:F14)</f>
        <v>0</v>
      </c>
      <c r="G15" s="395">
        <f t="shared" si="0"/>
        <v>2005646</v>
      </c>
      <c r="H15" s="373"/>
      <c r="I15" s="396">
        <f>SUM(I11:I14)</f>
        <v>1625499</v>
      </c>
      <c r="J15" s="373"/>
      <c r="K15" s="396">
        <f>SUM(K11:K14)</f>
        <v>30677</v>
      </c>
      <c r="L15" s="373"/>
      <c r="M15" s="373"/>
      <c r="O15" s="333"/>
    </row>
    <row r="16" spans="1:15" ht="12" customHeight="1">
      <c r="A16" s="382"/>
      <c r="B16" s="397"/>
      <c r="C16" s="398"/>
      <c r="D16" s="399"/>
      <c r="E16" s="399"/>
      <c r="F16" s="399"/>
      <c r="G16" s="399"/>
      <c r="H16" s="373"/>
      <c r="I16" s="400"/>
      <c r="J16" s="373"/>
      <c r="K16" s="400"/>
      <c r="L16" s="373"/>
      <c r="M16" s="373"/>
      <c r="O16" s="333"/>
    </row>
    <row r="17" spans="1:15" ht="20.100000000000001" customHeight="1">
      <c r="A17" s="382">
        <v>7</v>
      </c>
      <c r="B17" s="361" t="s">
        <v>412</v>
      </c>
      <c r="C17" s="359">
        <v>1539477</v>
      </c>
      <c r="D17" s="359">
        <v>519050</v>
      </c>
      <c r="E17" s="359">
        <v>0</v>
      </c>
      <c r="F17" s="359">
        <v>0</v>
      </c>
      <c r="G17" s="388">
        <f t="shared" si="0"/>
        <v>2058527</v>
      </c>
      <c r="H17" s="373"/>
      <c r="I17" s="387">
        <v>537924</v>
      </c>
      <c r="J17" s="373"/>
      <c r="K17" s="387">
        <v>67597</v>
      </c>
      <c r="L17" s="373"/>
      <c r="M17" s="373"/>
      <c r="N17" s="391" t="s">
        <v>958</v>
      </c>
      <c r="O17" s="333"/>
    </row>
    <row r="18" spans="1:15" ht="20.100000000000001" customHeight="1">
      <c r="A18" s="382">
        <v>8</v>
      </c>
      <c r="B18" s="361" t="s">
        <v>413</v>
      </c>
      <c r="C18" s="359">
        <v>21386945</v>
      </c>
      <c r="D18" s="359">
        <v>311869</v>
      </c>
      <c r="E18" s="359">
        <v>127275</v>
      </c>
      <c r="F18" s="359">
        <v>0</v>
      </c>
      <c r="G18" s="388">
        <f>+C18+D18-E18-F18</f>
        <v>21571539</v>
      </c>
      <c r="H18" s="373"/>
      <c r="I18" s="387">
        <v>9937497</v>
      </c>
      <c r="J18" s="373"/>
      <c r="K18" s="387">
        <v>528709</v>
      </c>
      <c r="L18" s="373"/>
      <c r="M18" s="373"/>
      <c r="N18" s="391" t="s">
        <v>958</v>
      </c>
      <c r="O18" s="333"/>
    </row>
    <row r="19" spans="1:15" ht="20.100000000000001" customHeight="1" thickBot="1">
      <c r="A19" s="382">
        <v>9</v>
      </c>
      <c r="B19" s="361" t="s">
        <v>414</v>
      </c>
      <c r="C19" s="389">
        <v>2166559</v>
      </c>
      <c r="D19" s="359">
        <v>1417991</v>
      </c>
      <c r="E19" s="359">
        <v>70325</v>
      </c>
      <c r="F19" s="389">
        <v>0</v>
      </c>
      <c r="G19" s="390">
        <f>+C19+D19-E19-F19</f>
        <v>3514225</v>
      </c>
      <c r="H19" s="373"/>
      <c r="I19" s="387">
        <v>2163680</v>
      </c>
      <c r="J19" s="373"/>
      <c r="K19" s="387">
        <f>+'Depreciation Schedule'!R282+'Depreciation Schedule'!R292</f>
        <v>200373.80863400002</v>
      </c>
      <c r="L19" s="373"/>
      <c r="M19" s="373"/>
      <c r="N19" s="391" t="s">
        <v>977</v>
      </c>
      <c r="O19" s="333"/>
    </row>
    <row r="20" spans="1:15" ht="20.100000000000001" customHeight="1" thickBot="1">
      <c r="A20" s="382">
        <v>10</v>
      </c>
      <c r="B20" s="392" t="s">
        <v>415</v>
      </c>
      <c r="C20" s="393">
        <f>SUM(C15:C19)</f>
        <v>27098627</v>
      </c>
      <c r="D20" s="394">
        <f>SUM(D15:D19)</f>
        <v>2248910</v>
      </c>
      <c r="E20" s="394">
        <f>SUM(E15:E19)</f>
        <v>197600</v>
      </c>
      <c r="F20" s="394">
        <f>SUM(F15:F19)</f>
        <v>0</v>
      </c>
      <c r="G20" s="395">
        <f>+C20+D20-E20-F20</f>
        <v>29149937</v>
      </c>
      <c r="H20" s="373"/>
      <c r="I20" s="396">
        <f>SUM(I15:I19)</f>
        <v>14264600</v>
      </c>
      <c r="J20" s="373"/>
      <c r="K20" s="396">
        <f>SUM(K15:K19)</f>
        <v>827356.80863400002</v>
      </c>
      <c r="O20" s="333"/>
    </row>
    <row r="21" spans="1:15" ht="11.25" customHeight="1">
      <c r="A21" s="382"/>
      <c r="B21" s="397"/>
      <c r="C21" s="398"/>
      <c r="D21" s="399"/>
      <c r="E21" s="399"/>
      <c r="F21" s="399"/>
      <c r="G21" s="399"/>
      <c r="H21" s="373"/>
      <c r="I21" s="436"/>
      <c r="J21" s="373"/>
      <c r="K21" s="436"/>
      <c r="O21" s="333"/>
    </row>
    <row r="22" spans="1:15" ht="20.100000000000001" customHeight="1">
      <c r="A22" s="382">
        <v>11</v>
      </c>
      <c r="B22" s="361" t="s">
        <v>416</v>
      </c>
      <c r="C22" s="385">
        <v>0</v>
      </c>
      <c r="D22" s="385">
        <v>0</v>
      </c>
      <c r="E22" s="385">
        <v>0</v>
      </c>
      <c r="F22" s="385">
        <v>0</v>
      </c>
      <c r="G22" s="385">
        <f>+C22+D22+E22+F22</f>
        <v>0</v>
      </c>
      <c r="I22" s="383">
        <v>0</v>
      </c>
      <c r="K22" s="383">
        <v>0</v>
      </c>
      <c r="O22" s="333"/>
    </row>
    <row r="23" spans="1:15" ht="20.100000000000001" customHeight="1">
      <c r="A23" s="382">
        <v>12</v>
      </c>
      <c r="B23" s="361" t="s">
        <v>417</v>
      </c>
      <c r="C23" s="385">
        <v>0</v>
      </c>
      <c r="D23" s="385">
        <v>0</v>
      </c>
      <c r="E23" s="385">
        <v>0</v>
      </c>
      <c r="F23" s="385">
        <v>0</v>
      </c>
      <c r="G23" s="385">
        <f>+C23+D23+E23+F23</f>
        <v>0</v>
      </c>
      <c r="I23" s="383">
        <v>0</v>
      </c>
      <c r="K23" s="383">
        <v>0</v>
      </c>
      <c r="O23" s="333"/>
    </row>
    <row r="24" spans="1:15" ht="20.100000000000001" customHeight="1" thickBot="1">
      <c r="A24" s="382">
        <v>13</v>
      </c>
      <c r="B24" s="361" t="s">
        <v>418</v>
      </c>
      <c r="C24" s="404">
        <v>0</v>
      </c>
      <c r="D24" s="404">
        <v>0</v>
      </c>
      <c r="E24" s="404">
        <v>0</v>
      </c>
      <c r="F24" s="404">
        <v>0</v>
      </c>
      <c r="G24" s="404">
        <f>+C24+D24+E24+F24</f>
        <v>0</v>
      </c>
      <c r="I24" s="405">
        <v>0</v>
      </c>
      <c r="K24" s="405">
        <v>0</v>
      </c>
      <c r="O24" s="333"/>
    </row>
    <row r="25" spans="1:15" ht="20.100000000000001" customHeight="1" thickBot="1">
      <c r="A25" s="382">
        <v>14</v>
      </c>
      <c r="B25" s="392" t="s">
        <v>291</v>
      </c>
      <c r="C25" s="393">
        <f>SUM(C20:C24)</f>
        <v>27098627</v>
      </c>
      <c r="D25" s="401">
        <f>SUM(D20:D24)</f>
        <v>2248910</v>
      </c>
      <c r="E25" s="401">
        <f>SUM(E20:E24)</f>
        <v>197600</v>
      </c>
      <c r="F25" s="401">
        <f>SUM(F20:F24)</f>
        <v>0</v>
      </c>
      <c r="G25" s="402">
        <f>+C25+D25-E25+F25</f>
        <v>29149937</v>
      </c>
      <c r="I25" s="403">
        <f>SUM(I20:I24)</f>
        <v>14264600</v>
      </c>
      <c r="K25" s="403">
        <f>SUM(K20:K24)</f>
        <v>827356.80863400002</v>
      </c>
    </row>
    <row r="26" spans="1:15" ht="11.25" customHeight="1">
      <c r="A26" s="382"/>
      <c r="B26" s="397"/>
      <c r="C26" s="406"/>
      <c r="D26" s="406"/>
      <c r="E26" s="406"/>
      <c r="F26" s="406"/>
      <c r="G26" s="406"/>
      <c r="I26" s="345"/>
      <c r="K26" s="345"/>
    </row>
    <row r="27" spans="1:15" ht="20.100000000000001" customHeight="1" thickBot="1">
      <c r="A27" s="382">
        <v>15</v>
      </c>
      <c r="B27" s="361" t="s">
        <v>419</v>
      </c>
      <c r="C27" s="404">
        <v>0</v>
      </c>
      <c r="D27" s="404">
        <v>0</v>
      </c>
      <c r="E27" s="404">
        <v>0</v>
      </c>
      <c r="F27" s="404">
        <v>0</v>
      </c>
      <c r="G27" s="407">
        <f>+C27+D27-E27-F27</f>
        <v>0</v>
      </c>
      <c r="I27" s="405"/>
      <c r="K27" s="405"/>
    </row>
    <row r="28" spans="1:15" ht="20.100000000000001" customHeight="1" thickBot="1">
      <c r="A28" s="382">
        <v>16</v>
      </c>
      <c r="B28" s="392" t="s">
        <v>420</v>
      </c>
      <c r="C28" s="393">
        <f>SUM(C25:C27)</f>
        <v>27098627</v>
      </c>
      <c r="D28" s="401">
        <f>SUM(D25:D27)</f>
        <v>2248910</v>
      </c>
      <c r="E28" s="401">
        <f>SUM(E25:E27)</f>
        <v>197600</v>
      </c>
      <c r="F28" s="401">
        <f>SUM(F25:F27)</f>
        <v>0</v>
      </c>
      <c r="G28" s="402">
        <f>+C28+D28-E28-F28</f>
        <v>29149937</v>
      </c>
      <c r="I28" s="403">
        <f>SUM(I25:I27)</f>
        <v>14264600</v>
      </c>
      <c r="K28" s="403">
        <f>SUM(K25:K27)</f>
        <v>827356.80863400002</v>
      </c>
    </row>
    <row r="29" spans="1:15" ht="20.100000000000001" customHeight="1">
      <c r="B29" s="334" t="s">
        <v>421</v>
      </c>
      <c r="G29" s="379" t="s">
        <v>2</v>
      </c>
    </row>
    <row r="30" spans="1:15">
      <c r="G30" s="410">
        <f>+G28-'Depreciation Schedule'!L283</f>
        <v>-1.1799999922513962</v>
      </c>
      <c r="I30" s="408"/>
      <c r="J30" s="340"/>
      <c r="K30" s="409"/>
    </row>
    <row r="31" spans="1:15">
      <c r="G31" s="379"/>
    </row>
    <row r="32" spans="1:15">
      <c r="G32" s="379" t="s">
        <v>2</v>
      </c>
      <c r="I32" s="410"/>
    </row>
    <row r="33" spans="9:9">
      <c r="I33" s="410"/>
    </row>
  </sheetData>
  <mergeCells count="5">
    <mergeCell ref="A1:G1"/>
    <mergeCell ref="A2:G2"/>
    <mergeCell ref="A3:G3"/>
    <mergeCell ref="A4:G4"/>
    <mergeCell ref="A6:G6"/>
  </mergeCells>
  <pageMargins left="0.5" right="0.5" top="0.75" bottom="0.5" header="0.5" footer="0.5"/>
  <pageSetup scale="57"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pageSetUpPr fitToPage="1"/>
  </sheetPr>
  <dimension ref="A1:AE303"/>
  <sheetViews>
    <sheetView defaultGridColor="0" colorId="22" zoomScale="87" zoomScaleNormal="87" zoomScaleSheetLayoutView="86" workbookViewId="0">
      <pane ySplit="12" topLeftCell="A261" activePane="bottomLeft" state="frozen"/>
      <selection activeCell="R45" sqref="R45"/>
      <selection pane="bottomLeft" activeCell="F264" sqref="F264:L279"/>
    </sheetView>
  </sheetViews>
  <sheetFormatPr defaultColWidth="6.36328125" defaultRowHeight="13.8"/>
  <cols>
    <col min="1" max="1" width="2.08984375" style="28" customWidth="1"/>
    <col min="2" max="2" width="33" style="28" customWidth="1"/>
    <col min="3" max="3" width="1.08984375" style="28" customWidth="1"/>
    <col min="4" max="4" width="5.36328125" style="28" customWidth="1"/>
    <col min="5" max="5" width="1" style="28" customWidth="1"/>
    <col min="6" max="6" width="11.90625" style="28" customWidth="1"/>
    <col min="7" max="7" width="1.453125" style="28" customWidth="1"/>
    <col min="8" max="8" width="11" style="28" customWidth="1"/>
    <col min="9" max="9" width="1.453125" style="28" customWidth="1"/>
    <col min="10" max="10" width="9.6328125" style="28" customWidth="1"/>
    <col min="11" max="11" width="1.453125" style="28" customWidth="1"/>
    <col min="12" max="12" width="11.90625" style="28" customWidth="1"/>
    <col min="13" max="13" width="1.36328125" style="28" customWidth="1"/>
    <col min="14" max="14" width="7.36328125" style="28" customWidth="1"/>
    <col min="15" max="15" width="1.453125" style="28" customWidth="1"/>
    <col min="16" max="16" width="11.6328125" style="28" customWidth="1"/>
    <col min="17" max="17" width="1.453125" style="28" customWidth="1"/>
    <col min="18" max="18" width="9.6328125" style="28" customWidth="1"/>
    <col min="19" max="19" width="1.453125" style="28" customWidth="1"/>
    <col min="20" max="20" width="9.453125" style="28" customWidth="1"/>
    <col min="21" max="21" width="1.453125" style="28" customWidth="1"/>
    <col min="22" max="22" width="11.90625" style="28" customWidth="1"/>
    <col min="23" max="23" width="1.453125" style="28" customWidth="1"/>
    <col min="24" max="24" width="12.08984375" style="28" customWidth="1"/>
    <col min="25" max="25" width="6.36328125" style="28"/>
    <col min="26" max="26" width="9.54296875" style="28" bestFit="1" customWidth="1"/>
    <col min="27" max="27" width="8.08984375" style="28" bestFit="1" customWidth="1"/>
    <col min="28" max="28" width="7.54296875" style="28" bestFit="1" customWidth="1"/>
    <col min="29" max="29" width="12.453125" style="28" customWidth="1"/>
    <col min="30" max="30" width="6.36328125" style="28"/>
    <col min="31" max="31" width="11.08984375" style="28" bestFit="1" customWidth="1"/>
    <col min="32" max="16384" width="6.36328125" style="28"/>
  </cols>
  <sheetData>
    <row r="1" spans="1:31">
      <c r="B1" s="28" t="s">
        <v>760</v>
      </c>
    </row>
    <row r="2" spans="1:31">
      <c r="B2" s="45" t="s">
        <v>718</v>
      </c>
    </row>
    <row r="3" spans="1:31">
      <c r="B3" s="44" t="s">
        <v>719</v>
      </c>
    </row>
    <row r="4" spans="1:31">
      <c r="B4" s="40" t="s">
        <v>717</v>
      </c>
    </row>
    <row r="5" spans="1:31">
      <c r="B5" s="41" t="s">
        <v>720</v>
      </c>
    </row>
    <row r="7" spans="1:31" ht="12.9" customHeight="1">
      <c r="A7" s="27" t="s">
        <v>598</v>
      </c>
      <c r="B7" s="27"/>
      <c r="C7" s="27"/>
      <c r="D7" s="27"/>
      <c r="E7" s="27"/>
      <c r="F7" s="27"/>
      <c r="G7" s="27"/>
      <c r="H7" s="27"/>
      <c r="I7" s="27"/>
      <c r="J7" s="27"/>
      <c r="K7" s="27"/>
      <c r="L7" s="27"/>
      <c r="M7" s="27"/>
      <c r="N7" s="27"/>
      <c r="O7" s="27"/>
      <c r="P7" s="27"/>
      <c r="Q7" s="27"/>
      <c r="R7" s="27"/>
      <c r="S7" s="27"/>
      <c r="T7" s="27"/>
      <c r="U7" s="27"/>
      <c r="V7" s="27"/>
      <c r="W7" s="27"/>
      <c r="X7" s="27"/>
    </row>
    <row r="8" spans="1:31" ht="12.9" customHeight="1">
      <c r="A8" s="27" t="s">
        <v>599</v>
      </c>
      <c r="B8" s="27"/>
      <c r="C8" s="27"/>
      <c r="D8" s="27"/>
      <c r="E8" s="27"/>
      <c r="F8" s="27"/>
      <c r="G8" s="27"/>
      <c r="H8" s="27"/>
      <c r="I8" s="27"/>
      <c r="J8" s="27"/>
      <c r="K8" s="27"/>
      <c r="L8" s="27"/>
      <c r="M8" s="27"/>
      <c r="N8" s="27"/>
      <c r="O8" s="27"/>
      <c r="P8" s="27"/>
      <c r="Q8" s="27"/>
      <c r="R8" s="27"/>
      <c r="S8" s="27"/>
      <c r="T8" s="27"/>
      <c r="U8" s="27"/>
      <c r="V8" s="27"/>
      <c r="W8" s="27"/>
      <c r="X8" s="27" t="s">
        <v>600</v>
      </c>
    </row>
    <row r="9" spans="1:31" ht="12.9" customHeight="1">
      <c r="A9" s="29">
        <v>42004</v>
      </c>
      <c r="B9" s="27"/>
      <c r="C9" s="27"/>
      <c r="D9" s="27"/>
      <c r="E9" s="27"/>
      <c r="F9" s="27"/>
      <c r="G9" s="27"/>
      <c r="H9" s="27"/>
      <c r="I9" s="27"/>
      <c r="J9" s="27"/>
      <c r="K9" s="27"/>
      <c r="L9" s="27"/>
      <c r="M9" s="27"/>
      <c r="N9" s="27"/>
      <c r="O9" s="27"/>
      <c r="P9" s="27"/>
      <c r="Q9" s="27"/>
      <c r="R9" s="27"/>
      <c r="S9" s="27"/>
      <c r="T9" s="27"/>
      <c r="U9" s="27"/>
      <c r="V9" s="27"/>
      <c r="W9" s="27"/>
      <c r="X9" s="27"/>
    </row>
    <row r="10" spans="1:31" ht="12.9" customHeight="1">
      <c r="X10" s="93" t="s">
        <v>601</v>
      </c>
    </row>
    <row r="11" spans="1:31" ht="12.9" customHeight="1">
      <c r="A11" s="30"/>
      <c r="B11" s="30"/>
      <c r="C11" s="30"/>
      <c r="D11" s="31" t="s">
        <v>602</v>
      </c>
      <c r="E11" s="30"/>
      <c r="F11" s="32"/>
      <c r="G11" s="32"/>
      <c r="H11" s="32"/>
      <c r="I11" s="32"/>
      <c r="J11" s="32"/>
      <c r="K11" s="32"/>
      <c r="L11" s="32"/>
      <c r="M11" s="30"/>
      <c r="N11" s="32" t="s">
        <v>603</v>
      </c>
      <c r="O11" s="32"/>
      <c r="P11" s="32"/>
      <c r="Q11" s="32"/>
      <c r="R11" s="32"/>
      <c r="S11" s="32"/>
      <c r="T11" s="32"/>
      <c r="U11" s="32"/>
      <c r="V11" s="32"/>
      <c r="X11" s="93" t="s">
        <v>604</v>
      </c>
    </row>
    <row r="12" spans="1:31" ht="12.9" customHeight="1">
      <c r="A12" s="30"/>
      <c r="B12" s="30"/>
      <c r="C12" s="30"/>
      <c r="D12" s="33" t="s">
        <v>453</v>
      </c>
      <c r="E12" s="30"/>
      <c r="F12" s="33" t="s">
        <v>400</v>
      </c>
      <c r="G12" s="30"/>
      <c r="H12" s="33" t="s">
        <v>401</v>
      </c>
      <c r="I12" s="30"/>
      <c r="J12" s="33" t="s">
        <v>605</v>
      </c>
      <c r="K12" s="30"/>
      <c r="L12" s="33" t="s">
        <v>400</v>
      </c>
      <c r="M12" s="30"/>
      <c r="N12" s="33" t="s">
        <v>606</v>
      </c>
      <c r="O12" s="30"/>
      <c r="P12" s="33" t="s">
        <v>400</v>
      </c>
      <c r="Q12" s="30"/>
      <c r="R12" s="33" t="s">
        <v>401</v>
      </c>
      <c r="S12" s="30"/>
      <c r="T12" s="33" t="s">
        <v>605</v>
      </c>
      <c r="U12" s="30"/>
      <c r="V12" s="33" t="s">
        <v>400</v>
      </c>
      <c r="W12" s="30"/>
      <c r="X12" s="33" t="s">
        <v>884</v>
      </c>
    </row>
    <row r="13" spans="1:31" ht="12.9" customHeight="1"/>
    <row r="14" spans="1:31" ht="12.9" customHeight="1">
      <c r="A14" s="30" t="s">
        <v>607</v>
      </c>
      <c r="B14" s="30"/>
      <c r="C14" s="30"/>
      <c r="D14" s="30"/>
      <c r="E14" s="30"/>
      <c r="F14" s="30"/>
      <c r="G14" s="30"/>
      <c r="H14" s="30"/>
      <c r="I14" s="30"/>
      <c r="J14" s="30"/>
      <c r="K14" s="30"/>
      <c r="L14" s="30"/>
      <c r="M14" s="30"/>
      <c r="N14" s="30"/>
      <c r="O14" s="30"/>
      <c r="P14" s="30"/>
      <c r="Q14" s="30"/>
      <c r="R14" s="30"/>
      <c r="S14" s="30"/>
      <c r="T14" s="30"/>
      <c r="U14" s="30"/>
      <c r="V14" s="30"/>
      <c r="W14" s="30"/>
      <c r="X14" s="94"/>
    </row>
    <row r="15" spans="1:31" ht="12.9" customHeight="1">
      <c r="A15" s="30"/>
      <c r="B15" s="45" t="s">
        <v>612</v>
      </c>
      <c r="C15" s="30"/>
      <c r="D15" s="31" t="s">
        <v>613</v>
      </c>
      <c r="E15" s="30"/>
      <c r="F15" s="34">
        <v>16900.810000000001</v>
      </c>
      <c r="G15" s="34"/>
      <c r="H15" s="34"/>
      <c r="I15" s="34"/>
      <c r="J15" s="34"/>
      <c r="K15" s="34"/>
      <c r="L15" s="34">
        <f t="shared" ref="L15:L24" si="0">F15+H15-J15</f>
        <v>16900.810000000001</v>
      </c>
      <c r="M15" s="34"/>
      <c r="N15" s="34"/>
      <c r="O15" s="34"/>
      <c r="P15" s="34"/>
      <c r="Q15" s="34"/>
      <c r="R15" s="34"/>
      <c r="S15" s="34"/>
      <c r="T15" s="34"/>
      <c r="U15" s="34"/>
      <c r="V15" s="34"/>
      <c r="W15" s="34"/>
      <c r="X15" s="34">
        <f t="shared" ref="X15:X24" si="1">L15-V15</f>
        <v>16900.810000000001</v>
      </c>
      <c r="Y15" s="34"/>
      <c r="Z15" s="34"/>
      <c r="AA15" s="34"/>
      <c r="AB15" s="34"/>
      <c r="AC15" s="34"/>
      <c r="AD15" s="34"/>
      <c r="AE15" s="34"/>
    </row>
    <row r="16" spans="1:31" ht="12.9" customHeight="1">
      <c r="A16" s="30"/>
      <c r="B16" s="40" t="s">
        <v>616</v>
      </c>
      <c r="C16" s="30"/>
      <c r="D16" s="31" t="s">
        <v>613</v>
      </c>
      <c r="E16" s="30"/>
      <c r="F16" s="34">
        <v>548.45000000000005</v>
      </c>
      <c r="G16" s="34"/>
      <c r="H16" s="34"/>
      <c r="I16" s="34"/>
      <c r="J16" s="34"/>
      <c r="K16" s="34"/>
      <c r="L16" s="34">
        <f t="shared" si="0"/>
        <v>548.45000000000005</v>
      </c>
      <c r="M16" s="34"/>
      <c r="N16" s="34"/>
      <c r="O16" s="34"/>
      <c r="P16" s="34"/>
      <c r="Q16" s="34"/>
      <c r="R16" s="34"/>
      <c r="S16" s="34"/>
      <c r="T16" s="34"/>
      <c r="U16" s="34"/>
      <c r="V16" s="34"/>
      <c r="W16" s="34"/>
      <c r="X16" s="34">
        <f t="shared" si="1"/>
        <v>548.45000000000005</v>
      </c>
    </row>
    <row r="17" spans="1:31" ht="12.9" customHeight="1">
      <c r="A17" s="30"/>
      <c r="B17" s="45" t="s">
        <v>619</v>
      </c>
      <c r="C17" s="30"/>
      <c r="D17" s="31" t="s">
        <v>620</v>
      </c>
      <c r="E17" s="30"/>
      <c r="F17" s="34">
        <v>8625.81</v>
      </c>
      <c r="G17" s="34"/>
      <c r="H17" s="34"/>
      <c r="I17" s="34"/>
      <c r="J17" s="34"/>
      <c r="K17" s="34"/>
      <c r="L17" s="34">
        <f t="shared" si="0"/>
        <v>8625.81</v>
      </c>
      <c r="M17" s="34"/>
      <c r="N17" s="34"/>
      <c r="O17" s="34"/>
      <c r="P17" s="34"/>
      <c r="Q17" s="34"/>
      <c r="R17" s="34"/>
      <c r="S17" s="34"/>
      <c r="T17" s="34"/>
      <c r="U17" s="34"/>
      <c r="V17" s="34"/>
      <c r="W17" s="34"/>
      <c r="X17" s="34">
        <f t="shared" si="1"/>
        <v>8625.81</v>
      </c>
      <c r="Y17" s="34"/>
      <c r="Z17" s="34"/>
      <c r="AA17" s="34"/>
      <c r="AB17" s="34"/>
      <c r="AC17" s="34"/>
      <c r="AD17" s="34"/>
      <c r="AE17" s="34"/>
    </row>
    <row r="18" spans="1:31" ht="12.9" customHeight="1">
      <c r="A18" s="30"/>
      <c r="B18" s="45" t="s">
        <v>608</v>
      </c>
      <c r="C18" s="30"/>
      <c r="D18" s="31" t="s">
        <v>609</v>
      </c>
      <c r="E18" s="30"/>
      <c r="F18" s="34">
        <v>7006.35</v>
      </c>
      <c r="G18" s="34"/>
      <c r="H18" s="34"/>
      <c r="I18" s="34"/>
      <c r="J18" s="34"/>
      <c r="K18" s="34"/>
      <c r="L18" s="34">
        <f t="shared" si="0"/>
        <v>7006.35</v>
      </c>
      <c r="M18" s="34"/>
      <c r="N18" s="34"/>
      <c r="O18" s="34"/>
      <c r="P18" s="34"/>
      <c r="Q18" s="34"/>
      <c r="R18" s="34"/>
      <c r="S18" s="34"/>
      <c r="T18" s="34"/>
      <c r="U18" s="34"/>
      <c r="V18" s="34"/>
      <c r="W18" s="34"/>
      <c r="X18" s="34">
        <f t="shared" si="1"/>
        <v>7006.35</v>
      </c>
      <c r="Y18" s="34"/>
      <c r="Z18" s="34"/>
      <c r="AA18" s="34"/>
      <c r="AB18" s="34"/>
      <c r="AC18" s="34"/>
      <c r="AD18" s="34"/>
      <c r="AE18" s="34"/>
    </row>
    <row r="19" spans="1:31" ht="12.9" customHeight="1">
      <c r="A19" s="30"/>
      <c r="B19" s="40" t="s">
        <v>614</v>
      </c>
      <c r="C19" s="30"/>
      <c r="D19" s="31" t="s">
        <v>615</v>
      </c>
      <c r="E19" s="30"/>
      <c r="F19" s="34">
        <v>6377.7</v>
      </c>
      <c r="G19" s="34"/>
      <c r="H19" s="34"/>
      <c r="I19" s="34"/>
      <c r="J19" s="34"/>
      <c r="K19" s="34"/>
      <c r="L19" s="34">
        <f t="shared" si="0"/>
        <v>6377.7</v>
      </c>
      <c r="M19" s="34"/>
      <c r="N19" s="34"/>
      <c r="O19" s="34"/>
      <c r="P19" s="34"/>
      <c r="Q19" s="34"/>
      <c r="R19" s="34"/>
      <c r="S19" s="34"/>
      <c r="T19" s="34"/>
      <c r="U19" s="34"/>
      <c r="V19" s="34"/>
      <c r="W19" s="34"/>
      <c r="X19" s="34">
        <f t="shared" si="1"/>
        <v>6377.7</v>
      </c>
      <c r="Y19" s="34"/>
      <c r="Z19" s="34"/>
      <c r="AA19" s="34"/>
      <c r="AB19" s="34"/>
      <c r="AC19" s="34"/>
      <c r="AD19" s="34"/>
      <c r="AE19" s="34"/>
    </row>
    <row r="20" spans="1:31" ht="12.9" customHeight="1">
      <c r="A20" s="30"/>
      <c r="B20" s="40" t="s">
        <v>623</v>
      </c>
      <c r="C20" s="30"/>
      <c r="D20" s="31" t="s">
        <v>624</v>
      </c>
      <c r="E20" s="30"/>
      <c r="F20" s="96">
        <v>50</v>
      </c>
      <c r="G20" s="34"/>
      <c r="H20" s="96"/>
      <c r="I20" s="34"/>
      <c r="J20" s="96"/>
      <c r="K20" s="34"/>
      <c r="L20" s="96">
        <f t="shared" si="0"/>
        <v>50</v>
      </c>
      <c r="M20" s="34"/>
      <c r="N20" s="34"/>
      <c r="O20" s="34"/>
      <c r="P20" s="96"/>
      <c r="Q20" s="34"/>
      <c r="R20" s="96"/>
      <c r="S20" s="34"/>
      <c r="T20" s="96"/>
      <c r="U20" s="34"/>
      <c r="V20" s="96"/>
      <c r="W20" s="34"/>
      <c r="X20" s="96">
        <f t="shared" si="1"/>
        <v>50</v>
      </c>
      <c r="Y20" s="34"/>
      <c r="Z20" s="34"/>
      <c r="AA20" s="34"/>
      <c r="AB20" s="34"/>
      <c r="AC20" s="34"/>
      <c r="AD20" s="34"/>
      <c r="AE20" s="34"/>
    </row>
    <row r="21" spans="1:31" ht="12.9" customHeight="1">
      <c r="A21" s="30"/>
      <c r="B21" s="41" t="s">
        <v>617</v>
      </c>
      <c r="C21" s="30"/>
      <c r="D21" s="31" t="s">
        <v>618</v>
      </c>
      <c r="E21" s="30"/>
      <c r="F21" s="34">
        <v>15759.25</v>
      </c>
      <c r="G21" s="34"/>
      <c r="H21" s="34"/>
      <c r="I21" s="34"/>
      <c r="J21" s="34"/>
      <c r="K21" s="34"/>
      <c r="L21" s="34">
        <f t="shared" si="0"/>
        <v>15759.25</v>
      </c>
      <c r="M21" s="34"/>
      <c r="N21" s="34"/>
      <c r="O21" s="34"/>
      <c r="P21" s="34"/>
      <c r="Q21" s="34"/>
      <c r="R21" s="34"/>
      <c r="S21" s="34"/>
      <c r="T21" s="34"/>
      <c r="U21" s="34"/>
      <c r="V21" s="34"/>
      <c r="W21" s="34"/>
      <c r="X21" s="34">
        <f t="shared" si="1"/>
        <v>15759.25</v>
      </c>
      <c r="Y21" s="34"/>
      <c r="Z21" s="34"/>
      <c r="AA21" s="34"/>
      <c r="AB21" s="34"/>
      <c r="AC21" s="34"/>
      <c r="AD21" s="34"/>
      <c r="AE21" s="34"/>
    </row>
    <row r="22" spans="1:31" ht="12.9" customHeight="1">
      <c r="A22" s="30"/>
      <c r="B22" s="45" t="s">
        <v>610</v>
      </c>
      <c r="C22" s="30"/>
      <c r="D22" s="31" t="s">
        <v>611</v>
      </c>
      <c r="E22" s="30"/>
      <c r="F22" s="34">
        <v>20387.25</v>
      </c>
      <c r="G22" s="34"/>
      <c r="H22" s="34"/>
      <c r="I22" s="34"/>
      <c r="J22" s="34"/>
      <c r="K22" s="34"/>
      <c r="L22" s="34">
        <f t="shared" si="0"/>
        <v>20387.25</v>
      </c>
      <c r="M22" s="34"/>
      <c r="N22" s="34"/>
      <c r="O22" s="34"/>
      <c r="P22" s="34"/>
      <c r="Q22" s="34"/>
      <c r="R22" s="34"/>
      <c r="S22" s="34"/>
      <c r="T22" s="34"/>
      <c r="U22" s="34"/>
      <c r="V22" s="34"/>
      <c r="W22" s="34"/>
      <c r="X22" s="34">
        <f t="shared" si="1"/>
        <v>20387.25</v>
      </c>
      <c r="Y22" s="34"/>
      <c r="Z22" s="34"/>
      <c r="AA22" s="34"/>
      <c r="AB22" s="34"/>
      <c r="AC22" s="34"/>
      <c r="AD22" s="34"/>
      <c r="AE22" s="34"/>
    </row>
    <row r="23" spans="1:31" ht="12.9" customHeight="1">
      <c r="A23" s="30"/>
      <c r="B23" s="40" t="s">
        <v>621</v>
      </c>
      <c r="C23" s="30"/>
      <c r="D23" s="31">
        <v>2002</v>
      </c>
      <c r="E23" s="30"/>
      <c r="F23" s="34">
        <v>24355</v>
      </c>
      <c r="G23" s="34"/>
      <c r="H23" s="34"/>
      <c r="I23" s="34"/>
      <c r="J23" s="34"/>
      <c r="K23" s="34"/>
      <c r="L23" s="34">
        <f t="shared" si="0"/>
        <v>24355</v>
      </c>
      <c r="M23" s="34"/>
      <c r="N23" s="34"/>
      <c r="O23" s="34"/>
      <c r="P23" s="34"/>
      <c r="Q23" s="34"/>
      <c r="R23" s="34"/>
      <c r="S23" s="34"/>
      <c r="T23" s="34"/>
      <c r="U23" s="34"/>
      <c r="V23" s="34"/>
      <c r="W23" s="34"/>
      <c r="X23" s="34">
        <f t="shared" si="1"/>
        <v>24355</v>
      </c>
      <c r="Y23" s="34"/>
      <c r="Z23" s="34"/>
      <c r="AA23" s="34"/>
      <c r="AB23" s="34"/>
      <c r="AC23" s="34"/>
      <c r="AD23" s="34"/>
      <c r="AE23" s="34"/>
    </row>
    <row r="24" spans="1:31" ht="12.9" customHeight="1">
      <c r="A24" s="30"/>
      <c r="B24" s="41" t="s">
        <v>622</v>
      </c>
      <c r="C24" s="30"/>
      <c r="D24" s="31">
        <v>2007</v>
      </c>
      <c r="E24" s="30"/>
      <c r="F24" s="95">
        <v>81933.61</v>
      </c>
      <c r="G24" s="34"/>
      <c r="H24" s="95"/>
      <c r="I24" s="34"/>
      <c r="J24" s="95"/>
      <c r="K24" s="34"/>
      <c r="L24" s="95">
        <f t="shared" si="0"/>
        <v>81933.61</v>
      </c>
      <c r="M24" s="34"/>
      <c r="N24" s="34"/>
      <c r="O24" s="34"/>
      <c r="P24" s="95"/>
      <c r="Q24" s="34"/>
      <c r="R24" s="95"/>
      <c r="S24" s="34"/>
      <c r="T24" s="95"/>
      <c r="U24" s="34"/>
      <c r="V24" s="95"/>
      <c r="W24" s="34"/>
      <c r="X24" s="95">
        <f t="shared" si="1"/>
        <v>81933.61</v>
      </c>
      <c r="Y24" s="34"/>
      <c r="Z24" s="34"/>
      <c r="AA24" s="34"/>
      <c r="AB24" s="34"/>
      <c r="AC24" s="34"/>
      <c r="AD24" s="34"/>
      <c r="AE24" s="34"/>
    </row>
    <row r="25" spans="1:31" ht="12.9" customHeight="1">
      <c r="A25" s="30"/>
      <c r="B25" s="30"/>
      <c r="C25" s="30"/>
      <c r="D25" s="30"/>
      <c r="E25" s="30"/>
      <c r="F25" s="95">
        <v>181944.22999999998</v>
      </c>
      <c r="G25" s="30"/>
      <c r="H25" s="95">
        <f>SUM(H14:H24)</f>
        <v>0</v>
      </c>
      <c r="I25" s="30"/>
      <c r="J25" s="95">
        <f>SUM(J14:J24)</f>
        <v>0</v>
      </c>
      <c r="K25" s="30"/>
      <c r="L25" s="262">
        <f>SUM(L14:L24)</f>
        <v>181944.22999999998</v>
      </c>
      <c r="M25" s="30"/>
      <c r="N25" s="30"/>
      <c r="O25" s="30"/>
      <c r="P25" s="95">
        <v>0</v>
      </c>
      <c r="Q25" s="30"/>
      <c r="R25" s="95">
        <f>SUM(R14:R24)</f>
        <v>0</v>
      </c>
      <c r="S25" s="30"/>
      <c r="T25" s="95">
        <f>SUM(T14:T24)</f>
        <v>0</v>
      </c>
      <c r="U25" s="30"/>
      <c r="V25" s="95">
        <f>SUM(V14:V24)</f>
        <v>0</v>
      </c>
      <c r="W25" s="30"/>
      <c r="X25" s="95">
        <f>SUM(X14:X24)</f>
        <v>181944.22999999998</v>
      </c>
    </row>
    <row r="26" spans="1:31" ht="12.9" customHeight="1">
      <c r="A26" s="30"/>
      <c r="B26" s="30"/>
      <c r="C26" s="30"/>
      <c r="D26" s="30"/>
      <c r="E26" s="30"/>
      <c r="F26" s="34"/>
      <c r="G26" s="30"/>
      <c r="H26" s="34"/>
      <c r="I26" s="30"/>
      <c r="J26" s="34"/>
      <c r="K26" s="30"/>
      <c r="L26" s="34"/>
      <c r="M26" s="30"/>
      <c r="N26" s="30"/>
      <c r="O26" s="30"/>
      <c r="P26" s="34"/>
      <c r="Q26" s="30"/>
      <c r="R26" s="34"/>
      <c r="S26" s="30"/>
      <c r="T26" s="34"/>
      <c r="U26" s="30"/>
      <c r="V26" s="34"/>
      <c r="W26" s="30"/>
      <c r="X26" s="34"/>
    </row>
    <row r="27" spans="1:31" ht="12.9" customHeight="1">
      <c r="A27" s="28" t="s">
        <v>885</v>
      </c>
    </row>
    <row r="28" spans="1:31" ht="12.9" customHeight="1">
      <c r="A28" s="30"/>
      <c r="B28" s="37" t="s">
        <v>629</v>
      </c>
      <c r="C28" s="30"/>
      <c r="D28" s="31" t="s">
        <v>613</v>
      </c>
      <c r="E28" s="30"/>
      <c r="F28" s="34">
        <v>137529.17000000001</v>
      </c>
      <c r="G28" s="34"/>
      <c r="H28" s="34"/>
      <c r="I28" s="34"/>
      <c r="J28" s="34"/>
      <c r="K28" s="34"/>
      <c r="L28" s="34">
        <f t="shared" ref="L28:L53" si="2">F28+H28-J28</f>
        <v>137529.17000000001</v>
      </c>
      <c r="M28" s="34"/>
      <c r="N28" s="35">
        <v>0.05</v>
      </c>
      <c r="O28" s="34"/>
      <c r="P28" s="34">
        <v>137529.17000000001</v>
      </c>
      <c r="Q28" s="34"/>
      <c r="R28" s="34">
        <f t="shared" ref="R28:R53" si="3">ROUND(IF(L28-P28=0,0,IF(L28-P28&lt;L28*N28,+L28-P28,L28*N28)),2)</f>
        <v>0</v>
      </c>
      <c r="S28" s="34"/>
      <c r="T28" s="34"/>
      <c r="U28" s="34"/>
      <c r="V28" s="34">
        <f t="shared" ref="V28:V53" si="4">ROUND(+P28+R28-T28,2)</f>
        <v>137529.17000000001</v>
      </c>
      <c r="W28" s="34"/>
      <c r="X28" s="34">
        <f t="shared" ref="X28:X53" si="5">ROUND(+L28-V28,2)</f>
        <v>0</v>
      </c>
      <c r="Y28" s="34"/>
      <c r="Z28" s="34"/>
      <c r="AA28" s="34"/>
      <c r="AB28" s="34"/>
      <c r="AC28" s="34"/>
      <c r="AD28" s="34"/>
      <c r="AE28" s="34"/>
    </row>
    <row r="29" spans="1:31" ht="12.9" customHeight="1">
      <c r="A29" s="30"/>
      <c r="B29" s="38" t="s">
        <v>655</v>
      </c>
      <c r="C29" s="30"/>
      <c r="D29" s="31" t="s">
        <v>656</v>
      </c>
      <c r="E29" s="30"/>
      <c r="F29" s="34">
        <v>49427.6</v>
      </c>
      <c r="G29" s="34"/>
      <c r="H29" s="34"/>
      <c r="I29" s="34"/>
      <c r="J29" s="34"/>
      <c r="K29" s="34"/>
      <c r="L29" s="34">
        <f t="shared" si="2"/>
        <v>49427.6</v>
      </c>
      <c r="M29" s="34"/>
      <c r="N29" s="35">
        <v>0.05</v>
      </c>
      <c r="O29" s="34"/>
      <c r="P29" s="34">
        <v>49427.6</v>
      </c>
      <c r="Q29" s="34"/>
      <c r="R29" s="34">
        <f t="shared" si="3"/>
        <v>0</v>
      </c>
      <c r="S29" s="34"/>
      <c r="T29" s="34"/>
      <c r="U29" s="34"/>
      <c r="V29" s="34">
        <f t="shared" si="4"/>
        <v>49427.6</v>
      </c>
      <c r="W29" s="34"/>
      <c r="X29" s="34">
        <f t="shared" si="5"/>
        <v>0</v>
      </c>
      <c r="Y29" s="34"/>
      <c r="Z29" s="34"/>
      <c r="AA29" s="34"/>
      <c r="AB29" s="34"/>
      <c r="AC29" s="34"/>
      <c r="AD29" s="34"/>
      <c r="AE29" s="34"/>
    </row>
    <row r="30" spans="1:31" ht="12.9" customHeight="1">
      <c r="A30" s="30"/>
      <c r="B30" s="37" t="s">
        <v>630</v>
      </c>
      <c r="C30" s="30"/>
      <c r="D30" s="31" t="s">
        <v>631</v>
      </c>
      <c r="E30" s="30"/>
      <c r="F30" s="34">
        <v>1034962.72</v>
      </c>
      <c r="G30" s="34"/>
      <c r="H30" s="34"/>
      <c r="I30" s="34"/>
      <c r="J30" s="34"/>
      <c r="K30" s="34"/>
      <c r="L30" s="34">
        <f t="shared" si="2"/>
        <v>1034962.72</v>
      </c>
      <c r="M30" s="34"/>
      <c r="N30" s="35">
        <v>0.03</v>
      </c>
      <c r="O30" s="34"/>
      <c r="P30" s="34">
        <v>1034962.72</v>
      </c>
      <c r="Q30" s="34"/>
      <c r="R30" s="34">
        <f t="shared" si="3"/>
        <v>0</v>
      </c>
      <c r="S30" s="34"/>
      <c r="T30" s="34"/>
      <c r="U30" s="34"/>
      <c r="V30" s="34">
        <f t="shared" si="4"/>
        <v>1034962.72</v>
      </c>
      <c r="W30" s="34"/>
      <c r="X30" s="34">
        <f t="shared" si="5"/>
        <v>0</v>
      </c>
      <c r="Y30" s="34"/>
      <c r="Z30" s="34"/>
      <c r="AA30" s="34"/>
      <c r="AB30" s="34"/>
      <c r="AC30" s="34"/>
      <c r="AD30" s="34"/>
      <c r="AE30" s="34"/>
    </row>
    <row r="31" spans="1:31" ht="12.75" customHeight="1">
      <c r="A31" s="30"/>
      <c r="B31" s="41" t="s">
        <v>649</v>
      </c>
      <c r="C31" s="30"/>
      <c r="D31" s="31" t="s">
        <v>615</v>
      </c>
      <c r="E31" s="30"/>
      <c r="F31" s="34">
        <v>186448.16</v>
      </c>
      <c r="G31" s="34"/>
      <c r="H31" s="34"/>
      <c r="I31" s="34"/>
      <c r="J31" s="34"/>
      <c r="K31" s="34"/>
      <c r="L31" s="34">
        <f t="shared" si="2"/>
        <v>186448.16</v>
      </c>
      <c r="M31" s="34"/>
      <c r="N31" s="35">
        <v>0.02</v>
      </c>
      <c r="O31" s="34"/>
      <c r="P31" s="34">
        <v>139310.20000000001</v>
      </c>
      <c r="Q31" s="34"/>
      <c r="R31" s="34">
        <f t="shared" si="3"/>
        <v>3728.96</v>
      </c>
      <c r="S31" s="34"/>
      <c r="T31" s="34"/>
      <c r="U31" s="34"/>
      <c r="V31" s="34">
        <f t="shared" si="4"/>
        <v>143039.16</v>
      </c>
      <c r="W31" s="34"/>
      <c r="X31" s="34">
        <f t="shared" si="5"/>
        <v>43409</v>
      </c>
      <c r="Y31" s="34"/>
      <c r="Z31" s="34"/>
      <c r="AA31" s="34"/>
      <c r="AB31" s="34"/>
      <c r="AC31" s="34"/>
      <c r="AD31" s="34"/>
      <c r="AE31" s="34"/>
    </row>
    <row r="32" spans="1:31" ht="12.9" customHeight="1">
      <c r="A32" s="30"/>
      <c r="B32" s="38" t="s">
        <v>653</v>
      </c>
      <c r="C32" s="30"/>
      <c r="D32" s="31" t="s">
        <v>654</v>
      </c>
      <c r="E32" s="30"/>
      <c r="F32" s="34">
        <v>74523</v>
      </c>
      <c r="G32" s="34"/>
      <c r="H32" s="34"/>
      <c r="I32" s="34"/>
      <c r="J32" s="34"/>
      <c r="K32" s="34"/>
      <c r="L32" s="34">
        <f t="shared" si="2"/>
        <v>74523</v>
      </c>
      <c r="M32" s="34"/>
      <c r="N32" s="35">
        <v>0.02</v>
      </c>
      <c r="O32" s="34"/>
      <c r="P32" s="34">
        <v>49982.879999999997</v>
      </c>
      <c r="Q32" s="34"/>
      <c r="R32" s="34">
        <f t="shared" si="3"/>
        <v>1490.46</v>
      </c>
      <c r="S32" s="34"/>
      <c r="T32" s="34"/>
      <c r="U32" s="34"/>
      <c r="V32" s="34">
        <f t="shared" si="4"/>
        <v>51473.34</v>
      </c>
      <c r="W32" s="34"/>
      <c r="X32" s="34">
        <f t="shared" si="5"/>
        <v>23049.66</v>
      </c>
      <c r="Y32" s="34"/>
      <c r="Z32" s="34"/>
      <c r="AA32" s="34"/>
      <c r="AB32" s="34"/>
      <c r="AC32" s="34"/>
      <c r="AD32" s="34"/>
      <c r="AE32" s="34"/>
    </row>
    <row r="33" spans="1:31" ht="12.9" customHeight="1">
      <c r="A33" s="30"/>
      <c r="B33" s="41" t="s">
        <v>657</v>
      </c>
      <c r="C33" s="30"/>
      <c r="D33" s="31" t="s">
        <v>654</v>
      </c>
      <c r="E33" s="30"/>
      <c r="F33" s="34">
        <v>2311.42</v>
      </c>
      <c r="G33" s="34"/>
      <c r="H33" s="34"/>
      <c r="I33" s="34"/>
      <c r="J33" s="34"/>
      <c r="K33" s="34"/>
      <c r="L33" s="34">
        <f t="shared" si="2"/>
        <v>2311.42</v>
      </c>
      <c r="M33" s="34"/>
      <c r="N33" s="35">
        <v>0.2</v>
      </c>
      <c r="O33" s="34"/>
      <c r="P33" s="34">
        <v>2311.42</v>
      </c>
      <c r="Q33" s="34"/>
      <c r="R33" s="34">
        <f t="shared" si="3"/>
        <v>0</v>
      </c>
      <c r="S33" s="34"/>
      <c r="T33" s="34"/>
      <c r="U33" s="34"/>
      <c r="V33" s="34">
        <f t="shared" si="4"/>
        <v>2311.42</v>
      </c>
      <c r="W33" s="34"/>
      <c r="X33" s="34">
        <f t="shared" si="5"/>
        <v>0</v>
      </c>
      <c r="Y33" s="34"/>
      <c r="Z33" s="34"/>
      <c r="AE33" s="34"/>
    </row>
    <row r="34" spans="1:31" ht="12.9" customHeight="1">
      <c r="A34" s="30"/>
      <c r="B34" s="38" t="s">
        <v>643</v>
      </c>
      <c r="C34" s="30"/>
      <c r="D34" s="31" t="s">
        <v>644</v>
      </c>
      <c r="E34" s="30"/>
      <c r="F34" s="34">
        <v>186954.47</v>
      </c>
      <c r="G34" s="34"/>
      <c r="H34" s="34"/>
      <c r="I34" s="34"/>
      <c r="J34" s="34"/>
      <c r="K34" s="34"/>
      <c r="L34" s="34">
        <f t="shared" si="2"/>
        <v>186954.47</v>
      </c>
      <c r="M34" s="34"/>
      <c r="N34" s="35">
        <v>0.05</v>
      </c>
      <c r="O34" s="34"/>
      <c r="P34" s="34">
        <v>186954.47</v>
      </c>
      <c r="Q34" s="34"/>
      <c r="R34" s="34">
        <f t="shared" si="3"/>
        <v>0</v>
      </c>
      <c r="S34" s="34"/>
      <c r="T34" s="34"/>
      <c r="U34" s="34"/>
      <c r="V34" s="34">
        <f t="shared" si="4"/>
        <v>186954.47</v>
      </c>
      <c r="W34" s="34"/>
      <c r="X34" s="34">
        <f t="shared" si="5"/>
        <v>0</v>
      </c>
      <c r="Y34" s="34"/>
      <c r="Z34" s="34"/>
      <c r="AE34" s="34"/>
    </row>
    <row r="35" spans="1:31" ht="12.9" customHeight="1">
      <c r="A35" s="30"/>
      <c r="B35" s="37" t="s">
        <v>625</v>
      </c>
      <c r="C35" s="30"/>
      <c r="D35" s="31" t="s">
        <v>626</v>
      </c>
      <c r="E35" s="30"/>
      <c r="F35" s="34">
        <v>122508</v>
      </c>
      <c r="G35" s="34"/>
      <c r="H35" s="34"/>
      <c r="I35" s="34"/>
      <c r="J35" s="34"/>
      <c r="K35" s="34"/>
      <c r="L35" s="34">
        <f t="shared" si="2"/>
        <v>122508</v>
      </c>
      <c r="M35" s="34"/>
      <c r="N35" s="35">
        <v>2.5000000000000001E-2</v>
      </c>
      <c r="O35" s="34"/>
      <c r="P35" s="34">
        <v>76567.5</v>
      </c>
      <c r="Q35" s="34"/>
      <c r="R35" s="34">
        <f t="shared" si="3"/>
        <v>3062.7</v>
      </c>
      <c r="S35" s="34"/>
      <c r="T35" s="34"/>
      <c r="U35" s="34"/>
      <c r="V35" s="34">
        <f t="shared" si="4"/>
        <v>79630.2</v>
      </c>
      <c r="W35" s="34"/>
      <c r="X35" s="34">
        <f t="shared" si="5"/>
        <v>42877.8</v>
      </c>
      <c r="Y35" s="34"/>
      <c r="Z35" s="34"/>
      <c r="AA35" s="34"/>
      <c r="AB35" s="34"/>
      <c r="AC35" s="34"/>
      <c r="AD35" s="34"/>
      <c r="AE35" s="34"/>
    </row>
    <row r="36" spans="1:31" ht="12.9" customHeight="1">
      <c r="A36" s="30"/>
      <c r="B36" s="37" t="s">
        <v>627</v>
      </c>
      <c r="C36" s="30"/>
      <c r="D36" s="31" t="s">
        <v>626</v>
      </c>
      <c r="E36" s="30"/>
      <c r="F36" s="34">
        <v>1704.13</v>
      </c>
      <c r="G36" s="34"/>
      <c r="H36" s="34"/>
      <c r="I36" s="34"/>
      <c r="J36" s="34"/>
      <c r="K36" s="34"/>
      <c r="L36" s="34">
        <f t="shared" si="2"/>
        <v>1704.13</v>
      </c>
      <c r="M36" s="34"/>
      <c r="N36" s="35">
        <v>0.05</v>
      </c>
      <c r="O36" s="34"/>
      <c r="P36" s="34">
        <v>1704.13</v>
      </c>
      <c r="Q36" s="34"/>
      <c r="R36" s="34">
        <f t="shared" si="3"/>
        <v>0</v>
      </c>
      <c r="S36" s="34"/>
      <c r="T36" s="34"/>
      <c r="U36" s="34"/>
      <c r="V36" s="34">
        <f t="shared" si="4"/>
        <v>1704.13</v>
      </c>
      <c r="W36" s="34"/>
      <c r="X36" s="34">
        <f t="shared" si="5"/>
        <v>0</v>
      </c>
      <c r="Y36" s="34"/>
      <c r="Z36" s="34"/>
      <c r="AA36" s="34"/>
      <c r="AB36" s="34"/>
      <c r="AC36" s="34"/>
      <c r="AD36" s="34"/>
      <c r="AE36" s="34"/>
    </row>
    <row r="37" spans="1:31" ht="12.9" customHeight="1">
      <c r="A37" s="30"/>
      <c r="B37" s="37" t="s">
        <v>628</v>
      </c>
      <c r="C37" s="30"/>
      <c r="D37" s="31" t="s">
        <v>626</v>
      </c>
      <c r="E37" s="30"/>
      <c r="F37" s="34">
        <v>14098.07</v>
      </c>
      <c r="G37" s="34"/>
      <c r="H37" s="34"/>
      <c r="I37" s="34"/>
      <c r="J37" s="34"/>
      <c r="K37" s="34"/>
      <c r="L37" s="34">
        <f t="shared" si="2"/>
        <v>14098.07</v>
      </c>
      <c r="M37" s="34"/>
      <c r="N37" s="35">
        <v>0.1</v>
      </c>
      <c r="O37" s="34"/>
      <c r="P37" s="34">
        <v>14098.07</v>
      </c>
      <c r="Q37" s="34"/>
      <c r="R37" s="34">
        <f t="shared" si="3"/>
        <v>0</v>
      </c>
      <c r="S37" s="34"/>
      <c r="T37" s="34"/>
      <c r="U37" s="34"/>
      <c r="V37" s="34">
        <f t="shared" si="4"/>
        <v>14098.07</v>
      </c>
      <c r="W37" s="34"/>
      <c r="X37" s="34">
        <f t="shared" si="5"/>
        <v>0</v>
      </c>
      <c r="Y37" s="34"/>
      <c r="Z37" s="34"/>
      <c r="AA37" s="34"/>
      <c r="AB37" s="34"/>
      <c r="AC37" s="34"/>
      <c r="AD37" s="34"/>
      <c r="AE37" s="34"/>
    </row>
    <row r="38" spans="1:31" ht="12.9" customHeight="1">
      <c r="A38" s="30"/>
      <c r="B38" s="37" t="s">
        <v>634</v>
      </c>
      <c r="C38" s="30"/>
      <c r="D38" s="31" t="s">
        <v>626</v>
      </c>
      <c r="E38" s="30"/>
      <c r="F38" s="34">
        <v>2568.63</v>
      </c>
      <c r="G38" s="34"/>
      <c r="H38" s="34"/>
      <c r="I38" s="34"/>
      <c r="J38" s="34"/>
      <c r="K38" s="34"/>
      <c r="L38" s="34">
        <f t="shared" si="2"/>
        <v>2568.63</v>
      </c>
      <c r="M38" s="34"/>
      <c r="N38" s="35">
        <v>0.1</v>
      </c>
      <c r="O38" s="34"/>
      <c r="P38" s="34">
        <v>2568.63</v>
      </c>
      <c r="Q38" s="34"/>
      <c r="R38" s="34">
        <f t="shared" si="3"/>
        <v>0</v>
      </c>
      <c r="S38" s="34"/>
      <c r="T38" s="34"/>
      <c r="U38" s="34"/>
      <c r="V38" s="34">
        <f t="shared" si="4"/>
        <v>2568.63</v>
      </c>
      <c r="W38" s="34"/>
      <c r="X38" s="34">
        <f t="shared" si="5"/>
        <v>0</v>
      </c>
      <c r="Y38" s="34"/>
      <c r="Z38" s="34"/>
      <c r="AA38" s="34"/>
      <c r="AB38" s="34"/>
      <c r="AC38" s="34"/>
      <c r="AD38" s="34"/>
      <c r="AE38" s="34"/>
    </row>
    <row r="39" spans="1:31" ht="12.9" customHeight="1">
      <c r="A39" s="30"/>
      <c r="B39" s="38" t="s">
        <v>642</v>
      </c>
      <c r="C39" s="30"/>
      <c r="D39" s="31" t="s">
        <v>626</v>
      </c>
      <c r="E39" s="30"/>
      <c r="F39" s="34">
        <v>4000</v>
      </c>
      <c r="G39" s="34"/>
      <c r="H39" s="34"/>
      <c r="I39" s="34"/>
      <c r="J39" s="34"/>
      <c r="K39" s="34"/>
      <c r="L39" s="34">
        <f t="shared" si="2"/>
        <v>4000</v>
      </c>
      <c r="M39" s="34"/>
      <c r="N39" s="35">
        <v>0.05</v>
      </c>
      <c r="O39" s="34"/>
      <c r="P39" s="34">
        <v>4000</v>
      </c>
      <c r="Q39" s="34"/>
      <c r="R39" s="34">
        <f t="shared" si="3"/>
        <v>0</v>
      </c>
      <c r="S39" s="34"/>
      <c r="T39" s="34"/>
      <c r="U39" s="34"/>
      <c r="V39" s="34">
        <f t="shared" si="4"/>
        <v>4000</v>
      </c>
      <c r="W39" s="34"/>
      <c r="X39" s="34">
        <f t="shared" si="5"/>
        <v>0</v>
      </c>
      <c r="Y39" s="34"/>
      <c r="Z39" s="34"/>
      <c r="AA39" s="34"/>
      <c r="AB39" s="34"/>
      <c r="AC39" s="34"/>
      <c r="AD39" s="34"/>
      <c r="AE39" s="34"/>
    </row>
    <row r="40" spans="1:31" ht="12.9" customHeight="1">
      <c r="A40" s="30"/>
      <c r="B40" s="38" t="s">
        <v>660</v>
      </c>
      <c r="C40" s="30"/>
      <c r="D40" s="31" t="s">
        <v>659</v>
      </c>
      <c r="E40" s="30"/>
      <c r="F40" s="34">
        <v>7462</v>
      </c>
      <c r="G40" s="34"/>
      <c r="H40" s="34"/>
      <c r="I40" s="34"/>
      <c r="J40" s="34"/>
      <c r="K40" s="34"/>
      <c r="L40" s="34">
        <f t="shared" si="2"/>
        <v>7462</v>
      </c>
      <c r="M40" s="34"/>
      <c r="N40" s="35">
        <v>0.05</v>
      </c>
      <c r="O40" s="34"/>
      <c r="P40" s="34">
        <v>7462</v>
      </c>
      <c r="Q40" s="34"/>
      <c r="R40" s="34">
        <f t="shared" si="3"/>
        <v>0</v>
      </c>
      <c r="S40" s="34"/>
      <c r="T40" s="34"/>
      <c r="U40" s="34"/>
      <c r="V40" s="34">
        <f t="shared" si="4"/>
        <v>7462</v>
      </c>
      <c r="W40" s="34"/>
      <c r="X40" s="34">
        <f t="shared" si="5"/>
        <v>0</v>
      </c>
      <c r="Y40" s="34"/>
      <c r="Z40" s="34"/>
      <c r="AA40" s="34"/>
      <c r="AB40" s="34"/>
      <c r="AC40" s="34"/>
      <c r="AD40" s="34"/>
      <c r="AE40" s="34"/>
    </row>
    <row r="41" spans="1:31" ht="12.9" customHeight="1">
      <c r="A41" s="30"/>
      <c r="B41" s="37" t="s">
        <v>632</v>
      </c>
      <c r="C41" s="30"/>
      <c r="D41" s="31" t="s">
        <v>611</v>
      </c>
      <c r="E41" s="30"/>
      <c r="F41" s="34">
        <v>56493.42</v>
      </c>
      <c r="G41" s="34"/>
      <c r="H41" s="34"/>
      <c r="I41" s="34"/>
      <c r="J41" s="34"/>
      <c r="K41" s="34"/>
      <c r="L41" s="34">
        <f t="shared" si="2"/>
        <v>56493.42</v>
      </c>
      <c r="M41" s="34"/>
      <c r="N41" s="35">
        <v>0.05</v>
      </c>
      <c r="O41" s="34"/>
      <c r="P41" s="34">
        <v>53668.73</v>
      </c>
      <c r="Q41" s="34"/>
      <c r="R41" s="34">
        <f t="shared" si="3"/>
        <v>2824.67</v>
      </c>
      <c r="S41" s="34"/>
      <c r="T41" s="34"/>
      <c r="U41" s="34"/>
      <c r="V41" s="34">
        <f t="shared" si="4"/>
        <v>56493.4</v>
      </c>
      <c r="W41" s="34"/>
      <c r="X41" s="34">
        <f t="shared" si="5"/>
        <v>0.02</v>
      </c>
      <c r="Y41" s="34"/>
      <c r="Z41" s="34"/>
      <c r="AA41" s="34"/>
      <c r="AB41" s="34"/>
      <c r="AC41" s="34"/>
      <c r="AD41" s="34"/>
      <c r="AE41" s="34"/>
    </row>
    <row r="42" spans="1:31" ht="12.9" customHeight="1">
      <c r="A42" s="30"/>
      <c r="B42" s="41" t="s">
        <v>652</v>
      </c>
      <c r="C42" s="30"/>
      <c r="D42" s="31" t="s">
        <v>611</v>
      </c>
      <c r="E42" s="30"/>
      <c r="F42" s="34">
        <v>1762.5</v>
      </c>
      <c r="G42" s="34"/>
      <c r="H42" s="30"/>
      <c r="I42" s="34"/>
      <c r="J42" s="34"/>
      <c r="K42" s="34"/>
      <c r="L42" s="34">
        <f t="shared" si="2"/>
        <v>1762.5</v>
      </c>
      <c r="M42" s="34"/>
      <c r="N42" s="35">
        <v>0.2</v>
      </c>
      <c r="O42" s="34"/>
      <c r="P42" s="34">
        <v>1762.5</v>
      </c>
      <c r="Q42" s="34"/>
      <c r="R42" s="34">
        <f t="shared" si="3"/>
        <v>0</v>
      </c>
      <c r="S42" s="34"/>
      <c r="T42" s="34"/>
      <c r="U42" s="34"/>
      <c r="V42" s="34">
        <f t="shared" si="4"/>
        <v>1762.5</v>
      </c>
      <c r="W42" s="30"/>
      <c r="X42" s="34">
        <f t="shared" si="5"/>
        <v>0</v>
      </c>
      <c r="Y42" s="34"/>
      <c r="Z42" s="34"/>
      <c r="AA42" s="34"/>
      <c r="AB42" s="34"/>
      <c r="AC42" s="34"/>
      <c r="AD42" s="34"/>
      <c r="AE42" s="34"/>
    </row>
    <row r="43" spans="1:31" ht="12.9" customHeight="1">
      <c r="A43" s="30"/>
      <c r="B43" s="38" t="s">
        <v>661</v>
      </c>
      <c r="C43" s="30"/>
      <c r="D43" s="31" t="s">
        <v>662</v>
      </c>
      <c r="E43" s="30"/>
      <c r="F43" s="34">
        <v>8600</v>
      </c>
      <c r="G43" s="34"/>
      <c r="H43" s="34"/>
      <c r="I43" s="34"/>
      <c r="J43" s="34"/>
      <c r="K43" s="34"/>
      <c r="L43" s="34">
        <f t="shared" si="2"/>
        <v>8600</v>
      </c>
      <c r="M43" s="34"/>
      <c r="N43" s="35">
        <v>0.05</v>
      </c>
      <c r="O43" s="34"/>
      <c r="P43" s="34">
        <v>8600</v>
      </c>
      <c r="Q43" s="34"/>
      <c r="R43" s="34">
        <f t="shared" si="3"/>
        <v>0</v>
      </c>
      <c r="S43" s="34"/>
      <c r="T43" s="34"/>
      <c r="U43" s="34"/>
      <c r="V43" s="34">
        <f t="shared" si="4"/>
        <v>8600</v>
      </c>
      <c r="W43" s="34"/>
      <c r="X43" s="34">
        <f t="shared" si="5"/>
        <v>0</v>
      </c>
      <c r="Y43" s="34"/>
      <c r="Z43" s="34"/>
      <c r="AA43" s="34"/>
      <c r="AB43" s="34"/>
      <c r="AC43" s="34"/>
      <c r="AD43" s="34"/>
      <c r="AE43" s="34"/>
    </row>
    <row r="44" spans="1:31" ht="12.9" customHeight="1">
      <c r="A44" s="30"/>
      <c r="B44" s="37" t="s">
        <v>637</v>
      </c>
      <c r="C44" s="30"/>
      <c r="D44" s="31" t="s">
        <v>638</v>
      </c>
      <c r="E44" s="30"/>
      <c r="F44" s="34">
        <v>3950</v>
      </c>
      <c r="G44" s="34"/>
      <c r="H44" s="34"/>
      <c r="I44" s="34"/>
      <c r="J44" s="34"/>
      <c r="K44" s="34"/>
      <c r="L44" s="34">
        <f t="shared" si="2"/>
        <v>3950</v>
      </c>
      <c r="M44" s="34"/>
      <c r="N44" s="35">
        <v>0.1</v>
      </c>
      <c r="O44" s="34"/>
      <c r="P44" s="34">
        <v>3950</v>
      </c>
      <c r="Q44" s="34"/>
      <c r="R44" s="34">
        <f t="shared" si="3"/>
        <v>0</v>
      </c>
      <c r="S44" s="34"/>
      <c r="T44" s="34"/>
      <c r="U44" s="34"/>
      <c r="V44" s="34">
        <f t="shared" si="4"/>
        <v>3950</v>
      </c>
      <c r="W44" s="34"/>
      <c r="X44" s="34">
        <f t="shared" si="5"/>
        <v>0</v>
      </c>
      <c r="Y44" s="34"/>
      <c r="Z44" s="34"/>
      <c r="AA44" s="34"/>
      <c r="AB44" s="34"/>
      <c r="AC44" s="34"/>
      <c r="AD44" s="34"/>
      <c r="AE44" s="34"/>
    </row>
    <row r="45" spans="1:31" ht="12.9" customHeight="1">
      <c r="A45" s="30"/>
      <c r="B45" s="38" t="s">
        <v>647</v>
      </c>
      <c r="C45" s="30"/>
      <c r="D45" s="31" t="s">
        <v>648</v>
      </c>
      <c r="E45" s="30"/>
      <c r="F45" s="34">
        <v>30831.75</v>
      </c>
      <c r="G45" s="34"/>
      <c r="H45" s="34"/>
      <c r="I45" s="34"/>
      <c r="J45" s="34"/>
      <c r="K45" s="34"/>
      <c r="L45" s="34">
        <f t="shared" si="2"/>
        <v>30831.75</v>
      </c>
      <c r="M45" s="34"/>
      <c r="N45" s="35">
        <v>0.05</v>
      </c>
      <c r="O45" s="34"/>
      <c r="P45" s="34">
        <v>26207.03</v>
      </c>
      <c r="Q45" s="34"/>
      <c r="R45" s="34">
        <f t="shared" si="3"/>
        <v>1541.59</v>
      </c>
      <c r="S45" s="34"/>
      <c r="T45" s="34"/>
      <c r="U45" s="34"/>
      <c r="V45" s="34">
        <f t="shared" si="4"/>
        <v>27748.62</v>
      </c>
      <c r="W45" s="34"/>
      <c r="X45" s="34">
        <f t="shared" si="5"/>
        <v>3083.13</v>
      </c>
      <c r="Y45" s="34"/>
      <c r="Z45" s="34"/>
      <c r="AA45" s="34"/>
      <c r="AB45" s="34"/>
      <c r="AC45" s="34"/>
      <c r="AD45" s="34"/>
      <c r="AE45" s="34"/>
    </row>
    <row r="46" spans="1:31" ht="12.9" customHeight="1">
      <c r="A46" s="30"/>
      <c r="B46" s="39" t="s">
        <v>663</v>
      </c>
      <c r="C46" s="34"/>
      <c r="D46" s="31" t="s">
        <v>648</v>
      </c>
      <c r="E46" s="30"/>
      <c r="F46" s="96">
        <v>3335</v>
      </c>
      <c r="G46" s="34"/>
      <c r="H46" s="96"/>
      <c r="I46" s="34"/>
      <c r="J46" s="96"/>
      <c r="K46" s="34"/>
      <c r="L46" s="96">
        <f t="shared" si="2"/>
        <v>3335</v>
      </c>
      <c r="M46" s="34"/>
      <c r="N46" s="35">
        <v>0.05</v>
      </c>
      <c r="O46" s="34"/>
      <c r="P46" s="96">
        <v>3001.5</v>
      </c>
      <c r="Q46" s="34"/>
      <c r="R46" s="96">
        <f t="shared" si="3"/>
        <v>166.75</v>
      </c>
      <c r="S46" s="34"/>
      <c r="T46" s="96"/>
      <c r="U46" s="34"/>
      <c r="V46" s="96">
        <f t="shared" si="4"/>
        <v>3168.25</v>
      </c>
      <c r="W46" s="34"/>
      <c r="X46" s="96">
        <f t="shared" si="5"/>
        <v>166.75</v>
      </c>
      <c r="Y46" s="34"/>
      <c r="Z46" s="34"/>
      <c r="AA46" s="34"/>
      <c r="AB46" s="34"/>
      <c r="AC46" s="34"/>
      <c r="AD46" s="34"/>
      <c r="AE46" s="34"/>
    </row>
    <row r="47" spans="1:31" ht="12.9" customHeight="1">
      <c r="A47" s="30"/>
      <c r="B47" s="38" t="s">
        <v>645</v>
      </c>
      <c r="C47" s="30"/>
      <c r="D47" s="31" t="s">
        <v>646</v>
      </c>
      <c r="E47" s="30"/>
      <c r="F47" s="34">
        <v>64457.65</v>
      </c>
      <c r="G47" s="34"/>
      <c r="H47" s="34"/>
      <c r="I47" s="34"/>
      <c r="J47" s="34"/>
      <c r="K47" s="34"/>
      <c r="L47" s="34">
        <f t="shared" si="2"/>
        <v>64457.65</v>
      </c>
      <c r="M47" s="34"/>
      <c r="N47" s="35">
        <v>0.1</v>
      </c>
      <c r="O47" s="34"/>
      <c r="P47" s="34">
        <v>64457.65</v>
      </c>
      <c r="Q47" s="34"/>
      <c r="R47" s="34">
        <f t="shared" si="3"/>
        <v>0</v>
      </c>
      <c r="S47" s="34"/>
      <c r="T47" s="34"/>
      <c r="U47" s="34"/>
      <c r="V47" s="34">
        <f t="shared" si="4"/>
        <v>64457.65</v>
      </c>
      <c r="W47" s="34"/>
      <c r="X47" s="34">
        <f t="shared" si="5"/>
        <v>0</v>
      </c>
      <c r="Y47" s="34"/>
      <c r="Z47" s="34"/>
      <c r="AA47" s="34"/>
      <c r="AB47" s="34"/>
      <c r="AC47" s="34"/>
      <c r="AD47" s="34"/>
      <c r="AE47" s="34"/>
    </row>
    <row r="48" spans="1:31" ht="12.9" customHeight="1">
      <c r="A48" s="30"/>
      <c r="B48" s="38" t="s">
        <v>639</v>
      </c>
      <c r="C48" s="30"/>
      <c r="D48" s="31" t="s">
        <v>640</v>
      </c>
      <c r="E48" s="30"/>
      <c r="F48" s="34">
        <v>26644.05</v>
      </c>
      <c r="G48" s="34"/>
      <c r="H48" s="34"/>
      <c r="I48" s="34"/>
      <c r="J48" s="34"/>
      <c r="K48" s="34"/>
      <c r="L48" s="34">
        <f t="shared" si="2"/>
        <v>26644.05</v>
      </c>
      <c r="M48" s="34"/>
      <c r="N48" s="35">
        <v>0.05</v>
      </c>
      <c r="O48" s="34"/>
      <c r="P48" s="34">
        <v>15986.4</v>
      </c>
      <c r="Q48" s="34"/>
      <c r="R48" s="34">
        <f t="shared" si="3"/>
        <v>1332.2</v>
      </c>
      <c r="S48" s="34"/>
      <c r="T48" s="34"/>
      <c r="U48" s="34"/>
      <c r="V48" s="34">
        <f t="shared" si="4"/>
        <v>17318.599999999999</v>
      </c>
      <c r="W48" s="34"/>
      <c r="X48" s="34">
        <f t="shared" si="5"/>
        <v>9325.4500000000007</v>
      </c>
      <c r="AE48" s="34"/>
    </row>
    <row r="49" spans="1:31" ht="12.9" customHeight="1">
      <c r="A49" s="30"/>
      <c r="B49" s="41" t="s">
        <v>650</v>
      </c>
      <c r="C49" s="30"/>
      <c r="D49" s="31" t="s">
        <v>651</v>
      </c>
      <c r="E49" s="30"/>
      <c r="F49" s="34">
        <v>158419.89000000001</v>
      </c>
      <c r="G49" s="34"/>
      <c r="H49" s="34"/>
      <c r="I49" s="34"/>
      <c r="J49" s="34"/>
      <c r="K49" s="34"/>
      <c r="L49" s="34">
        <f t="shared" si="2"/>
        <v>158419.89000000001</v>
      </c>
      <c r="M49" s="34"/>
      <c r="N49" s="35">
        <v>0.02</v>
      </c>
      <c r="O49" s="34"/>
      <c r="P49" s="34">
        <v>50694.400000000001</v>
      </c>
      <c r="Q49" s="34"/>
      <c r="R49" s="34">
        <f t="shared" si="3"/>
        <v>3168.4</v>
      </c>
      <c r="S49" s="34"/>
      <c r="T49" s="34"/>
      <c r="U49" s="34"/>
      <c r="V49" s="34">
        <f t="shared" si="4"/>
        <v>53862.8</v>
      </c>
      <c r="W49" s="34"/>
      <c r="X49" s="34">
        <f t="shared" si="5"/>
        <v>104557.09</v>
      </c>
      <c r="Y49" s="34"/>
      <c r="Z49" s="34"/>
      <c r="AA49" s="34"/>
      <c r="AB49" s="34"/>
      <c r="AC49" s="34"/>
      <c r="AD49" s="34"/>
      <c r="AE49" s="34"/>
    </row>
    <row r="50" spans="1:31" ht="12.9" customHeight="1">
      <c r="A50" s="30"/>
      <c r="B50" s="37" t="s">
        <v>633</v>
      </c>
      <c r="C50" s="30"/>
      <c r="D50" s="31">
        <v>2000</v>
      </c>
      <c r="E50" s="30"/>
      <c r="F50" s="34">
        <v>27084.59</v>
      </c>
      <c r="G50" s="34"/>
      <c r="H50" s="34"/>
      <c r="I50" s="34"/>
      <c r="J50" s="34"/>
      <c r="K50" s="34"/>
      <c r="L50" s="34">
        <f t="shared" si="2"/>
        <v>27084.59</v>
      </c>
      <c r="M50" s="34"/>
      <c r="N50" s="35">
        <v>0.05</v>
      </c>
      <c r="O50" s="34"/>
      <c r="P50" s="34">
        <v>16250.76</v>
      </c>
      <c r="Q50" s="34"/>
      <c r="R50" s="34">
        <f t="shared" si="3"/>
        <v>1354.23</v>
      </c>
      <c r="S50" s="34"/>
      <c r="T50" s="34"/>
      <c r="U50" s="34"/>
      <c r="V50" s="34">
        <f t="shared" si="4"/>
        <v>17604.990000000002</v>
      </c>
      <c r="W50" s="34"/>
      <c r="X50" s="34">
        <f t="shared" si="5"/>
        <v>9479.6</v>
      </c>
      <c r="Y50" s="34"/>
      <c r="Z50" s="34"/>
      <c r="AA50" s="34"/>
      <c r="AB50" s="34"/>
      <c r="AC50" s="34"/>
      <c r="AD50" s="34"/>
      <c r="AE50" s="34"/>
    </row>
    <row r="51" spans="1:31" ht="12.9" customHeight="1">
      <c r="A51" s="34"/>
      <c r="B51" s="37" t="s">
        <v>635</v>
      </c>
      <c r="C51" s="30"/>
      <c r="D51" s="31" t="s">
        <v>636</v>
      </c>
      <c r="E51" s="30"/>
      <c r="F51" s="34">
        <v>443292.84</v>
      </c>
      <c r="G51" s="34"/>
      <c r="H51" s="34"/>
      <c r="I51" s="34"/>
      <c r="J51" s="34"/>
      <c r="K51" s="34"/>
      <c r="L51" s="34">
        <f t="shared" si="2"/>
        <v>443292.84</v>
      </c>
      <c r="M51" s="34"/>
      <c r="N51" s="35">
        <v>0.05</v>
      </c>
      <c r="O51" s="34"/>
      <c r="P51" s="34">
        <v>155152.48000000001</v>
      </c>
      <c r="Q51" s="34"/>
      <c r="R51" s="34">
        <f t="shared" si="3"/>
        <v>22164.639999999999</v>
      </c>
      <c r="S51" s="34"/>
      <c r="T51" s="34"/>
      <c r="U51" s="34"/>
      <c r="V51" s="34">
        <f t="shared" si="4"/>
        <v>177317.12</v>
      </c>
      <c r="W51" s="34"/>
      <c r="X51" s="34">
        <f t="shared" si="5"/>
        <v>265975.71999999997</v>
      </c>
      <c r="Y51" s="34"/>
      <c r="Z51" s="34"/>
      <c r="AA51" s="34"/>
      <c r="AB51" s="34"/>
      <c r="AC51" s="34"/>
      <c r="AD51" s="34"/>
      <c r="AE51" s="34"/>
    </row>
    <row r="52" spans="1:31" ht="12.9" customHeight="1">
      <c r="A52" s="34"/>
      <c r="B52" s="38" t="s">
        <v>622</v>
      </c>
      <c r="C52" s="30"/>
      <c r="D52" s="31" t="s">
        <v>641</v>
      </c>
      <c r="E52" s="30"/>
      <c r="F52" s="34">
        <v>2455461.92</v>
      </c>
      <c r="G52" s="34"/>
      <c r="H52" s="34"/>
      <c r="I52" s="34"/>
      <c r="J52" s="34"/>
      <c r="K52" s="34"/>
      <c r="L52" s="34">
        <f t="shared" si="2"/>
        <v>2455461.92</v>
      </c>
      <c r="M52" s="34"/>
      <c r="N52" s="35">
        <v>2.5000000000000001E-2</v>
      </c>
      <c r="O52" s="34"/>
      <c r="P52" s="34">
        <v>306932.75</v>
      </c>
      <c r="Q52" s="34"/>
      <c r="R52" s="34">
        <f t="shared" si="3"/>
        <v>61386.55</v>
      </c>
      <c r="S52" s="34"/>
      <c r="T52" s="34"/>
      <c r="U52" s="34"/>
      <c r="V52" s="34">
        <f t="shared" si="4"/>
        <v>368319.3</v>
      </c>
      <c r="W52" s="34"/>
      <c r="X52" s="34">
        <f t="shared" si="5"/>
        <v>2087142.62</v>
      </c>
      <c r="Y52" s="34"/>
      <c r="Z52" s="34"/>
      <c r="AA52" s="34"/>
      <c r="AB52" s="34"/>
      <c r="AC52" s="34"/>
      <c r="AD52" s="34"/>
      <c r="AE52" s="34"/>
    </row>
    <row r="53" spans="1:31" ht="12.9" customHeight="1">
      <c r="A53" s="30"/>
      <c r="B53" s="37" t="s">
        <v>658</v>
      </c>
      <c r="C53" s="30"/>
      <c r="D53" s="31">
        <v>2012</v>
      </c>
      <c r="E53" s="30"/>
      <c r="F53" s="95">
        <v>12705</v>
      </c>
      <c r="G53" s="34"/>
      <c r="H53" s="95"/>
      <c r="I53" s="34"/>
      <c r="J53" s="95"/>
      <c r="K53" s="34"/>
      <c r="L53" s="95">
        <f t="shared" si="2"/>
        <v>12705</v>
      </c>
      <c r="M53" s="34"/>
      <c r="N53" s="35">
        <v>0.1</v>
      </c>
      <c r="O53" s="34"/>
      <c r="P53" s="95">
        <v>2541</v>
      </c>
      <c r="Q53" s="34"/>
      <c r="R53" s="95">
        <f t="shared" si="3"/>
        <v>1270.5</v>
      </c>
      <c r="S53" s="34"/>
      <c r="T53" s="95"/>
      <c r="U53" s="34"/>
      <c r="V53" s="95">
        <f t="shared" si="4"/>
        <v>3811.5</v>
      </c>
      <c r="W53" s="34"/>
      <c r="X53" s="95">
        <f t="shared" si="5"/>
        <v>8893.5</v>
      </c>
      <c r="Y53" s="34"/>
      <c r="Z53" s="34"/>
      <c r="AA53" s="34"/>
      <c r="AB53" s="34"/>
      <c r="AC53" s="34"/>
      <c r="AD53" s="34"/>
      <c r="AE53" s="34"/>
    </row>
    <row r="54" spans="1:31" ht="12.9" customHeight="1">
      <c r="A54" s="30"/>
      <c r="B54" s="30" t="s">
        <v>664</v>
      </c>
      <c r="C54" s="30"/>
      <c r="D54" s="30"/>
      <c r="E54" s="30"/>
      <c r="F54" s="95">
        <v>5117535.9799999995</v>
      </c>
      <c r="G54" s="30"/>
      <c r="H54" s="262">
        <f>SUM(H28:H53)</f>
        <v>0</v>
      </c>
      <c r="I54" s="30"/>
      <c r="J54" s="262">
        <f>SUM(J28:J53)</f>
        <v>0</v>
      </c>
      <c r="K54" s="30"/>
      <c r="L54" s="262">
        <f>SUM(L28:L53)</f>
        <v>5117535.9799999986</v>
      </c>
      <c r="M54" s="30"/>
      <c r="N54" s="36"/>
      <c r="O54" s="30"/>
      <c r="P54" s="95">
        <v>2416083.9899999998</v>
      </c>
      <c r="Q54" s="30"/>
      <c r="R54" s="262">
        <f>SUM(R28:R53)</f>
        <v>103491.65</v>
      </c>
      <c r="S54" s="30"/>
      <c r="T54" s="262">
        <f>SUM(T28:T53)</f>
        <v>0</v>
      </c>
      <c r="U54" s="30"/>
      <c r="V54" s="262">
        <f>SUM(V28:V53)</f>
        <v>2519575.6399999997</v>
      </c>
      <c r="W54" s="30"/>
      <c r="X54" s="262">
        <f>SUM(X28:X53)</f>
        <v>2597960.34</v>
      </c>
      <c r="AC54" s="34"/>
      <c r="AE54" s="34"/>
    </row>
    <row r="55" spans="1:31" ht="12.9" customHeight="1">
      <c r="A55" s="30"/>
      <c r="B55" s="30"/>
      <c r="C55" s="30"/>
      <c r="D55" s="30"/>
      <c r="E55" s="30"/>
      <c r="F55" s="34"/>
      <c r="G55" s="30"/>
      <c r="H55" s="34"/>
      <c r="I55" s="30"/>
      <c r="J55" s="34"/>
      <c r="K55" s="30"/>
      <c r="L55" s="30"/>
      <c r="M55" s="30"/>
      <c r="N55" s="36"/>
      <c r="O55" s="30"/>
      <c r="P55" s="34"/>
      <c r="Q55" s="30"/>
      <c r="R55" s="34"/>
      <c r="S55" s="30"/>
      <c r="T55" s="34"/>
      <c r="U55" s="30"/>
      <c r="V55" s="34"/>
      <c r="W55" s="30"/>
      <c r="X55" s="34"/>
    </row>
    <row r="56" spans="1:31" ht="12.9" customHeight="1">
      <c r="A56" s="27" t="s">
        <v>598</v>
      </c>
      <c r="B56" s="27"/>
      <c r="C56" s="27"/>
      <c r="D56" s="27"/>
      <c r="E56" s="27"/>
      <c r="F56" s="27"/>
      <c r="G56" s="27"/>
      <c r="H56" s="27"/>
      <c r="I56" s="27"/>
      <c r="J56" s="27"/>
      <c r="K56" s="27"/>
      <c r="L56" s="27"/>
      <c r="M56" s="27"/>
      <c r="N56" s="27"/>
      <c r="O56" s="27"/>
      <c r="P56" s="27"/>
      <c r="Q56" s="27"/>
      <c r="R56" s="27"/>
      <c r="S56" s="27"/>
      <c r="T56" s="27"/>
      <c r="U56" s="27"/>
      <c r="V56" s="27"/>
      <c r="W56" s="27"/>
      <c r="X56" s="27"/>
    </row>
    <row r="57" spans="1:31" ht="12.9" customHeight="1">
      <c r="A57" s="27" t="s">
        <v>599</v>
      </c>
      <c r="B57" s="27"/>
      <c r="C57" s="27"/>
      <c r="D57" s="27"/>
      <c r="E57" s="27"/>
      <c r="F57" s="27"/>
      <c r="G57" s="27"/>
      <c r="H57" s="27"/>
      <c r="I57" s="27"/>
      <c r="J57" s="27"/>
      <c r="K57" s="27"/>
      <c r="L57" s="27"/>
      <c r="M57" s="27"/>
      <c r="N57" s="27"/>
      <c r="O57" s="27"/>
      <c r="P57" s="27"/>
      <c r="Q57" s="27"/>
      <c r="R57" s="27"/>
      <c r="S57" s="27"/>
      <c r="T57" s="27"/>
      <c r="U57" s="27"/>
      <c r="V57" s="27"/>
      <c r="W57" s="27"/>
      <c r="X57" s="27" t="s">
        <v>665</v>
      </c>
    </row>
    <row r="58" spans="1:31" ht="12.9" customHeight="1">
      <c r="A58" s="29">
        <f>+A9</f>
        <v>42004</v>
      </c>
      <c r="B58" s="27"/>
      <c r="C58" s="27"/>
      <c r="D58" s="27"/>
      <c r="E58" s="27"/>
      <c r="F58" s="27"/>
      <c r="G58" s="27"/>
      <c r="H58" s="27"/>
      <c r="I58" s="27"/>
      <c r="J58" s="27"/>
      <c r="K58" s="27"/>
      <c r="L58" s="27"/>
      <c r="M58" s="27"/>
      <c r="N58" s="27"/>
      <c r="O58" s="27"/>
      <c r="P58" s="27"/>
      <c r="Q58" s="27"/>
      <c r="R58" s="27"/>
      <c r="S58" s="27"/>
      <c r="T58" s="27"/>
      <c r="U58" s="27"/>
      <c r="V58" s="27"/>
      <c r="W58" s="27"/>
      <c r="X58" s="27"/>
    </row>
    <row r="59" spans="1:31" ht="12.9" customHeight="1">
      <c r="A59" s="30"/>
      <c r="B59" s="30"/>
      <c r="C59" s="30"/>
      <c r="D59" s="30"/>
      <c r="E59" s="30"/>
      <c r="F59" s="34"/>
      <c r="G59" s="30"/>
      <c r="H59" s="34"/>
      <c r="I59" s="30"/>
      <c r="J59" s="34"/>
      <c r="K59" s="30"/>
      <c r="L59" s="30"/>
      <c r="M59" s="30"/>
      <c r="N59" s="36"/>
      <c r="O59" s="30"/>
      <c r="P59" s="34"/>
      <c r="Q59" s="30"/>
      <c r="R59" s="34"/>
      <c r="S59" s="30"/>
      <c r="T59" s="34"/>
      <c r="U59" s="30"/>
      <c r="V59" s="34"/>
      <c r="W59" s="30"/>
      <c r="X59" s="34"/>
    </row>
    <row r="60" spans="1:31" ht="12.9" customHeight="1">
      <c r="A60" s="30"/>
      <c r="B60" s="30"/>
      <c r="C60" s="30"/>
      <c r="D60" s="31" t="s">
        <v>602</v>
      </c>
      <c r="E60" s="30"/>
      <c r="F60" s="32"/>
      <c r="G60" s="32"/>
      <c r="H60" s="32"/>
      <c r="I60" s="32"/>
      <c r="J60" s="32"/>
      <c r="K60" s="32"/>
      <c r="L60" s="32"/>
      <c r="M60" s="30"/>
      <c r="N60" s="32" t="s">
        <v>603</v>
      </c>
      <c r="O60" s="32"/>
      <c r="P60" s="32"/>
      <c r="Q60" s="32"/>
      <c r="R60" s="32"/>
      <c r="S60" s="32"/>
      <c r="T60" s="32"/>
      <c r="U60" s="32"/>
      <c r="V60" s="32"/>
      <c r="X60" s="93" t="s">
        <v>604</v>
      </c>
    </row>
    <row r="61" spans="1:31" ht="12.9" customHeight="1">
      <c r="A61" s="30"/>
      <c r="B61" s="30"/>
      <c r="C61" s="30"/>
      <c r="D61" s="33" t="s">
        <v>453</v>
      </c>
      <c r="E61" s="30"/>
      <c r="F61" s="33" t="s">
        <v>400</v>
      </c>
      <c r="G61" s="30"/>
      <c r="H61" s="33" t="s">
        <v>401</v>
      </c>
      <c r="I61" s="30"/>
      <c r="J61" s="33" t="s">
        <v>605</v>
      </c>
      <c r="K61" s="30"/>
      <c r="L61" s="33" t="s">
        <v>400</v>
      </c>
      <c r="M61" s="30"/>
      <c r="N61" s="33" t="s">
        <v>606</v>
      </c>
      <c r="O61" s="30"/>
      <c r="P61" s="33" t="s">
        <v>400</v>
      </c>
      <c r="Q61" s="30"/>
      <c r="R61" s="33" t="s">
        <v>401</v>
      </c>
      <c r="S61" s="30"/>
      <c r="T61" s="33" t="s">
        <v>605</v>
      </c>
      <c r="U61" s="30"/>
      <c r="V61" s="33" t="s">
        <v>400</v>
      </c>
      <c r="W61" s="30"/>
      <c r="X61" s="33" t="str">
        <f>+X12</f>
        <v xml:space="preserve"> 12/31/14</v>
      </c>
    </row>
    <row r="62" spans="1:31" ht="12.9" customHeight="1">
      <c r="A62" s="30"/>
      <c r="B62" s="30"/>
      <c r="C62" s="30"/>
      <c r="D62" s="30"/>
      <c r="E62" s="30"/>
      <c r="F62" s="34"/>
      <c r="G62" s="30"/>
      <c r="H62" s="34"/>
      <c r="I62" s="30"/>
      <c r="J62" s="34"/>
      <c r="K62" s="30"/>
      <c r="L62" s="30"/>
      <c r="M62" s="30"/>
      <c r="N62" s="36"/>
      <c r="O62" s="30"/>
      <c r="P62" s="34"/>
      <c r="Q62" s="30"/>
      <c r="R62" s="34"/>
      <c r="S62" s="30"/>
      <c r="T62" s="34"/>
      <c r="U62" s="30"/>
      <c r="V62" s="34"/>
      <c r="W62" s="30"/>
      <c r="X62" s="34"/>
    </row>
    <row r="63" spans="1:31" ht="12.9" customHeight="1">
      <c r="A63" s="28" t="s">
        <v>886</v>
      </c>
    </row>
    <row r="64" spans="1:31" ht="12.9" customHeight="1">
      <c r="A64" s="30"/>
      <c r="B64" s="37" t="s">
        <v>668</v>
      </c>
      <c r="C64" s="30"/>
      <c r="D64" s="66" t="s">
        <v>609</v>
      </c>
      <c r="E64" s="65"/>
      <c r="F64" s="70">
        <v>50594.84</v>
      </c>
      <c r="G64" s="65"/>
      <c r="H64" s="65"/>
      <c r="I64" s="65"/>
      <c r="J64" s="70"/>
      <c r="K64" s="65"/>
      <c r="L64" s="70">
        <f t="shared" ref="L64:L101" si="6">F64+H64-J64</f>
        <v>50594.84</v>
      </c>
      <c r="M64" s="65"/>
      <c r="N64" s="67">
        <v>0.1</v>
      </c>
      <c r="O64" s="65"/>
      <c r="P64" s="70">
        <v>50594.84</v>
      </c>
      <c r="Q64" s="65"/>
      <c r="R64" s="70">
        <v>0</v>
      </c>
      <c r="S64" s="65"/>
      <c r="T64" s="70"/>
      <c r="U64" s="65"/>
      <c r="V64" s="70">
        <f t="shared" ref="V64:V101" si="7">ROUND(+P64+R64-T64,2)</f>
        <v>50594.84</v>
      </c>
      <c r="W64" s="34"/>
      <c r="X64" s="34">
        <f t="shared" ref="X64:X101" si="8">ROUND(+L64-V64,2)</f>
        <v>0</v>
      </c>
      <c r="Y64" s="34"/>
      <c r="Z64" s="34"/>
      <c r="AA64" s="34"/>
      <c r="AB64" s="34"/>
    </row>
    <row r="65" spans="1:29" ht="12.9" customHeight="1">
      <c r="A65" s="30"/>
      <c r="B65" s="37" t="s">
        <v>666</v>
      </c>
      <c r="C65" s="30"/>
      <c r="D65" s="66" t="s">
        <v>667</v>
      </c>
      <c r="E65" s="65"/>
      <c r="F65" s="70">
        <v>29935.83</v>
      </c>
      <c r="G65" s="70"/>
      <c r="H65" s="70"/>
      <c r="I65" s="70"/>
      <c r="J65" s="70"/>
      <c r="K65" s="70"/>
      <c r="L65" s="70">
        <f t="shared" si="6"/>
        <v>29935.83</v>
      </c>
      <c r="M65" s="70"/>
      <c r="N65" s="67">
        <v>0.1</v>
      </c>
      <c r="O65" s="70"/>
      <c r="P65" s="70">
        <v>29935.83</v>
      </c>
      <c r="Q65" s="70"/>
      <c r="R65" s="70">
        <f t="shared" ref="R65:R101" si="9">ROUND(IF(L65-P65=0,0,IF(L65-P65&lt;L65*N65,+L65-P65,L65*N65)),2)</f>
        <v>0</v>
      </c>
      <c r="S65" s="70"/>
      <c r="T65" s="70"/>
      <c r="U65" s="70"/>
      <c r="V65" s="70">
        <f t="shared" si="7"/>
        <v>29935.83</v>
      </c>
      <c r="W65" s="34"/>
      <c r="X65" s="34">
        <f t="shared" si="8"/>
        <v>0</v>
      </c>
      <c r="AC65" s="34"/>
    </row>
    <row r="66" spans="1:29" ht="12.9" customHeight="1">
      <c r="A66" s="30"/>
      <c r="B66" s="37" t="s">
        <v>669</v>
      </c>
      <c r="C66" s="30"/>
      <c r="D66" s="66" t="s">
        <v>662</v>
      </c>
      <c r="E66" s="65"/>
      <c r="F66" s="70">
        <v>5050.75</v>
      </c>
      <c r="G66" s="70"/>
      <c r="H66" s="70"/>
      <c r="I66" s="70"/>
      <c r="J66" s="70"/>
      <c r="K66" s="70"/>
      <c r="L66" s="70">
        <f t="shared" si="6"/>
        <v>5050.75</v>
      </c>
      <c r="M66" s="70"/>
      <c r="N66" s="67">
        <v>0.1</v>
      </c>
      <c r="O66" s="70"/>
      <c r="P66" s="70">
        <v>5050.75</v>
      </c>
      <c r="Q66" s="70"/>
      <c r="R66" s="70">
        <f t="shared" si="9"/>
        <v>0</v>
      </c>
      <c r="S66" s="65"/>
      <c r="T66" s="70"/>
      <c r="U66" s="65"/>
      <c r="V66" s="70">
        <f t="shared" si="7"/>
        <v>5050.75</v>
      </c>
      <c r="W66" s="34"/>
      <c r="X66" s="34">
        <f t="shared" si="8"/>
        <v>0</v>
      </c>
      <c r="Y66" s="34"/>
      <c r="Z66" s="34"/>
    </row>
    <row r="67" spans="1:29" ht="12.9" customHeight="1">
      <c r="A67" s="30"/>
      <c r="B67" s="37" t="s">
        <v>670</v>
      </c>
      <c r="C67" s="30"/>
      <c r="D67" s="66" t="s">
        <v>662</v>
      </c>
      <c r="E67" s="65"/>
      <c r="F67" s="70">
        <v>10247.57</v>
      </c>
      <c r="G67" s="70"/>
      <c r="H67" s="70"/>
      <c r="I67" s="70"/>
      <c r="J67" s="70"/>
      <c r="K67" s="70"/>
      <c r="L67" s="70">
        <f t="shared" si="6"/>
        <v>10247.57</v>
      </c>
      <c r="M67" s="70"/>
      <c r="N67" s="67">
        <v>0.1</v>
      </c>
      <c r="O67" s="70"/>
      <c r="P67" s="70">
        <v>10247.57</v>
      </c>
      <c r="Q67" s="70"/>
      <c r="R67" s="70">
        <f t="shared" si="9"/>
        <v>0</v>
      </c>
      <c r="S67" s="65"/>
      <c r="T67" s="70"/>
      <c r="U67" s="65"/>
      <c r="V67" s="70">
        <f t="shared" si="7"/>
        <v>10247.57</v>
      </c>
      <c r="W67" s="34"/>
      <c r="X67" s="34">
        <f t="shared" si="8"/>
        <v>0</v>
      </c>
      <c r="Y67" s="34"/>
      <c r="Z67" s="34"/>
    </row>
    <row r="68" spans="1:29" ht="12.9" customHeight="1">
      <c r="A68" s="30"/>
      <c r="B68" s="42" t="s">
        <v>811</v>
      </c>
      <c r="C68" s="30"/>
      <c r="D68" s="66">
        <v>1995</v>
      </c>
      <c r="E68" s="65"/>
      <c r="F68" s="70">
        <v>14357.82</v>
      </c>
      <c r="G68" s="70"/>
      <c r="H68" s="70"/>
      <c r="I68" s="70"/>
      <c r="J68" s="70"/>
      <c r="K68" s="70"/>
      <c r="L68" s="70">
        <f t="shared" si="6"/>
        <v>14357.82</v>
      </c>
      <c r="M68" s="65"/>
      <c r="N68" s="67">
        <v>0.1</v>
      </c>
      <c r="O68" s="65"/>
      <c r="P68" s="70">
        <v>10050.459999999999</v>
      </c>
      <c r="Q68" s="65"/>
      <c r="R68" s="70">
        <f t="shared" si="9"/>
        <v>1435.78</v>
      </c>
      <c r="S68" s="65"/>
      <c r="T68" s="70"/>
      <c r="U68" s="65"/>
      <c r="V68" s="70">
        <f t="shared" si="7"/>
        <v>11486.24</v>
      </c>
      <c r="W68" s="30"/>
      <c r="X68" s="34">
        <f t="shared" si="8"/>
        <v>2871.58</v>
      </c>
    </row>
    <row r="69" spans="1:29" ht="12.9" customHeight="1">
      <c r="A69" s="30"/>
      <c r="B69" s="42" t="s">
        <v>671</v>
      </c>
      <c r="C69" s="30"/>
      <c r="D69" s="66">
        <v>1996</v>
      </c>
      <c r="E69" s="65"/>
      <c r="F69" s="70">
        <v>78563.8</v>
      </c>
      <c r="G69" s="70"/>
      <c r="H69" s="70"/>
      <c r="I69" s="70"/>
      <c r="J69" s="70"/>
      <c r="K69" s="70"/>
      <c r="L69" s="70">
        <f t="shared" si="6"/>
        <v>78563.8</v>
      </c>
      <c r="M69" s="65"/>
      <c r="N69" s="67">
        <v>0.1</v>
      </c>
      <c r="O69" s="65"/>
      <c r="P69" s="70">
        <v>78563.8</v>
      </c>
      <c r="Q69" s="65"/>
      <c r="R69" s="70">
        <f t="shared" si="9"/>
        <v>0</v>
      </c>
      <c r="S69" s="65"/>
      <c r="T69" s="70"/>
      <c r="U69" s="65"/>
      <c r="V69" s="70">
        <f t="shared" si="7"/>
        <v>78563.8</v>
      </c>
      <c r="W69" s="30"/>
      <c r="X69" s="34">
        <f t="shared" si="8"/>
        <v>0</v>
      </c>
    </row>
    <row r="70" spans="1:29" ht="12.9" customHeight="1">
      <c r="A70" s="30"/>
      <c r="B70" s="42" t="s">
        <v>812</v>
      </c>
      <c r="C70" s="30"/>
      <c r="D70" s="66">
        <v>1997</v>
      </c>
      <c r="E70" s="70"/>
      <c r="F70" s="70">
        <v>16451.63</v>
      </c>
      <c r="G70" s="70"/>
      <c r="H70" s="70"/>
      <c r="I70" s="70"/>
      <c r="J70" s="70"/>
      <c r="K70" s="70"/>
      <c r="L70" s="70">
        <f t="shared" si="6"/>
        <v>16451.63</v>
      </c>
      <c r="M70" s="70"/>
      <c r="N70" s="67">
        <v>0.1</v>
      </c>
      <c r="O70" s="70"/>
      <c r="P70" s="70">
        <v>16451.63</v>
      </c>
      <c r="Q70" s="70"/>
      <c r="R70" s="70">
        <f t="shared" si="9"/>
        <v>0</v>
      </c>
      <c r="S70" s="65"/>
      <c r="T70" s="70"/>
      <c r="U70" s="65"/>
      <c r="V70" s="70">
        <f t="shared" si="7"/>
        <v>16451.63</v>
      </c>
      <c r="W70" s="30"/>
      <c r="X70" s="34">
        <f t="shared" si="8"/>
        <v>0</v>
      </c>
    </row>
    <row r="71" spans="1:29" ht="12.9" customHeight="1">
      <c r="A71" s="30"/>
      <c r="B71" s="42" t="s">
        <v>820</v>
      </c>
      <c r="C71" s="30"/>
      <c r="D71" s="66">
        <v>2003</v>
      </c>
      <c r="E71" s="65"/>
      <c r="F71" s="70">
        <v>4331.05</v>
      </c>
      <c r="G71" s="70"/>
      <c r="H71" s="70"/>
      <c r="I71" s="70"/>
      <c r="J71" s="70"/>
      <c r="K71" s="70"/>
      <c r="L71" s="70">
        <f t="shared" si="6"/>
        <v>4331.05</v>
      </c>
      <c r="M71" s="65"/>
      <c r="N71" s="67">
        <v>0.2</v>
      </c>
      <c r="O71" s="65"/>
      <c r="P71" s="70">
        <v>4331.05</v>
      </c>
      <c r="Q71" s="65"/>
      <c r="R71" s="70">
        <f t="shared" si="9"/>
        <v>0</v>
      </c>
      <c r="S71" s="65"/>
      <c r="T71" s="70"/>
      <c r="U71" s="65"/>
      <c r="V71" s="70">
        <f t="shared" si="7"/>
        <v>4331.05</v>
      </c>
      <c r="W71" s="30"/>
      <c r="X71" s="34">
        <f t="shared" si="8"/>
        <v>0</v>
      </c>
    </row>
    <row r="72" spans="1:29" ht="12.9" customHeight="1">
      <c r="A72" s="30"/>
      <c r="B72" s="42" t="s">
        <v>672</v>
      </c>
      <c r="C72" s="30"/>
      <c r="D72" s="66">
        <v>1987</v>
      </c>
      <c r="E72" s="70"/>
      <c r="F72" s="70">
        <v>6397.77</v>
      </c>
      <c r="G72" s="70"/>
      <c r="H72" s="70"/>
      <c r="I72" s="70"/>
      <c r="J72" s="70"/>
      <c r="K72" s="70"/>
      <c r="L72" s="70">
        <f t="shared" si="6"/>
        <v>6397.77</v>
      </c>
      <c r="M72" s="70"/>
      <c r="N72" s="67">
        <v>0.1</v>
      </c>
      <c r="O72" s="70"/>
      <c r="P72" s="70">
        <v>6397.77</v>
      </c>
      <c r="Q72" s="70"/>
      <c r="R72" s="70">
        <f t="shared" si="9"/>
        <v>0</v>
      </c>
      <c r="S72" s="65"/>
      <c r="T72" s="70"/>
      <c r="U72" s="65"/>
      <c r="V72" s="70">
        <f t="shared" si="7"/>
        <v>6397.77</v>
      </c>
      <c r="W72" s="30"/>
      <c r="X72" s="34">
        <f t="shared" si="8"/>
        <v>0</v>
      </c>
    </row>
    <row r="73" spans="1:29" ht="12.9" customHeight="1">
      <c r="A73" s="30"/>
      <c r="B73" s="42" t="s">
        <v>813</v>
      </c>
      <c r="C73" s="30"/>
      <c r="D73" s="66">
        <v>2008</v>
      </c>
      <c r="E73" s="70"/>
      <c r="F73" s="70">
        <v>30710.34</v>
      </c>
      <c r="G73" s="70"/>
      <c r="H73" s="70"/>
      <c r="I73" s="70"/>
      <c r="J73" s="70"/>
      <c r="K73" s="70"/>
      <c r="L73" s="70">
        <f t="shared" si="6"/>
        <v>30710.34</v>
      </c>
      <c r="M73" s="70"/>
      <c r="N73" s="67">
        <v>0.1</v>
      </c>
      <c r="O73" s="70"/>
      <c r="P73" s="70">
        <v>18426.18</v>
      </c>
      <c r="Q73" s="70"/>
      <c r="R73" s="70">
        <f t="shared" si="9"/>
        <v>3071.03</v>
      </c>
      <c r="S73" s="65"/>
      <c r="T73" s="70"/>
      <c r="U73" s="65"/>
      <c r="V73" s="70">
        <f t="shared" si="7"/>
        <v>21497.21</v>
      </c>
      <c r="W73" s="30"/>
      <c r="X73" s="34">
        <f t="shared" si="8"/>
        <v>9213.1299999999992</v>
      </c>
    </row>
    <row r="74" spans="1:29" ht="12.9" customHeight="1">
      <c r="A74" s="30"/>
      <c r="B74" s="42" t="s">
        <v>814</v>
      </c>
      <c r="C74" s="30"/>
      <c r="D74" s="66">
        <v>2003</v>
      </c>
      <c r="E74" s="70"/>
      <c r="F74" s="70">
        <v>79076.25</v>
      </c>
      <c r="G74" s="70"/>
      <c r="H74" s="70"/>
      <c r="I74" s="70"/>
      <c r="J74" s="70"/>
      <c r="K74" s="70"/>
      <c r="L74" s="70">
        <f t="shared" si="6"/>
        <v>79076.25</v>
      </c>
      <c r="M74" s="70"/>
      <c r="N74" s="67">
        <v>0.1</v>
      </c>
      <c r="O74" s="70"/>
      <c r="P74" s="70">
        <v>79076.25</v>
      </c>
      <c r="Q74" s="70"/>
      <c r="R74" s="70">
        <f t="shared" si="9"/>
        <v>0</v>
      </c>
      <c r="S74" s="65"/>
      <c r="T74" s="70"/>
      <c r="U74" s="65"/>
      <c r="V74" s="70">
        <f t="shared" si="7"/>
        <v>79076.25</v>
      </c>
      <c r="W74" s="30"/>
      <c r="X74" s="34">
        <f t="shared" si="8"/>
        <v>0</v>
      </c>
    </row>
    <row r="75" spans="1:29" ht="12.9" customHeight="1">
      <c r="A75" s="30"/>
      <c r="B75" s="42" t="s">
        <v>673</v>
      </c>
      <c r="C75" s="30"/>
      <c r="D75" s="66">
        <v>2012</v>
      </c>
      <c r="E75" s="65"/>
      <c r="F75" s="70">
        <v>12738.97</v>
      </c>
      <c r="G75" s="65"/>
      <c r="H75" s="70"/>
      <c r="I75" s="70"/>
      <c r="J75" s="70"/>
      <c r="K75" s="70"/>
      <c r="L75" s="70">
        <f t="shared" si="6"/>
        <v>12738.97</v>
      </c>
      <c r="M75" s="65"/>
      <c r="N75" s="67">
        <v>0.1</v>
      </c>
      <c r="O75" s="65"/>
      <c r="P75" s="70">
        <v>2547.8000000000002</v>
      </c>
      <c r="Q75" s="65"/>
      <c r="R75" s="70">
        <f t="shared" si="9"/>
        <v>1273.9000000000001</v>
      </c>
      <c r="S75" s="65"/>
      <c r="T75" s="70"/>
      <c r="U75" s="65"/>
      <c r="V75" s="70">
        <f t="shared" si="7"/>
        <v>3821.7</v>
      </c>
      <c r="W75" s="30"/>
      <c r="X75" s="34">
        <f t="shared" si="8"/>
        <v>8917.27</v>
      </c>
    </row>
    <row r="76" spans="1:29" ht="12.9" customHeight="1">
      <c r="A76" s="34"/>
      <c r="B76" s="43" t="s">
        <v>674</v>
      </c>
      <c r="C76" s="34"/>
      <c r="D76" s="66">
        <v>1993</v>
      </c>
      <c r="E76" s="65"/>
      <c r="F76" s="70">
        <v>11863.43</v>
      </c>
      <c r="G76" s="70"/>
      <c r="H76" s="70"/>
      <c r="I76" s="70"/>
      <c r="J76" s="70"/>
      <c r="K76" s="70"/>
      <c r="L76" s="70">
        <f t="shared" si="6"/>
        <v>11863.43</v>
      </c>
      <c r="M76" s="65"/>
      <c r="N76" s="67">
        <v>6.25E-2</v>
      </c>
      <c r="O76" s="65"/>
      <c r="P76" s="70">
        <v>11863.43</v>
      </c>
      <c r="Q76" s="65"/>
      <c r="R76" s="70">
        <f t="shared" si="9"/>
        <v>0</v>
      </c>
      <c r="S76" s="65"/>
      <c r="T76" s="70"/>
      <c r="U76" s="65"/>
      <c r="V76" s="70">
        <f t="shared" si="7"/>
        <v>11863.43</v>
      </c>
      <c r="W76" s="30"/>
      <c r="X76" s="34">
        <f t="shared" si="8"/>
        <v>0</v>
      </c>
    </row>
    <row r="77" spans="1:29" ht="12.9" customHeight="1">
      <c r="A77" s="30"/>
      <c r="B77" s="42" t="s">
        <v>675</v>
      </c>
      <c r="C77" s="30"/>
      <c r="D77" s="66">
        <v>1998</v>
      </c>
      <c r="E77" s="65"/>
      <c r="F77" s="70">
        <v>3530.25</v>
      </c>
      <c r="G77" s="70"/>
      <c r="H77" s="70"/>
      <c r="I77" s="70"/>
      <c r="J77" s="70"/>
      <c r="K77" s="70"/>
      <c r="L77" s="70">
        <f t="shared" si="6"/>
        <v>3530.25</v>
      </c>
      <c r="M77" s="65"/>
      <c r="N77" s="67">
        <v>0.2</v>
      </c>
      <c r="O77" s="65"/>
      <c r="P77" s="70">
        <v>3530.25</v>
      </c>
      <c r="Q77" s="65"/>
      <c r="R77" s="70">
        <f t="shared" si="9"/>
        <v>0</v>
      </c>
      <c r="S77" s="65"/>
      <c r="T77" s="70"/>
      <c r="U77" s="65"/>
      <c r="V77" s="70">
        <f t="shared" si="7"/>
        <v>3530.25</v>
      </c>
      <c r="W77" s="30"/>
      <c r="X77" s="34">
        <f t="shared" si="8"/>
        <v>0</v>
      </c>
    </row>
    <row r="78" spans="1:29" ht="12.9" customHeight="1">
      <c r="A78" s="30"/>
      <c r="B78" s="43" t="s">
        <v>815</v>
      </c>
      <c r="C78" s="34"/>
      <c r="D78" s="66">
        <v>1994</v>
      </c>
      <c r="E78" s="65"/>
      <c r="F78" s="70">
        <v>20341.5</v>
      </c>
      <c r="G78" s="65"/>
      <c r="H78" s="70"/>
      <c r="I78" s="65"/>
      <c r="J78" s="70"/>
      <c r="K78" s="65"/>
      <c r="L78" s="70">
        <f t="shared" si="6"/>
        <v>20341.5</v>
      </c>
      <c r="M78" s="65"/>
      <c r="N78" s="67">
        <v>0.1</v>
      </c>
      <c r="O78" s="65"/>
      <c r="P78" s="70">
        <v>20341.5</v>
      </c>
      <c r="Q78" s="65"/>
      <c r="R78" s="70">
        <f>ROUND(IF(L78-P78=0,0,IF(L78-P78&lt;L78*N78,+L78-P78,L78*N78)),2)</f>
        <v>0</v>
      </c>
      <c r="S78" s="65"/>
      <c r="T78" s="70"/>
      <c r="U78" s="65"/>
      <c r="V78" s="70">
        <f>ROUND(+P78+R78-T78,2)</f>
        <v>20341.5</v>
      </c>
      <c r="W78" s="30"/>
      <c r="X78" s="34">
        <f t="shared" si="8"/>
        <v>0</v>
      </c>
    </row>
    <row r="79" spans="1:29" ht="12.9" customHeight="1">
      <c r="A79" s="34"/>
      <c r="B79" s="43" t="s">
        <v>676</v>
      </c>
      <c r="C79" s="34"/>
      <c r="D79" s="66">
        <v>1994</v>
      </c>
      <c r="E79" s="65"/>
      <c r="F79" s="70">
        <v>3749.87</v>
      </c>
      <c r="G79" s="70"/>
      <c r="H79" s="70"/>
      <c r="I79" s="70"/>
      <c r="J79" s="70"/>
      <c r="K79" s="70"/>
      <c r="L79" s="70">
        <f t="shared" si="6"/>
        <v>3749.87</v>
      </c>
      <c r="M79" s="65"/>
      <c r="N79" s="67">
        <v>0.05</v>
      </c>
      <c r="O79" s="65"/>
      <c r="P79" s="70">
        <v>3749.8</v>
      </c>
      <c r="Q79" s="65"/>
      <c r="R79" s="70">
        <f t="shared" si="9"/>
        <v>7.0000000000000007E-2</v>
      </c>
      <c r="S79" s="65"/>
      <c r="T79" s="70"/>
      <c r="U79" s="65"/>
      <c r="V79" s="70">
        <f t="shared" si="7"/>
        <v>3749.87</v>
      </c>
      <c r="W79" s="30"/>
      <c r="X79" s="34">
        <f t="shared" si="8"/>
        <v>0</v>
      </c>
      <c r="Y79" s="34"/>
    </row>
    <row r="80" spans="1:29" ht="12.9" customHeight="1">
      <c r="A80" s="30"/>
      <c r="B80" s="42" t="s">
        <v>677</v>
      </c>
      <c r="C80" s="30"/>
      <c r="D80" s="66">
        <v>1990</v>
      </c>
      <c r="E80" s="65"/>
      <c r="F80" s="70">
        <v>3128.75</v>
      </c>
      <c r="G80" s="70"/>
      <c r="H80" s="70"/>
      <c r="I80" s="70"/>
      <c r="J80" s="70"/>
      <c r="K80" s="70"/>
      <c r="L80" s="70">
        <f t="shared" si="6"/>
        <v>3128.75</v>
      </c>
      <c r="M80" s="65"/>
      <c r="N80" s="67">
        <v>0.1</v>
      </c>
      <c r="O80" s="65"/>
      <c r="P80" s="70">
        <v>3128.75</v>
      </c>
      <c r="Q80" s="65"/>
      <c r="R80" s="70">
        <f t="shared" si="9"/>
        <v>0</v>
      </c>
      <c r="S80" s="65"/>
      <c r="T80" s="70"/>
      <c r="U80" s="65"/>
      <c r="V80" s="70">
        <f t="shared" si="7"/>
        <v>3128.75</v>
      </c>
      <c r="W80" s="30"/>
      <c r="X80" s="34">
        <f t="shared" si="8"/>
        <v>0</v>
      </c>
    </row>
    <row r="81" spans="1:24" ht="12.9" customHeight="1">
      <c r="A81" s="30"/>
      <c r="B81" s="42" t="s">
        <v>678</v>
      </c>
      <c r="C81" s="30"/>
      <c r="D81" s="66">
        <v>1995</v>
      </c>
      <c r="E81" s="70"/>
      <c r="F81" s="70">
        <v>11551.99</v>
      </c>
      <c r="G81" s="70"/>
      <c r="H81" s="70"/>
      <c r="I81" s="70"/>
      <c r="J81" s="70"/>
      <c r="K81" s="70"/>
      <c r="L81" s="70">
        <f t="shared" si="6"/>
        <v>11551.99</v>
      </c>
      <c r="M81" s="70"/>
      <c r="N81" s="67">
        <v>0.1</v>
      </c>
      <c r="O81" s="70"/>
      <c r="P81" s="70">
        <v>11551.99</v>
      </c>
      <c r="Q81" s="70"/>
      <c r="R81" s="70">
        <f t="shared" si="9"/>
        <v>0</v>
      </c>
      <c r="S81" s="65"/>
      <c r="T81" s="70"/>
      <c r="U81" s="65"/>
      <c r="V81" s="70">
        <f t="shared" si="7"/>
        <v>11551.99</v>
      </c>
      <c r="W81" s="30"/>
      <c r="X81" s="34">
        <f t="shared" si="8"/>
        <v>0</v>
      </c>
    </row>
    <row r="82" spans="1:24" ht="12.9" customHeight="1">
      <c r="A82" s="30"/>
      <c r="B82" s="42" t="s">
        <v>679</v>
      </c>
      <c r="C82" s="30"/>
      <c r="D82" s="66">
        <v>1996</v>
      </c>
      <c r="E82" s="65"/>
      <c r="F82" s="70">
        <v>3215.24</v>
      </c>
      <c r="G82" s="65"/>
      <c r="H82" s="70"/>
      <c r="I82" s="65"/>
      <c r="J82" s="70"/>
      <c r="K82" s="65"/>
      <c r="L82" s="70">
        <f t="shared" si="6"/>
        <v>3215.24</v>
      </c>
      <c r="M82" s="65"/>
      <c r="N82" s="67">
        <v>0.1</v>
      </c>
      <c r="O82" s="65"/>
      <c r="P82" s="70">
        <v>3215.24</v>
      </c>
      <c r="Q82" s="65"/>
      <c r="R82" s="70">
        <f t="shared" si="9"/>
        <v>0</v>
      </c>
      <c r="S82" s="65"/>
      <c r="T82" s="70"/>
      <c r="U82" s="65"/>
      <c r="V82" s="70">
        <f t="shared" si="7"/>
        <v>3215.24</v>
      </c>
      <c r="W82" s="30"/>
      <c r="X82" s="34">
        <f t="shared" si="8"/>
        <v>0</v>
      </c>
    </row>
    <row r="83" spans="1:24" ht="12.9" customHeight="1">
      <c r="A83" s="30"/>
      <c r="B83" s="42" t="s">
        <v>680</v>
      </c>
      <c r="C83" s="30"/>
      <c r="D83" s="66">
        <v>1996</v>
      </c>
      <c r="E83" s="70"/>
      <c r="F83" s="70">
        <v>3647.63</v>
      </c>
      <c r="G83" s="70"/>
      <c r="H83" s="70"/>
      <c r="I83" s="70"/>
      <c r="J83" s="70"/>
      <c r="K83" s="70"/>
      <c r="L83" s="70">
        <f t="shared" si="6"/>
        <v>3647.63</v>
      </c>
      <c r="M83" s="70"/>
      <c r="N83" s="67">
        <v>0.1</v>
      </c>
      <c r="O83" s="70"/>
      <c r="P83" s="70">
        <v>3647.63</v>
      </c>
      <c r="Q83" s="70"/>
      <c r="R83" s="70">
        <f t="shared" si="9"/>
        <v>0</v>
      </c>
      <c r="S83" s="65"/>
      <c r="T83" s="70"/>
      <c r="U83" s="65"/>
      <c r="V83" s="70">
        <f t="shared" si="7"/>
        <v>3647.63</v>
      </c>
      <c r="W83" s="30"/>
      <c r="X83" s="34">
        <f t="shared" si="8"/>
        <v>0</v>
      </c>
    </row>
    <row r="84" spans="1:24" ht="12.9" customHeight="1">
      <c r="A84" s="30"/>
      <c r="B84" s="42" t="s">
        <v>821</v>
      </c>
      <c r="C84" s="30"/>
      <c r="D84" s="66">
        <v>1998</v>
      </c>
      <c r="E84" s="65"/>
      <c r="F84" s="70">
        <v>21503.1</v>
      </c>
      <c r="G84" s="70"/>
      <c r="H84" s="70"/>
      <c r="I84" s="70"/>
      <c r="J84" s="70"/>
      <c r="K84" s="70"/>
      <c r="L84" s="70">
        <f t="shared" si="6"/>
        <v>21503.1</v>
      </c>
      <c r="M84" s="65"/>
      <c r="N84" s="67">
        <v>0.1</v>
      </c>
      <c r="O84" s="65"/>
      <c r="P84" s="70">
        <v>21503.1</v>
      </c>
      <c r="Q84" s="65"/>
      <c r="R84" s="70">
        <f t="shared" si="9"/>
        <v>0</v>
      </c>
      <c r="S84" s="65"/>
      <c r="T84" s="70"/>
      <c r="U84" s="65"/>
      <c r="V84" s="70">
        <f t="shared" si="7"/>
        <v>21503.1</v>
      </c>
      <c r="W84" s="30"/>
      <c r="X84" s="34">
        <f t="shared" si="8"/>
        <v>0</v>
      </c>
    </row>
    <row r="85" spans="1:24" ht="12.9" customHeight="1">
      <c r="A85" s="30"/>
      <c r="B85" s="42" t="s">
        <v>687</v>
      </c>
      <c r="C85" s="30"/>
      <c r="D85" s="66">
        <v>1998</v>
      </c>
      <c r="E85" s="65"/>
      <c r="F85" s="70">
        <v>3018.21</v>
      </c>
      <c r="G85" s="70"/>
      <c r="H85" s="70"/>
      <c r="I85" s="70"/>
      <c r="J85" s="70"/>
      <c r="K85" s="70"/>
      <c r="L85" s="70">
        <f t="shared" si="6"/>
        <v>3018.21</v>
      </c>
      <c r="M85" s="65"/>
      <c r="N85" s="67">
        <v>0.1</v>
      </c>
      <c r="O85" s="65"/>
      <c r="P85" s="70">
        <v>3018.21</v>
      </c>
      <c r="Q85" s="65"/>
      <c r="R85" s="70">
        <f t="shared" si="9"/>
        <v>0</v>
      </c>
      <c r="S85" s="65"/>
      <c r="T85" s="70"/>
      <c r="U85" s="65"/>
      <c r="V85" s="70">
        <f t="shared" si="7"/>
        <v>3018.21</v>
      </c>
      <c r="W85" s="30"/>
      <c r="X85" s="34">
        <f t="shared" si="8"/>
        <v>0</v>
      </c>
    </row>
    <row r="86" spans="1:24" ht="12.9" customHeight="1">
      <c r="A86" s="30"/>
      <c r="B86" s="42" t="s">
        <v>822</v>
      </c>
      <c r="C86" s="30"/>
      <c r="D86" s="66">
        <v>1998</v>
      </c>
      <c r="E86" s="65"/>
      <c r="F86" s="70">
        <v>2563.39</v>
      </c>
      <c r="G86" s="70"/>
      <c r="H86" s="70"/>
      <c r="I86" s="70"/>
      <c r="J86" s="70"/>
      <c r="K86" s="70"/>
      <c r="L86" s="70">
        <f t="shared" si="6"/>
        <v>2563.39</v>
      </c>
      <c r="M86" s="65"/>
      <c r="N86" s="67">
        <v>0.1</v>
      </c>
      <c r="O86" s="65"/>
      <c r="P86" s="70">
        <v>2563.39</v>
      </c>
      <c r="Q86" s="65"/>
      <c r="R86" s="70">
        <f t="shared" si="9"/>
        <v>0</v>
      </c>
      <c r="S86" s="65"/>
      <c r="T86" s="70"/>
      <c r="U86" s="65"/>
      <c r="V86" s="70">
        <f t="shared" si="7"/>
        <v>2563.39</v>
      </c>
      <c r="W86" s="30"/>
      <c r="X86" s="34">
        <f t="shared" si="8"/>
        <v>0</v>
      </c>
    </row>
    <row r="87" spans="1:24" ht="12.9" customHeight="1">
      <c r="A87" s="30"/>
      <c r="B87" s="42" t="s">
        <v>823</v>
      </c>
      <c r="C87" s="30"/>
      <c r="D87" s="66">
        <v>1999</v>
      </c>
      <c r="E87" s="65"/>
      <c r="F87" s="70">
        <v>23342.3</v>
      </c>
      <c r="G87" s="70"/>
      <c r="H87" s="70"/>
      <c r="I87" s="70"/>
      <c r="J87" s="70"/>
      <c r="K87" s="70"/>
      <c r="L87" s="70">
        <f t="shared" si="6"/>
        <v>23342.3</v>
      </c>
      <c r="M87" s="65"/>
      <c r="N87" s="67">
        <v>8.3299999999999999E-2</v>
      </c>
      <c r="O87" s="65"/>
      <c r="P87" s="70">
        <v>23342.3</v>
      </c>
      <c r="Q87" s="65"/>
      <c r="R87" s="70">
        <f t="shared" si="9"/>
        <v>0</v>
      </c>
      <c r="S87" s="65"/>
      <c r="T87" s="70"/>
      <c r="U87" s="65"/>
      <c r="V87" s="70">
        <f t="shared" si="7"/>
        <v>23342.3</v>
      </c>
      <c r="W87" s="30"/>
      <c r="X87" s="34">
        <f t="shared" si="8"/>
        <v>0</v>
      </c>
    </row>
    <row r="88" spans="1:24" ht="12.9" customHeight="1">
      <c r="A88" s="30"/>
      <c r="B88" s="42" t="s">
        <v>824</v>
      </c>
      <c r="C88" s="30"/>
      <c r="D88" s="66">
        <v>1999</v>
      </c>
      <c r="E88" s="65"/>
      <c r="F88" s="70">
        <v>22715.01</v>
      </c>
      <c r="G88" s="70"/>
      <c r="H88" s="70"/>
      <c r="I88" s="70"/>
      <c r="J88" s="70"/>
      <c r="K88" s="70"/>
      <c r="L88" s="70">
        <f t="shared" si="6"/>
        <v>22715.01</v>
      </c>
      <c r="M88" s="65"/>
      <c r="N88" s="67">
        <v>8.3299999999999999E-2</v>
      </c>
      <c r="O88" s="65"/>
      <c r="P88" s="70">
        <v>22715.01</v>
      </c>
      <c r="Q88" s="65"/>
      <c r="R88" s="70">
        <f t="shared" si="9"/>
        <v>0</v>
      </c>
      <c r="S88" s="65"/>
      <c r="T88" s="70"/>
      <c r="U88" s="65"/>
      <c r="V88" s="70">
        <f t="shared" si="7"/>
        <v>22715.01</v>
      </c>
      <c r="W88" s="30"/>
      <c r="X88" s="34">
        <f t="shared" si="8"/>
        <v>0</v>
      </c>
    </row>
    <row r="89" spans="1:24" ht="12.9" customHeight="1">
      <c r="A89" s="30"/>
      <c r="B89" s="42" t="s">
        <v>825</v>
      </c>
      <c r="C89" s="30"/>
      <c r="D89" s="66">
        <v>2000</v>
      </c>
      <c r="E89" s="65"/>
      <c r="F89" s="70">
        <v>6361.25</v>
      </c>
      <c r="G89" s="70"/>
      <c r="H89" s="70"/>
      <c r="I89" s="70"/>
      <c r="J89" s="70"/>
      <c r="K89" s="70"/>
      <c r="L89" s="70">
        <f t="shared" si="6"/>
        <v>6361.25</v>
      </c>
      <c r="M89" s="65"/>
      <c r="N89" s="67">
        <v>8.3299999999999999E-2</v>
      </c>
      <c r="O89" s="65"/>
      <c r="P89" s="70">
        <v>6361.25</v>
      </c>
      <c r="Q89" s="65"/>
      <c r="R89" s="70">
        <f t="shared" si="9"/>
        <v>0</v>
      </c>
      <c r="S89" s="65"/>
      <c r="T89" s="70"/>
      <c r="U89" s="65"/>
      <c r="V89" s="70">
        <f t="shared" si="7"/>
        <v>6361.25</v>
      </c>
      <c r="W89" s="30"/>
      <c r="X89" s="34">
        <f t="shared" si="8"/>
        <v>0</v>
      </c>
    </row>
    <row r="90" spans="1:24" ht="12.9" customHeight="1">
      <c r="A90" s="30"/>
      <c r="B90" s="42" t="s">
        <v>688</v>
      </c>
      <c r="C90" s="30"/>
      <c r="D90" s="66">
        <v>1999</v>
      </c>
      <c r="E90" s="65"/>
      <c r="F90" s="70">
        <v>3594.38</v>
      </c>
      <c r="G90" s="70"/>
      <c r="H90" s="70"/>
      <c r="I90" s="70"/>
      <c r="J90" s="70"/>
      <c r="K90" s="70"/>
      <c r="L90" s="70">
        <f t="shared" si="6"/>
        <v>3594.38</v>
      </c>
      <c r="M90" s="65"/>
      <c r="N90" s="67">
        <v>0.1</v>
      </c>
      <c r="O90" s="65"/>
      <c r="P90" s="70">
        <v>3594.38</v>
      </c>
      <c r="Q90" s="65"/>
      <c r="R90" s="70">
        <f t="shared" si="9"/>
        <v>0</v>
      </c>
      <c r="S90" s="65"/>
      <c r="T90" s="70"/>
      <c r="U90" s="65"/>
      <c r="V90" s="70">
        <f t="shared" si="7"/>
        <v>3594.38</v>
      </c>
      <c r="W90" s="30"/>
      <c r="X90" s="34">
        <f t="shared" si="8"/>
        <v>0</v>
      </c>
    </row>
    <row r="91" spans="1:24" ht="12.9" customHeight="1">
      <c r="A91" s="30"/>
      <c r="B91" s="42" t="s">
        <v>689</v>
      </c>
      <c r="C91" s="30"/>
      <c r="D91" s="66">
        <v>2000</v>
      </c>
      <c r="E91" s="65"/>
      <c r="F91" s="70">
        <v>9345.3799999999992</v>
      </c>
      <c r="G91" s="70"/>
      <c r="H91" s="70"/>
      <c r="I91" s="70"/>
      <c r="J91" s="70"/>
      <c r="K91" s="70"/>
      <c r="L91" s="70">
        <f t="shared" si="6"/>
        <v>9345.3799999999992</v>
      </c>
      <c r="M91" s="65"/>
      <c r="N91" s="67">
        <v>8.3299999999999999E-2</v>
      </c>
      <c r="O91" s="65"/>
      <c r="P91" s="70">
        <v>9345.3799999999992</v>
      </c>
      <c r="Q91" s="65"/>
      <c r="R91" s="70">
        <f t="shared" si="9"/>
        <v>0</v>
      </c>
      <c r="S91" s="65"/>
      <c r="T91" s="70"/>
      <c r="U91" s="65"/>
      <c r="V91" s="70">
        <f t="shared" si="7"/>
        <v>9345.3799999999992</v>
      </c>
      <c r="W91" s="30"/>
      <c r="X91" s="34">
        <f t="shared" si="8"/>
        <v>0</v>
      </c>
    </row>
    <row r="92" spans="1:24" ht="12.9" customHeight="1">
      <c r="A92" s="30"/>
      <c r="B92" s="42" t="s">
        <v>690</v>
      </c>
      <c r="C92" s="30"/>
      <c r="D92" s="66">
        <v>2000</v>
      </c>
      <c r="E92" s="65"/>
      <c r="F92" s="70">
        <v>3993.75</v>
      </c>
      <c r="G92" s="70"/>
      <c r="H92" s="70"/>
      <c r="I92" s="70"/>
      <c r="J92" s="70"/>
      <c r="K92" s="70"/>
      <c r="L92" s="70">
        <f t="shared" si="6"/>
        <v>3993.75</v>
      </c>
      <c r="M92" s="65"/>
      <c r="N92" s="67">
        <v>8.3299999999999999E-2</v>
      </c>
      <c r="O92" s="65"/>
      <c r="P92" s="70">
        <v>3993.75</v>
      </c>
      <c r="Q92" s="65"/>
      <c r="R92" s="70">
        <f t="shared" si="9"/>
        <v>0</v>
      </c>
      <c r="S92" s="65"/>
      <c r="T92" s="70"/>
      <c r="U92" s="65"/>
      <c r="V92" s="70">
        <f t="shared" si="7"/>
        <v>3993.75</v>
      </c>
      <c r="W92" s="30"/>
      <c r="X92" s="34">
        <f t="shared" si="8"/>
        <v>0</v>
      </c>
    </row>
    <row r="93" spans="1:24" ht="12.9" customHeight="1">
      <c r="A93" s="30"/>
      <c r="B93" s="42" t="s">
        <v>691</v>
      </c>
      <c r="C93" s="30"/>
      <c r="D93" s="66">
        <v>2001</v>
      </c>
      <c r="E93" s="65"/>
      <c r="F93" s="70">
        <v>5100</v>
      </c>
      <c r="G93" s="70"/>
      <c r="H93" s="70"/>
      <c r="I93" s="70"/>
      <c r="J93" s="70"/>
      <c r="K93" s="70"/>
      <c r="L93" s="70">
        <f t="shared" si="6"/>
        <v>5100</v>
      </c>
      <c r="M93" s="65"/>
      <c r="N93" s="67">
        <v>0.1</v>
      </c>
      <c r="O93" s="65"/>
      <c r="P93" s="70">
        <v>5100</v>
      </c>
      <c r="Q93" s="65"/>
      <c r="R93" s="70">
        <f t="shared" si="9"/>
        <v>0</v>
      </c>
      <c r="S93" s="65"/>
      <c r="T93" s="70"/>
      <c r="U93" s="65"/>
      <c r="V93" s="70">
        <f t="shared" si="7"/>
        <v>5100</v>
      </c>
      <c r="W93" s="30"/>
      <c r="X93" s="34">
        <f t="shared" si="8"/>
        <v>0</v>
      </c>
    </row>
    <row r="94" spans="1:24" ht="12.9" customHeight="1">
      <c r="A94" s="30"/>
      <c r="B94" s="42" t="s">
        <v>827</v>
      </c>
      <c r="C94" s="30"/>
      <c r="D94" s="66">
        <v>2001</v>
      </c>
      <c r="E94" s="65"/>
      <c r="F94" s="70">
        <v>17840.59</v>
      </c>
      <c r="G94" s="70"/>
      <c r="H94" s="70"/>
      <c r="I94" s="70"/>
      <c r="J94" s="70"/>
      <c r="K94" s="70"/>
      <c r="L94" s="70">
        <f t="shared" si="6"/>
        <v>17840.59</v>
      </c>
      <c r="M94" s="65"/>
      <c r="N94" s="67">
        <v>8.3299999999999999E-2</v>
      </c>
      <c r="O94" s="65"/>
      <c r="P94" s="70">
        <v>17840.59</v>
      </c>
      <c r="Q94" s="65"/>
      <c r="R94" s="70">
        <f t="shared" si="9"/>
        <v>0</v>
      </c>
      <c r="S94" s="65"/>
      <c r="T94" s="70"/>
      <c r="U94" s="65"/>
      <c r="V94" s="70">
        <f t="shared" si="7"/>
        <v>17840.59</v>
      </c>
      <c r="W94" s="30"/>
      <c r="X94" s="34">
        <f t="shared" si="8"/>
        <v>0</v>
      </c>
    </row>
    <row r="95" spans="1:24" ht="12.9" customHeight="1">
      <c r="A95" s="30"/>
      <c r="B95" s="42" t="s">
        <v>828</v>
      </c>
      <c r="C95" s="30"/>
      <c r="D95" s="66">
        <v>2001</v>
      </c>
      <c r="E95" s="65"/>
      <c r="F95" s="70">
        <v>3386.7</v>
      </c>
      <c r="G95" s="70"/>
      <c r="H95" s="70"/>
      <c r="I95" s="70"/>
      <c r="J95" s="70"/>
      <c r="K95" s="70"/>
      <c r="L95" s="70">
        <f t="shared" si="6"/>
        <v>3386.7</v>
      </c>
      <c r="M95" s="65"/>
      <c r="N95" s="67">
        <v>8.3299999999999999E-2</v>
      </c>
      <c r="O95" s="65"/>
      <c r="P95" s="70">
        <v>3386.7</v>
      </c>
      <c r="Q95" s="65"/>
      <c r="R95" s="70">
        <f t="shared" si="9"/>
        <v>0</v>
      </c>
      <c r="S95" s="65"/>
      <c r="T95" s="70"/>
      <c r="U95" s="65"/>
      <c r="V95" s="70">
        <f t="shared" si="7"/>
        <v>3386.7</v>
      </c>
      <c r="W95" s="30"/>
      <c r="X95" s="34">
        <f t="shared" si="8"/>
        <v>0</v>
      </c>
    </row>
    <row r="96" spans="1:24" ht="12.9" customHeight="1">
      <c r="A96" s="30"/>
      <c r="B96" s="42" t="s">
        <v>829</v>
      </c>
      <c r="C96" s="30"/>
      <c r="D96" s="66">
        <v>2002</v>
      </c>
      <c r="E96" s="65"/>
      <c r="F96" s="70">
        <v>70324.5</v>
      </c>
      <c r="G96" s="70"/>
      <c r="H96" s="70"/>
      <c r="I96" s="70"/>
      <c r="J96" s="70">
        <v>70324.5</v>
      </c>
      <c r="K96" s="70"/>
      <c r="L96" s="70">
        <f t="shared" si="6"/>
        <v>0</v>
      </c>
      <c r="M96" s="65"/>
      <c r="N96" s="67">
        <v>0.05</v>
      </c>
      <c r="O96" s="65"/>
      <c r="P96" s="70">
        <v>42194.76</v>
      </c>
      <c r="Q96" s="65"/>
      <c r="R96" s="70">
        <v>0</v>
      </c>
      <c r="S96" s="65"/>
      <c r="T96" s="70">
        <f>(-70324.5+42194.76)+70324.5</f>
        <v>42194.76</v>
      </c>
      <c r="U96" s="65"/>
      <c r="V96" s="70">
        <v>0</v>
      </c>
      <c r="W96" s="30"/>
      <c r="X96" s="34">
        <f t="shared" si="8"/>
        <v>0</v>
      </c>
    </row>
    <row r="97" spans="1:24" ht="12.9" customHeight="1">
      <c r="A97" s="30"/>
      <c r="B97" s="42" t="s">
        <v>830</v>
      </c>
      <c r="C97" s="30"/>
      <c r="D97" s="66">
        <v>2002</v>
      </c>
      <c r="E97" s="65"/>
      <c r="F97" s="70">
        <v>19953.98</v>
      </c>
      <c r="G97" s="70"/>
      <c r="H97" s="70"/>
      <c r="I97" s="70"/>
      <c r="J97" s="70"/>
      <c r="K97" s="70"/>
      <c r="L97" s="70">
        <f t="shared" si="6"/>
        <v>19953.98</v>
      </c>
      <c r="M97" s="65"/>
      <c r="N97" s="67">
        <v>8.3299999999999999E-2</v>
      </c>
      <c r="O97" s="65"/>
      <c r="P97" s="70">
        <v>18283.87</v>
      </c>
      <c r="Q97" s="65"/>
      <c r="R97" s="70">
        <f t="shared" si="9"/>
        <v>1662.17</v>
      </c>
      <c r="S97" s="65"/>
      <c r="T97" s="70"/>
      <c r="U97" s="65"/>
      <c r="V97" s="70">
        <f t="shared" si="7"/>
        <v>19946.04</v>
      </c>
      <c r="W97" s="30"/>
      <c r="X97" s="34">
        <f t="shared" si="8"/>
        <v>7.94</v>
      </c>
    </row>
    <row r="98" spans="1:24" ht="12.9" customHeight="1">
      <c r="A98" s="30"/>
      <c r="B98" s="42" t="s">
        <v>831</v>
      </c>
      <c r="C98" s="30"/>
      <c r="D98" s="66">
        <v>2002</v>
      </c>
      <c r="E98" s="65"/>
      <c r="F98" s="70">
        <v>22854.17</v>
      </c>
      <c r="G98" s="70"/>
      <c r="H98" s="70"/>
      <c r="I98" s="70"/>
      <c r="J98" s="70"/>
      <c r="K98" s="70"/>
      <c r="L98" s="70">
        <f t="shared" si="6"/>
        <v>22854.17</v>
      </c>
      <c r="M98" s="65"/>
      <c r="N98" s="67">
        <v>8.3299999999999999E-2</v>
      </c>
      <c r="O98" s="65"/>
      <c r="P98" s="70">
        <v>22845</v>
      </c>
      <c r="Q98" s="65"/>
      <c r="R98" s="70">
        <f t="shared" si="9"/>
        <v>9.17</v>
      </c>
      <c r="S98" s="65"/>
      <c r="T98" s="70"/>
      <c r="U98" s="65"/>
      <c r="V98" s="70">
        <f t="shared" si="7"/>
        <v>22854.17</v>
      </c>
      <c r="W98" s="30"/>
      <c r="X98" s="34">
        <f t="shared" si="8"/>
        <v>0</v>
      </c>
    </row>
    <row r="99" spans="1:24" ht="12.9" customHeight="1">
      <c r="A99" s="30"/>
      <c r="B99" s="42" t="s">
        <v>832</v>
      </c>
      <c r="C99" s="30"/>
      <c r="D99" s="66">
        <v>2003</v>
      </c>
      <c r="E99" s="65"/>
      <c r="F99" s="70">
        <v>17583.009999999998</v>
      </c>
      <c r="G99" s="70"/>
      <c r="H99" s="70"/>
      <c r="I99" s="70"/>
      <c r="J99" s="70"/>
      <c r="K99" s="70"/>
      <c r="L99" s="70">
        <f t="shared" si="6"/>
        <v>17583.009999999998</v>
      </c>
      <c r="M99" s="65"/>
      <c r="N99" s="67">
        <v>8.3299999999999999E-2</v>
      </c>
      <c r="O99" s="65"/>
      <c r="P99" s="70">
        <v>16111.26</v>
      </c>
      <c r="Q99" s="65"/>
      <c r="R99" s="70">
        <f t="shared" si="9"/>
        <v>1464.66</v>
      </c>
      <c r="S99" s="65"/>
      <c r="T99" s="70"/>
      <c r="U99" s="65"/>
      <c r="V99" s="70">
        <f t="shared" si="7"/>
        <v>17575.919999999998</v>
      </c>
      <c r="W99" s="30"/>
      <c r="X99" s="34">
        <f t="shared" si="8"/>
        <v>7.09</v>
      </c>
    </row>
    <row r="100" spans="1:24" ht="12.9" customHeight="1">
      <c r="A100" s="30"/>
      <c r="B100" s="42" t="s">
        <v>816</v>
      </c>
      <c r="C100" s="30"/>
      <c r="D100" s="66">
        <v>1990</v>
      </c>
      <c r="E100" s="65"/>
      <c r="F100" s="70">
        <v>4240</v>
      </c>
      <c r="G100" s="65"/>
      <c r="H100" s="278"/>
      <c r="I100" s="65"/>
      <c r="J100" s="70"/>
      <c r="K100" s="65"/>
      <c r="L100" s="70">
        <f t="shared" si="6"/>
        <v>4240</v>
      </c>
      <c r="M100" s="65"/>
      <c r="N100" s="67">
        <v>0.1</v>
      </c>
      <c r="O100" s="65"/>
      <c r="P100" s="70">
        <v>4240</v>
      </c>
      <c r="Q100" s="65"/>
      <c r="R100" s="70">
        <f t="shared" si="9"/>
        <v>0</v>
      </c>
      <c r="S100" s="65"/>
      <c r="T100" s="65"/>
      <c r="U100" s="65"/>
      <c r="V100" s="70">
        <f t="shared" si="7"/>
        <v>4240</v>
      </c>
      <c r="W100" s="30"/>
      <c r="X100" s="34">
        <f t="shared" si="8"/>
        <v>0</v>
      </c>
    </row>
    <row r="101" spans="1:24" ht="12.9" customHeight="1">
      <c r="A101" s="30"/>
      <c r="B101" s="42" t="s">
        <v>817</v>
      </c>
      <c r="C101" s="30"/>
      <c r="D101" s="66">
        <v>1996</v>
      </c>
      <c r="E101" s="65"/>
      <c r="F101" s="70">
        <v>4279</v>
      </c>
      <c r="G101" s="70"/>
      <c r="H101" s="70"/>
      <c r="I101" s="70"/>
      <c r="J101" s="70"/>
      <c r="K101" s="70"/>
      <c r="L101" s="70">
        <f t="shared" si="6"/>
        <v>4279</v>
      </c>
      <c r="M101" s="70"/>
      <c r="N101" s="67">
        <v>0.05</v>
      </c>
      <c r="O101" s="70"/>
      <c r="P101" s="70">
        <v>3851.1</v>
      </c>
      <c r="Q101" s="70"/>
      <c r="R101" s="70">
        <f t="shared" si="9"/>
        <v>213.95</v>
      </c>
      <c r="S101" s="70"/>
      <c r="T101" s="70"/>
      <c r="U101" s="70"/>
      <c r="V101" s="70">
        <f t="shared" si="7"/>
        <v>4065.05</v>
      </c>
      <c r="W101" s="30"/>
      <c r="X101" s="34">
        <f t="shared" si="8"/>
        <v>213.95</v>
      </c>
    </row>
    <row r="102" spans="1:24" ht="12.9" customHeight="1">
      <c r="A102" s="30"/>
      <c r="B102" s="42"/>
      <c r="C102" s="30"/>
      <c r="D102" s="66"/>
      <c r="E102" s="65"/>
      <c r="F102" s="70"/>
      <c r="G102" s="70"/>
      <c r="H102" s="70"/>
      <c r="I102" s="70"/>
      <c r="J102" s="70"/>
      <c r="K102" s="70"/>
      <c r="L102" s="70"/>
      <c r="M102" s="65"/>
      <c r="N102" s="67"/>
      <c r="O102" s="65"/>
      <c r="P102" s="70"/>
      <c r="Q102" s="65"/>
      <c r="R102" s="70"/>
      <c r="S102" s="65"/>
      <c r="T102" s="70"/>
      <c r="U102" s="65"/>
      <c r="V102" s="70"/>
      <c r="W102" s="30"/>
      <c r="X102" s="34"/>
    </row>
    <row r="103" spans="1:24" ht="12.9" customHeight="1">
      <c r="A103" s="30"/>
      <c r="B103" s="30"/>
      <c r="C103" s="30"/>
      <c r="D103" s="66"/>
      <c r="E103" s="70"/>
      <c r="F103" s="70"/>
      <c r="G103" s="70"/>
      <c r="H103" s="70"/>
      <c r="I103" s="70"/>
      <c r="J103" s="70"/>
      <c r="K103" s="70"/>
      <c r="L103" s="70"/>
      <c r="M103" s="70"/>
      <c r="N103" s="67"/>
      <c r="O103" s="70"/>
      <c r="P103" s="70"/>
      <c r="Q103" s="70"/>
      <c r="R103" s="70"/>
      <c r="S103" s="65"/>
      <c r="T103" s="70"/>
      <c r="U103" s="65"/>
      <c r="V103" s="70"/>
      <c r="W103" s="30"/>
      <c r="X103" s="34"/>
    </row>
    <row r="104" spans="1:24" ht="12.9" customHeight="1">
      <c r="A104" s="27" t="s">
        <v>598</v>
      </c>
      <c r="B104" s="27"/>
      <c r="C104" s="27"/>
      <c r="D104" s="279"/>
      <c r="E104" s="279"/>
      <c r="F104" s="279"/>
      <c r="G104" s="279"/>
      <c r="H104" s="279"/>
      <c r="I104" s="279"/>
      <c r="J104" s="279"/>
      <c r="K104" s="279"/>
      <c r="L104" s="279"/>
      <c r="M104" s="279"/>
      <c r="N104" s="279"/>
      <c r="O104" s="279"/>
      <c r="P104" s="279"/>
      <c r="Q104" s="279"/>
      <c r="R104" s="279"/>
      <c r="S104" s="279"/>
      <c r="T104" s="279"/>
      <c r="U104" s="279"/>
      <c r="V104" s="279"/>
      <c r="W104" s="27"/>
      <c r="X104" s="27"/>
    </row>
    <row r="105" spans="1:24" ht="12.9" customHeight="1">
      <c r="A105" s="27" t="s">
        <v>599</v>
      </c>
      <c r="B105" s="27"/>
      <c r="C105" s="27"/>
      <c r="D105" s="279"/>
      <c r="E105" s="279"/>
      <c r="F105" s="279"/>
      <c r="G105" s="279"/>
      <c r="H105" s="279"/>
      <c r="I105" s="279"/>
      <c r="J105" s="279"/>
      <c r="K105" s="279"/>
      <c r="L105" s="279"/>
      <c r="M105" s="279"/>
      <c r="N105" s="279"/>
      <c r="O105" s="279"/>
      <c r="P105" s="279"/>
      <c r="Q105" s="279"/>
      <c r="R105" s="279"/>
      <c r="S105" s="279"/>
      <c r="T105" s="279"/>
      <c r="U105" s="279"/>
      <c r="V105" s="279"/>
      <c r="W105" s="27"/>
      <c r="X105" s="27" t="s">
        <v>685</v>
      </c>
    </row>
    <row r="106" spans="1:24" ht="12.9" customHeight="1">
      <c r="A106" s="29">
        <f>+A9</f>
        <v>42004</v>
      </c>
      <c r="B106" s="27"/>
      <c r="C106" s="27"/>
      <c r="D106" s="279"/>
      <c r="E106" s="279"/>
      <c r="F106" s="279"/>
      <c r="G106" s="279"/>
      <c r="H106" s="279"/>
      <c r="I106" s="279"/>
      <c r="J106" s="279"/>
      <c r="K106" s="279"/>
      <c r="L106" s="279"/>
      <c r="M106" s="279"/>
      <c r="N106" s="279"/>
      <c r="O106" s="279"/>
      <c r="P106" s="279"/>
      <c r="Q106" s="279"/>
      <c r="R106" s="279"/>
      <c r="S106" s="279"/>
      <c r="T106" s="279"/>
      <c r="U106" s="279"/>
      <c r="V106" s="279"/>
      <c r="W106" s="27"/>
      <c r="X106" s="27"/>
    </row>
    <row r="107" spans="1:24" ht="12.9" customHeight="1">
      <c r="A107" s="30"/>
      <c r="B107" s="30"/>
      <c r="C107" s="30"/>
      <c r="D107" s="65"/>
      <c r="E107" s="65"/>
      <c r="F107" s="70"/>
      <c r="G107" s="65"/>
      <c r="H107" s="70"/>
      <c r="I107" s="65"/>
      <c r="J107" s="70"/>
      <c r="K107" s="65"/>
      <c r="L107" s="65"/>
      <c r="M107" s="65"/>
      <c r="N107" s="280"/>
      <c r="O107" s="65"/>
      <c r="P107" s="70"/>
      <c r="Q107" s="65"/>
      <c r="R107" s="70"/>
      <c r="S107" s="65"/>
      <c r="T107" s="70"/>
      <c r="U107" s="65"/>
      <c r="V107" s="70"/>
      <c r="W107" s="30"/>
      <c r="X107" s="34"/>
    </row>
    <row r="108" spans="1:24" ht="12.9" customHeight="1">
      <c r="A108" s="30"/>
      <c r="B108" s="30"/>
      <c r="C108" s="30"/>
      <c r="D108" s="66" t="s">
        <v>602</v>
      </c>
      <c r="E108" s="65"/>
      <c r="F108" s="281"/>
      <c r="G108" s="281"/>
      <c r="H108" s="281"/>
      <c r="I108" s="281"/>
      <c r="J108" s="281"/>
      <c r="K108" s="281"/>
      <c r="L108" s="281"/>
      <c r="M108" s="65"/>
      <c r="N108" s="281" t="s">
        <v>603</v>
      </c>
      <c r="O108" s="281"/>
      <c r="P108" s="281"/>
      <c r="Q108" s="281"/>
      <c r="R108" s="281"/>
      <c r="S108" s="281"/>
      <c r="T108" s="281"/>
      <c r="U108" s="281"/>
      <c r="V108" s="281"/>
      <c r="X108" s="93" t="s">
        <v>604</v>
      </c>
    </row>
    <row r="109" spans="1:24" ht="12.9" customHeight="1">
      <c r="A109" s="30"/>
      <c r="B109" s="30"/>
      <c r="C109" s="30"/>
      <c r="D109" s="282" t="s">
        <v>453</v>
      </c>
      <c r="E109" s="65"/>
      <c r="F109" s="282" t="s">
        <v>400</v>
      </c>
      <c r="G109" s="65"/>
      <c r="H109" s="282" t="s">
        <v>401</v>
      </c>
      <c r="I109" s="65"/>
      <c r="J109" s="282" t="s">
        <v>605</v>
      </c>
      <c r="K109" s="65"/>
      <c r="L109" s="282" t="s">
        <v>400</v>
      </c>
      <c r="M109" s="65"/>
      <c r="N109" s="282" t="s">
        <v>606</v>
      </c>
      <c r="O109" s="65"/>
      <c r="P109" s="282" t="s">
        <v>400</v>
      </c>
      <c r="Q109" s="65"/>
      <c r="R109" s="282" t="s">
        <v>401</v>
      </c>
      <c r="S109" s="65"/>
      <c r="T109" s="282" t="s">
        <v>605</v>
      </c>
      <c r="U109" s="65"/>
      <c r="V109" s="282" t="s">
        <v>400</v>
      </c>
      <c r="W109" s="30"/>
      <c r="X109" s="33" t="str">
        <f>+X12</f>
        <v xml:space="preserve"> 12/31/14</v>
      </c>
    </row>
    <row r="110" spans="1:24" ht="12.9" customHeight="1">
      <c r="A110" s="30" t="s">
        <v>686</v>
      </c>
      <c r="B110" s="30"/>
      <c r="C110" s="30"/>
      <c r="D110" s="65"/>
      <c r="E110" s="65"/>
      <c r="F110" s="70"/>
      <c r="G110" s="70"/>
      <c r="H110" s="70"/>
      <c r="I110" s="70"/>
      <c r="J110" s="70"/>
      <c r="K110" s="70"/>
      <c r="L110" s="70"/>
      <c r="M110" s="65"/>
      <c r="N110" s="67"/>
      <c r="O110" s="65"/>
      <c r="P110" s="70"/>
      <c r="Q110" s="65"/>
      <c r="R110" s="70"/>
      <c r="S110" s="65"/>
      <c r="T110" s="65"/>
      <c r="U110" s="65"/>
      <c r="V110" s="70"/>
      <c r="W110" s="30"/>
      <c r="X110" s="34"/>
    </row>
    <row r="111" spans="1:24" ht="12.9" customHeight="1">
      <c r="A111" s="30"/>
      <c r="B111" s="42" t="s">
        <v>833</v>
      </c>
      <c r="C111" s="30"/>
      <c r="D111" s="66">
        <v>2004</v>
      </c>
      <c r="E111" s="65"/>
      <c r="F111" s="70">
        <v>9224.93</v>
      </c>
      <c r="G111" s="70"/>
      <c r="H111" s="70"/>
      <c r="I111" s="70"/>
      <c r="J111" s="70"/>
      <c r="K111" s="70"/>
      <c r="L111" s="70">
        <f t="shared" ref="L111:L145" si="10">F111+H111-J111</f>
        <v>9224.93</v>
      </c>
      <c r="M111" s="65"/>
      <c r="N111" s="67">
        <v>8.3299999999999999E-2</v>
      </c>
      <c r="O111" s="65"/>
      <c r="P111" s="70">
        <v>7684.4</v>
      </c>
      <c r="Q111" s="65"/>
      <c r="R111" s="70">
        <f t="shared" ref="R111:R144" si="11">ROUND(IF(L111-P111=0,0,IF(L111-P111&lt;L111*N111,+L111-P111,L111*N111)),2)</f>
        <v>768.44</v>
      </c>
      <c r="S111" s="65"/>
      <c r="T111" s="70"/>
      <c r="U111" s="65"/>
      <c r="V111" s="70">
        <f t="shared" ref="V111:V145" si="12">ROUND(+P111+R111-T111,2)</f>
        <v>8452.84</v>
      </c>
      <c r="W111" s="30"/>
      <c r="X111" s="34">
        <f t="shared" ref="X111:X145" si="13">ROUND(+L111-V111,2)</f>
        <v>772.09</v>
      </c>
    </row>
    <row r="112" spans="1:24" ht="12.9" customHeight="1">
      <c r="A112" s="30"/>
      <c r="B112" s="42" t="s">
        <v>834</v>
      </c>
      <c r="C112" s="30"/>
      <c r="D112" s="66">
        <v>2004</v>
      </c>
      <c r="E112" s="65"/>
      <c r="F112" s="70">
        <v>116942.49</v>
      </c>
      <c r="G112" s="70"/>
      <c r="H112" s="70"/>
      <c r="I112" s="70"/>
      <c r="J112" s="70"/>
      <c r="K112" s="70"/>
      <c r="L112" s="70">
        <f t="shared" si="10"/>
        <v>116942.49</v>
      </c>
      <c r="M112" s="65"/>
      <c r="N112" s="67">
        <v>8.3299999999999999E-2</v>
      </c>
      <c r="O112" s="65"/>
      <c r="P112" s="70">
        <v>97413.1</v>
      </c>
      <c r="Q112" s="65"/>
      <c r="R112" s="70">
        <f t="shared" si="11"/>
        <v>9741.31</v>
      </c>
      <c r="S112" s="65"/>
      <c r="T112" s="70"/>
      <c r="U112" s="65"/>
      <c r="V112" s="70">
        <f t="shared" si="12"/>
        <v>107154.41</v>
      </c>
      <c r="W112" s="30"/>
      <c r="X112" s="34">
        <f t="shared" si="13"/>
        <v>9788.08</v>
      </c>
    </row>
    <row r="113" spans="1:26" ht="12.9" customHeight="1">
      <c r="A113" s="30"/>
      <c r="B113" s="42" t="s">
        <v>835</v>
      </c>
      <c r="C113" s="30"/>
      <c r="D113" s="66">
        <v>2005</v>
      </c>
      <c r="E113" s="65"/>
      <c r="F113" s="70">
        <v>19845.330000000002</v>
      </c>
      <c r="G113" s="70"/>
      <c r="H113" s="70"/>
      <c r="I113" s="70"/>
      <c r="J113" s="70"/>
      <c r="K113" s="70"/>
      <c r="L113" s="70">
        <f t="shared" si="10"/>
        <v>19845.330000000002</v>
      </c>
      <c r="M113" s="65"/>
      <c r="N113" s="67">
        <v>0.1</v>
      </c>
      <c r="O113" s="65"/>
      <c r="P113" s="70">
        <v>15876.24</v>
      </c>
      <c r="Q113" s="65"/>
      <c r="R113" s="70">
        <f t="shared" si="11"/>
        <v>1984.53</v>
      </c>
      <c r="S113" s="65"/>
      <c r="T113" s="70"/>
      <c r="U113" s="65"/>
      <c r="V113" s="70">
        <f t="shared" si="12"/>
        <v>17860.77</v>
      </c>
      <c r="W113" s="30"/>
      <c r="X113" s="34">
        <f t="shared" si="13"/>
        <v>1984.56</v>
      </c>
    </row>
    <row r="114" spans="1:26" ht="12.9" customHeight="1">
      <c r="A114" s="30"/>
      <c r="B114" s="42" t="s">
        <v>836</v>
      </c>
      <c r="C114" s="30"/>
      <c r="D114" s="66">
        <v>2005</v>
      </c>
      <c r="E114" s="65"/>
      <c r="F114" s="70">
        <v>51120</v>
      </c>
      <c r="G114" s="70"/>
      <c r="H114" s="70"/>
      <c r="I114" s="70"/>
      <c r="J114" s="70"/>
      <c r="K114" s="70"/>
      <c r="L114" s="70">
        <f t="shared" si="10"/>
        <v>51120</v>
      </c>
      <c r="M114" s="65"/>
      <c r="N114" s="67">
        <v>0.1</v>
      </c>
      <c r="O114" s="65"/>
      <c r="P114" s="70">
        <v>40896</v>
      </c>
      <c r="Q114" s="65"/>
      <c r="R114" s="70">
        <f t="shared" si="11"/>
        <v>5112</v>
      </c>
      <c r="S114" s="65"/>
      <c r="T114" s="70"/>
      <c r="U114" s="65"/>
      <c r="V114" s="70">
        <f t="shared" si="12"/>
        <v>46008</v>
      </c>
      <c r="W114" s="30"/>
      <c r="X114" s="34">
        <f t="shared" si="13"/>
        <v>5112</v>
      </c>
    </row>
    <row r="115" spans="1:26" ht="12.9" customHeight="1">
      <c r="A115" s="30"/>
      <c r="B115" s="42" t="s">
        <v>837</v>
      </c>
      <c r="C115" s="30"/>
      <c r="D115" s="66">
        <v>2005</v>
      </c>
      <c r="E115" s="65"/>
      <c r="F115" s="70">
        <v>39318.74</v>
      </c>
      <c r="G115" s="70"/>
      <c r="H115" s="70"/>
      <c r="I115" s="70"/>
      <c r="J115" s="70"/>
      <c r="K115" s="70"/>
      <c r="L115" s="70">
        <f t="shared" si="10"/>
        <v>39318.74</v>
      </c>
      <c r="M115" s="65"/>
      <c r="N115" s="67">
        <v>0.05</v>
      </c>
      <c r="O115" s="65"/>
      <c r="P115" s="70">
        <v>15727.52</v>
      </c>
      <c r="Q115" s="65"/>
      <c r="R115" s="70">
        <f t="shared" si="11"/>
        <v>1965.94</v>
      </c>
      <c r="S115" s="65"/>
      <c r="T115" s="70"/>
      <c r="U115" s="65"/>
      <c r="V115" s="70">
        <f t="shared" si="12"/>
        <v>17693.46</v>
      </c>
      <c r="W115" s="30"/>
      <c r="X115" s="34">
        <f t="shared" si="13"/>
        <v>21625.279999999999</v>
      </c>
    </row>
    <row r="116" spans="1:26" ht="12.9" customHeight="1">
      <c r="A116" s="30"/>
      <c r="B116" s="42" t="s">
        <v>838</v>
      </c>
      <c r="C116" s="30"/>
      <c r="D116" s="66">
        <v>2005</v>
      </c>
      <c r="E116" s="65"/>
      <c r="F116" s="70">
        <v>45451</v>
      </c>
      <c r="G116" s="70"/>
      <c r="H116" s="70"/>
      <c r="I116" s="70"/>
      <c r="J116" s="70"/>
      <c r="K116" s="70"/>
      <c r="L116" s="70">
        <f t="shared" si="10"/>
        <v>45451</v>
      </c>
      <c r="M116" s="65"/>
      <c r="N116" s="67">
        <v>0.1</v>
      </c>
      <c r="O116" s="65"/>
      <c r="P116" s="70">
        <v>36360.800000000003</v>
      </c>
      <c r="Q116" s="65"/>
      <c r="R116" s="70">
        <f t="shared" si="11"/>
        <v>4545.1000000000004</v>
      </c>
      <c r="S116" s="65"/>
      <c r="T116" s="70"/>
      <c r="U116" s="65"/>
      <c r="V116" s="70">
        <f t="shared" si="12"/>
        <v>40905.9</v>
      </c>
      <c r="W116" s="30"/>
      <c r="X116" s="34">
        <f t="shared" si="13"/>
        <v>4545.1000000000004</v>
      </c>
    </row>
    <row r="117" spans="1:26" ht="12.9" customHeight="1">
      <c r="A117" s="30"/>
      <c r="B117" s="42" t="s">
        <v>839</v>
      </c>
      <c r="C117" s="30"/>
      <c r="D117" s="66">
        <v>2006</v>
      </c>
      <c r="E117" s="65"/>
      <c r="F117" s="70">
        <v>24155.69</v>
      </c>
      <c r="G117" s="70"/>
      <c r="H117" s="70"/>
      <c r="I117" s="70"/>
      <c r="J117" s="70"/>
      <c r="K117" s="70"/>
      <c r="L117" s="70">
        <f t="shared" si="10"/>
        <v>24155.69</v>
      </c>
      <c r="M117" s="65"/>
      <c r="N117" s="67">
        <v>0.1</v>
      </c>
      <c r="O117" s="65"/>
      <c r="P117" s="70">
        <v>16908.990000000002</v>
      </c>
      <c r="Q117" s="65"/>
      <c r="R117" s="70">
        <f t="shared" si="11"/>
        <v>2415.5700000000002</v>
      </c>
      <c r="S117" s="65"/>
      <c r="T117" s="70"/>
      <c r="U117" s="65"/>
      <c r="V117" s="70">
        <f t="shared" si="12"/>
        <v>19324.560000000001</v>
      </c>
      <c r="W117" s="30"/>
      <c r="X117" s="34">
        <f t="shared" si="13"/>
        <v>4831.13</v>
      </c>
    </row>
    <row r="118" spans="1:26" ht="12.9" customHeight="1">
      <c r="A118" s="30"/>
      <c r="B118" s="42" t="s">
        <v>840</v>
      </c>
      <c r="C118" s="30"/>
      <c r="D118" s="66">
        <v>2006</v>
      </c>
      <c r="E118" s="65"/>
      <c r="F118" s="70">
        <v>29361.16</v>
      </c>
      <c r="G118" s="70"/>
      <c r="H118" s="70"/>
      <c r="I118" s="70"/>
      <c r="J118" s="70"/>
      <c r="K118" s="70"/>
      <c r="L118" s="70">
        <f t="shared" si="10"/>
        <v>29361.16</v>
      </c>
      <c r="M118" s="65"/>
      <c r="N118" s="67">
        <v>0.1</v>
      </c>
      <c r="O118" s="65"/>
      <c r="P118" s="70">
        <v>20552.84</v>
      </c>
      <c r="Q118" s="65"/>
      <c r="R118" s="70">
        <f t="shared" si="11"/>
        <v>2936.12</v>
      </c>
      <c r="S118" s="65"/>
      <c r="T118" s="70"/>
      <c r="U118" s="65"/>
      <c r="V118" s="70">
        <f t="shared" si="12"/>
        <v>23488.959999999999</v>
      </c>
      <c r="W118" s="30"/>
      <c r="X118" s="34">
        <f t="shared" si="13"/>
        <v>5872.2</v>
      </c>
    </row>
    <row r="119" spans="1:26" ht="12.9" customHeight="1">
      <c r="A119" s="30"/>
      <c r="B119" s="42" t="s">
        <v>818</v>
      </c>
      <c r="C119" s="30"/>
      <c r="D119" s="66">
        <v>1992</v>
      </c>
      <c r="E119" s="65"/>
      <c r="F119" s="70">
        <v>2900</v>
      </c>
      <c r="G119" s="70"/>
      <c r="H119" s="70"/>
      <c r="I119" s="70"/>
      <c r="J119" s="70"/>
      <c r="K119" s="70"/>
      <c r="L119" s="70">
        <f t="shared" si="10"/>
        <v>2900</v>
      </c>
      <c r="M119" s="65"/>
      <c r="N119" s="67">
        <v>0.05</v>
      </c>
      <c r="O119" s="65"/>
      <c r="P119" s="70">
        <v>2465</v>
      </c>
      <c r="Q119" s="65"/>
      <c r="R119" s="70">
        <f t="shared" si="11"/>
        <v>145</v>
      </c>
      <c r="S119" s="65"/>
      <c r="T119" s="70"/>
      <c r="U119" s="65"/>
      <c r="V119" s="70">
        <f t="shared" si="12"/>
        <v>2610</v>
      </c>
      <c r="W119" s="30"/>
      <c r="X119" s="34">
        <f t="shared" si="13"/>
        <v>290</v>
      </c>
    </row>
    <row r="120" spans="1:26" ht="12.9" customHeight="1">
      <c r="A120" s="30"/>
      <c r="B120" s="42" t="s">
        <v>826</v>
      </c>
      <c r="C120" s="30"/>
      <c r="D120" s="66">
        <v>2007</v>
      </c>
      <c r="E120" s="65"/>
      <c r="F120" s="70">
        <v>17764.66</v>
      </c>
      <c r="G120" s="70"/>
      <c r="H120" s="70"/>
      <c r="I120" s="70"/>
      <c r="J120" s="70"/>
      <c r="K120" s="70"/>
      <c r="L120" s="70">
        <f t="shared" si="10"/>
        <v>17764.66</v>
      </c>
      <c r="M120" s="65"/>
      <c r="N120" s="67">
        <v>0.1</v>
      </c>
      <c r="O120" s="65"/>
      <c r="P120" s="70">
        <v>10658.82</v>
      </c>
      <c r="Q120" s="65"/>
      <c r="R120" s="70">
        <f t="shared" si="11"/>
        <v>1776.47</v>
      </c>
      <c r="S120" s="65"/>
      <c r="T120" s="70"/>
      <c r="U120" s="65"/>
      <c r="V120" s="70">
        <f t="shared" si="12"/>
        <v>12435.29</v>
      </c>
      <c r="W120" s="30"/>
      <c r="X120" s="34">
        <f t="shared" si="13"/>
        <v>5329.37</v>
      </c>
    </row>
    <row r="121" spans="1:26" ht="12.9" customHeight="1">
      <c r="A121" s="30"/>
      <c r="B121" s="42" t="s">
        <v>850</v>
      </c>
      <c r="C121" s="30"/>
      <c r="D121" s="66">
        <v>2007</v>
      </c>
      <c r="E121" s="65"/>
      <c r="F121" s="70">
        <v>182409.95</v>
      </c>
      <c r="G121" s="70"/>
      <c r="H121" s="70"/>
      <c r="I121" s="70"/>
      <c r="J121" s="70"/>
      <c r="K121" s="70"/>
      <c r="L121" s="70">
        <f t="shared" si="10"/>
        <v>182409.95</v>
      </c>
      <c r="M121" s="65"/>
      <c r="N121" s="67">
        <v>8.3299999999999999E-2</v>
      </c>
      <c r="O121" s="65"/>
      <c r="P121" s="70">
        <v>91168.5</v>
      </c>
      <c r="Q121" s="65"/>
      <c r="R121" s="70">
        <f t="shared" si="11"/>
        <v>15194.75</v>
      </c>
      <c r="S121" s="65"/>
      <c r="T121" s="70"/>
      <c r="U121" s="65"/>
      <c r="V121" s="70">
        <f t="shared" si="12"/>
        <v>106363.25</v>
      </c>
      <c r="W121" s="30"/>
      <c r="X121" s="34">
        <f t="shared" si="13"/>
        <v>76046.7</v>
      </c>
    </row>
    <row r="122" spans="1:26" ht="12.9" customHeight="1">
      <c r="A122" s="30"/>
      <c r="B122" s="42" t="s">
        <v>683</v>
      </c>
      <c r="C122" s="30"/>
      <c r="D122" s="66" t="s">
        <v>641</v>
      </c>
      <c r="E122" s="65"/>
      <c r="F122" s="70">
        <v>58241.760000000002</v>
      </c>
      <c r="G122" s="65"/>
      <c r="H122" s="70"/>
      <c r="I122" s="65"/>
      <c r="J122" s="70"/>
      <c r="K122" s="65"/>
      <c r="L122" s="70">
        <f t="shared" si="10"/>
        <v>58241.760000000002</v>
      </c>
      <c r="M122" s="70"/>
      <c r="N122" s="67">
        <v>0.1</v>
      </c>
      <c r="O122" s="65"/>
      <c r="P122" s="70">
        <v>34945.08</v>
      </c>
      <c r="Q122" s="65"/>
      <c r="R122" s="70">
        <f>ROUND(IF(L122-P122=0,0,IF(L122-P122&lt;L122*N122,+L122-P122,L122*N122)),2)</f>
        <v>5824.18</v>
      </c>
      <c r="S122" s="65"/>
      <c r="T122" s="70"/>
      <c r="U122" s="65"/>
      <c r="V122" s="70">
        <f t="shared" si="12"/>
        <v>40769.26</v>
      </c>
      <c r="W122" s="30"/>
      <c r="X122" s="34">
        <f t="shared" si="13"/>
        <v>17472.5</v>
      </c>
      <c r="Y122" s="34"/>
      <c r="Z122" s="34"/>
    </row>
    <row r="123" spans="1:26" ht="12.9" customHeight="1">
      <c r="A123" s="30"/>
      <c r="B123" s="42" t="s">
        <v>684</v>
      </c>
      <c r="C123" s="30"/>
      <c r="D123" s="66" t="s">
        <v>887</v>
      </c>
      <c r="E123" s="65"/>
      <c r="F123" s="70">
        <v>15871.59</v>
      </c>
      <c r="G123" s="70"/>
      <c r="H123" s="70"/>
      <c r="I123" s="70"/>
      <c r="J123" s="70"/>
      <c r="K123" s="70"/>
      <c r="L123" s="70">
        <f t="shared" si="10"/>
        <v>15871.59</v>
      </c>
      <c r="M123" s="70"/>
      <c r="N123" s="67">
        <v>0.2</v>
      </c>
      <c r="O123" s="70"/>
      <c r="P123" s="70">
        <v>15871.59</v>
      </c>
      <c r="Q123" s="70"/>
      <c r="R123" s="70">
        <f t="shared" si="11"/>
        <v>0</v>
      </c>
      <c r="S123" s="70"/>
      <c r="T123" s="70"/>
      <c r="U123" s="70"/>
      <c r="V123" s="70">
        <f t="shared" si="12"/>
        <v>15871.59</v>
      </c>
      <c r="W123" s="34"/>
      <c r="X123" s="34">
        <f t="shared" si="13"/>
        <v>0</v>
      </c>
    </row>
    <row r="124" spans="1:26" ht="12.9" customHeight="1">
      <c r="A124" s="30"/>
      <c r="B124" s="42" t="s">
        <v>819</v>
      </c>
      <c r="C124" s="30"/>
      <c r="D124" s="66">
        <v>1995</v>
      </c>
      <c r="E124" s="65"/>
      <c r="F124" s="70">
        <v>11596.68</v>
      </c>
      <c r="G124" s="65"/>
      <c r="H124" s="70"/>
      <c r="I124" s="65"/>
      <c r="J124" s="70"/>
      <c r="K124" s="65"/>
      <c r="L124" s="70">
        <f t="shared" si="10"/>
        <v>11596.68</v>
      </c>
      <c r="M124" s="70"/>
      <c r="N124" s="67">
        <v>0.1</v>
      </c>
      <c r="O124" s="65"/>
      <c r="P124" s="70">
        <v>11596.68</v>
      </c>
      <c r="Q124" s="65"/>
      <c r="R124" s="70">
        <f t="shared" si="11"/>
        <v>0</v>
      </c>
      <c r="S124" s="65"/>
      <c r="T124" s="70"/>
      <c r="U124" s="65"/>
      <c r="V124" s="70">
        <f t="shared" si="12"/>
        <v>11596.68</v>
      </c>
      <c r="W124" s="30"/>
      <c r="X124" s="34">
        <f t="shared" si="13"/>
        <v>0</v>
      </c>
    </row>
    <row r="125" spans="1:26" ht="12.9" customHeight="1">
      <c r="A125" s="30"/>
      <c r="B125" s="42" t="s">
        <v>841</v>
      </c>
      <c r="C125" s="30"/>
      <c r="D125" s="66">
        <v>2009</v>
      </c>
      <c r="E125" s="65"/>
      <c r="F125" s="70">
        <v>21416.94</v>
      </c>
      <c r="G125" s="70"/>
      <c r="H125" s="70"/>
      <c r="I125" s="70"/>
      <c r="J125" s="70"/>
      <c r="K125" s="70"/>
      <c r="L125" s="70">
        <f t="shared" si="10"/>
        <v>21416.94</v>
      </c>
      <c r="M125" s="65"/>
      <c r="N125" s="67">
        <v>0.1</v>
      </c>
      <c r="O125" s="65"/>
      <c r="P125" s="70">
        <v>10708.45</v>
      </c>
      <c r="Q125" s="65"/>
      <c r="R125" s="70">
        <f t="shared" si="11"/>
        <v>2141.69</v>
      </c>
      <c r="S125" s="65"/>
      <c r="T125" s="70"/>
      <c r="U125" s="65"/>
      <c r="V125" s="70">
        <f t="shared" si="12"/>
        <v>12850.14</v>
      </c>
      <c r="W125" s="30"/>
      <c r="X125" s="34">
        <f t="shared" si="13"/>
        <v>8566.7999999999993</v>
      </c>
    </row>
    <row r="126" spans="1:26" ht="12.9" customHeight="1">
      <c r="A126" s="30"/>
      <c r="B126" s="42" t="s">
        <v>692</v>
      </c>
      <c r="C126" s="30"/>
      <c r="D126" s="66">
        <v>2009</v>
      </c>
      <c r="E126" s="65"/>
      <c r="F126" s="70">
        <v>25150.2</v>
      </c>
      <c r="G126" s="70"/>
      <c r="H126" s="70"/>
      <c r="I126" s="70"/>
      <c r="J126" s="70"/>
      <c r="K126" s="70"/>
      <c r="L126" s="70">
        <f t="shared" si="10"/>
        <v>25150.2</v>
      </c>
      <c r="M126" s="65"/>
      <c r="N126" s="67">
        <v>0.1</v>
      </c>
      <c r="O126" s="65"/>
      <c r="P126" s="70">
        <v>12575.1</v>
      </c>
      <c r="Q126" s="65"/>
      <c r="R126" s="70">
        <f t="shared" si="11"/>
        <v>2515.02</v>
      </c>
      <c r="S126" s="65"/>
      <c r="T126" s="70"/>
      <c r="U126" s="65"/>
      <c r="V126" s="70">
        <f t="shared" si="12"/>
        <v>15090.12</v>
      </c>
      <c r="W126" s="30"/>
      <c r="X126" s="34">
        <f t="shared" si="13"/>
        <v>10060.08</v>
      </c>
    </row>
    <row r="127" spans="1:26" ht="12.9" customHeight="1">
      <c r="A127" s="30"/>
      <c r="B127" s="42" t="s">
        <v>693</v>
      </c>
      <c r="C127" s="30"/>
      <c r="D127" s="66">
        <v>2009</v>
      </c>
      <c r="E127" s="65"/>
      <c r="F127" s="70">
        <v>5106.68</v>
      </c>
      <c r="G127" s="70"/>
      <c r="H127" s="70"/>
      <c r="I127" s="70"/>
      <c r="J127" s="70"/>
      <c r="K127" s="70"/>
      <c r="L127" s="70">
        <f t="shared" si="10"/>
        <v>5106.68</v>
      </c>
      <c r="M127" s="65"/>
      <c r="N127" s="67">
        <v>0.1</v>
      </c>
      <c r="O127" s="65"/>
      <c r="P127" s="70">
        <v>2553.35</v>
      </c>
      <c r="Q127" s="65"/>
      <c r="R127" s="70">
        <f t="shared" si="11"/>
        <v>510.67</v>
      </c>
      <c r="S127" s="65"/>
      <c r="T127" s="70"/>
      <c r="U127" s="65"/>
      <c r="V127" s="70">
        <f t="shared" si="12"/>
        <v>3064.02</v>
      </c>
      <c r="W127" s="30"/>
      <c r="X127" s="34">
        <f t="shared" si="13"/>
        <v>2042.66</v>
      </c>
    </row>
    <row r="128" spans="1:26" ht="12.9" customHeight="1">
      <c r="A128" s="30"/>
      <c r="B128" s="42" t="s">
        <v>842</v>
      </c>
      <c r="C128" s="30"/>
      <c r="D128" s="66">
        <v>2009</v>
      </c>
      <c r="E128" s="65"/>
      <c r="F128" s="70">
        <v>17040</v>
      </c>
      <c r="G128" s="70"/>
      <c r="H128" s="70"/>
      <c r="I128" s="70"/>
      <c r="J128" s="70"/>
      <c r="K128" s="70"/>
      <c r="L128" s="70">
        <f t="shared" si="10"/>
        <v>17040</v>
      </c>
      <c r="M128" s="65"/>
      <c r="N128" s="67">
        <v>0.1</v>
      </c>
      <c r="O128" s="65"/>
      <c r="P128" s="70">
        <v>8520</v>
      </c>
      <c r="Q128" s="65"/>
      <c r="R128" s="70">
        <f t="shared" si="11"/>
        <v>1704</v>
      </c>
      <c r="S128" s="65"/>
      <c r="T128" s="70"/>
      <c r="U128" s="65"/>
      <c r="V128" s="70">
        <f t="shared" si="12"/>
        <v>10224</v>
      </c>
      <c r="W128" s="30"/>
      <c r="X128" s="34">
        <f t="shared" si="13"/>
        <v>6816</v>
      </c>
    </row>
    <row r="129" spans="1:25" ht="12.9" customHeight="1">
      <c r="A129" s="30"/>
      <c r="B129" s="42" t="s">
        <v>694</v>
      </c>
      <c r="C129" s="30"/>
      <c r="D129" s="66">
        <v>2010</v>
      </c>
      <c r="E129" s="65"/>
      <c r="F129" s="70">
        <v>15021.18</v>
      </c>
      <c r="G129" s="70"/>
      <c r="H129" s="70"/>
      <c r="I129" s="70"/>
      <c r="J129" s="70"/>
      <c r="K129" s="70"/>
      <c r="L129" s="70">
        <f t="shared" si="10"/>
        <v>15021.18</v>
      </c>
      <c r="M129" s="65"/>
      <c r="N129" s="67">
        <v>0.05</v>
      </c>
      <c r="O129" s="65"/>
      <c r="P129" s="70">
        <v>3004.24</v>
      </c>
      <c r="Q129" s="65"/>
      <c r="R129" s="70">
        <f t="shared" si="11"/>
        <v>751.06</v>
      </c>
      <c r="S129" s="65"/>
      <c r="T129" s="70"/>
      <c r="U129" s="65"/>
      <c r="V129" s="70">
        <f t="shared" si="12"/>
        <v>3755.3</v>
      </c>
      <c r="W129" s="30"/>
      <c r="X129" s="34">
        <f t="shared" si="13"/>
        <v>11265.88</v>
      </c>
    </row>
    <row r="130" spans="1:25" ht="12.9" customHeight="1">
      <c r="A130" s="30"/>
      <c r="B130" s="42" t="s">
        <v>843</v>
      </c>
      <c r="C130" s="30"/>
      <c r="D130" s="66">
        <v>2010</v>
      </c>
      <c r="E130" s="65"/>
      <c r="F130" s="70">
        <v>26718.75</v>
      </c>
      <c r="G130" s="70"/>
      <c r="H130" s="70"/>
      <c r="I130" s="70"/>
      <c r="J130" s="70"/>
      <c r="K130" s="70"/>
      <c r="L130" s="70">
        <f t="shared" si="10"/>
        <v>26718.75</v>
      </c>
      <c r="M130" s="65"/>
      <c r="N130" s="67">
        <v>0.05</v>
      </c>
      <c r="O130" s="65"/>
      <c r="P130" s="70">
        <v>5343.76</v>
      </c>
      <c r="Q130" s="65"/>
      <c r="R130" s="70">
        <f t="shared" si="11"/>
        <v>1335.94</v>
      </c>
      <c r="S130" s="65"/>
      <c r="T130" s="70"/>
      <c r="U130" s="65"/>
      <c r="V130" s="70">
        <f t="shared" si="12"/>
        <v>6679.7</v>
      </c>
      <c r="W130" s="30"/>
      <c r="X130" s="34">
        <f t="shared" si="13"/>
        <v>20039.05</v>
      </c>
    </row>
    <row r="131" spans="1:25" ht="12.9" customHeight="1">
      <c r="A131" s="30"/>
      <c r="B131" s="42" t="s">
        <v>844</v>
      </c>
      <c r="C131" s="30"/>
      <c r="D131" s="66">
        <v>2011</v>
      </c>
      <c r="E131" s="65"/>
      <c r="F131" s="70">
        <v>50350</v>
      </c>
      <c r="G131" s="70"/>
      <c r="H131" s="70"/>
      <c r="I131" s="70"/>
      <c r="J131" s="70"/>
      <c r="K131" s="70"/>
      <c r="L131" s="70">
        <f t="shared" si="10"/>
        <v>50350</v>
      </c>
      <c r="M131" s="65"/>
      <c r="N131" s="67">
        <v>8.3299999999999999E-2</v>
      </c>
      <c r="O131" s="65"/>
      <c r="P131" s="70">
        <v>12582.48</v>
      </c>
      <c r="Q131" s="65"/>
      <c r="R131" s="70">
        <f t="shared" si="11"/>
        <v>4194.16</v>
      </c>
      <c r="S131" s="65"/>
      <c r="T131" s="70"/>
      <c r="U131" s="65"/>
      <c r="V131" s="70">
        <f t="shared" si="12"/>
        <v>16776.64</v>
      </c>
      <c r="W131" s="30"/>
      <c r="X131" s="34">
        <f t="shared" si="13"/>
        <v>33573.360000000001</v>
      </c>
    </row>
    <row r="132" spans="1:25" ht="12.9" customHeight="1">
      <c r="A132" s="30"/>
      <c r="B132" s="42" t="s">
        <v>845</v>
      </c>
      <c r="C132" s="30"/>
      <c r="D132" s="66">
        <v>2011</v>
      </c>
      <c r="E132" s="65"/>
      <c r="F132" s="70">
        <v>107156.15</v>
      </c>
      <c r="G132" s="70"/>
      <c r="H132" s="70"/>
      <c r="I132" s="70"/>
      <c r="J132" s="70"/>
      <c r="K132" s="70"/>
      <c r="L132" s="70">
        <f t="shared" si="10"/>
        <v>107156.15</v>
      </c>
      <c r="M132" s="65"/>
      <c r="N132" s="67">
        <v>8.3299999999999999E-2</v>
      </c>
      <c r="O132" s="65"/>
      <c r="P132" s="70">
        <v>26778.33</v>
      </c>
      <c r="Q132" s="65"/>
      <c r="R132" s="70">
        <f t="shared" si="11"/>
        <v>8926.11</v>
      </c>
      <c r="S132" s="65"/>
      <c r="T132" s="70"/>
      <c r="U132" s="65"/>
      <c r="V132" s="70">
        <f t="shared" si="12"/>
        <v>35704.44</v>
      </c>
      <c r="W132" s="30"/>
      <c r="X132" s="34">
        <f t="shared" si="13"/>
        <v>71451.710000000006</v>
      </c>
    </row>
    <row r="133" spans="1:25" ht="12.9" customHeight="1">
      <c r="A133" s="30"/>
      <c r="B133" s="42" t="s">
        <v>682</v>
      </c>
      <c r="C133" s="30"/>
      <c r="D133" s="66">
        <v>2007</v>
      </c>
      <c r="E133" s="65"/>
      <c r="F133" s="70">
        <v>13385.37</v>
      </c>
      <c r="G133" s="65"/>
      <c r="H133" s="70"/>
      <c r="I133" s="65"/>
      <c r="J133" s="70"/>
      <c r="K133" s="65"/>
      <c r="L133" s="70">
        <f>F133+H133-J133</f>
        <v>13385.37</v>
      </c>
      <c r="M133" s="65"/>
      <c r="N133" s="67">
        <v>0.1</v>
      </c>
      <c r="O133" s="65"/>
      <c r="P133" s="70">
        <v>8031.24</v>
      </c>
      <c r="Q133" s="65"/>
      <c r="R133" s="70">
        <f>ROUND(IF(L133-P133=0,0,IF(L133-P133&lt;L133*N133,+L133-P133,L133*N133)),2)</f>
        <v>1338.54</v>
      </c>
      <c r="S133" s="65"/>
      <c r="T133" s="70"/>
      <c r="U133" s="65"/>
      <c r="V133" s="70">
        <f t="shared" si="12"/>
        <v>9369.7800000000007</v>
      </c>
      <c r="W133" s="30"/>
      <c r="X133" s="34">
        <f>ROUND(+L133-V133,2)</f>
        <v>4015.59</v>
      </c>
    </row>
    <row r="134" spans="1:25" ht="12.9" customHeight="1">
      <c r="A134" s="30"/>
      <c r="B134" s="42" t="s">
        <v>846</v>
      </c>
      <c r="C134" s="30"/>
      <c r="D134" s="66">
        <v>2013</v>
      </c>
      <c r="E134" s="65"/>
      <c r="F134" s="70">
        <v>194447.64</v>
      </c>
      <c r="G134" s="70"/>
      <c r="H134" s="70"/>
      <c r="I134" s="70"/>
      <c r="J134" s="70"/>
      <c r="K134" s="70"/>
      <c r="L134" s="70">
        <f t="shared" si="10"/>
        <v>194447.64</v>
      </c>
      <c r="M134" s="65"/>
      <c r="N134" s="67">
        <v>0.1</v>
      </c>
      <c r="O134" s="65"/>
      <c r="P134" s="70">
        <v>0</v>
      </c>
      <c r="Q134" s="65"/>
      <c r="R134" s="70">
        <f t="shared" si="11"/>
        <v>19444.759999999998</v>
      </c>
      <c r="S134" s="65"/>
      <c r="T134" s="70"/>
      <c r="U134" s="65"/>
      <c r="V134" s="70">
        <f t="shared" si="12"/>
        <v>19444.759999999998</v>
      </c>
      <c r="W134" s="30"/>
      <c r="X134" s="34">
        <f t="shared" si="13"/>
        <v>175002.88</v>
      </c>
    </row>
    <row r="135" spans="1:25" ht="12.9" customHeight="1">
      <c r="A135" s="30"/>
      <c r="B135" s="42" t="s">
        <v>847</v>
      </c>
      <c r="C135" s="30"/>
      <c r="D135" s="66">
        <v>2013</v>
      </c>
      <c r="E135" s="65"/>
      <c r="F135" s="70">
        <v>26318.27</v>
      </c>
      <c r="G135" s="70"/>
      <c r="H135" s="70"/>
      <c r="I135" s="70"/>
      <c r="J135" s="70"/>
      <c r="K135" s="70"/>
      <c r="L135" s="70">
        <f t="shared" si="10"/>
        <v>26318.27</v>
      </c>
      <c r="M135" s="65"/>
      <c r="N135" s="67">
        <v>0.1</v>
      </c>
      <c r="O135" s="65"/>
      <c r="P135" s="70">
        <v>0</v>
      </c>
      <c r="Q135" s="65"/>
      <c r="R135" s="70">
        <f t="shared" si="11"/>
        <v>2631.83</v>
      </c>
      <c r="S135" s="65"/>
      <c r="T135" s="70"/>
      <c r="U135" s="65"/>
      <c r="V135" s="70">
        <f t="shared" si="12"/>
        <v>2631.83</v>
      </c>
      <c r="W135" s="30"/>
      <c r="X135" s="34">
        <f t="shared" si="13"/>
        <v>23686.44</v>
      </c>
    </row>
    <row r="136" spans="1:25" ht="12.9" customHeight="1">
      <c r="A136" s="30"/>
      <c r="B136" s="41" t="s">
        <v>848</v>
      </c>
      <c r="C136" s="30"/>
      <c r="D136" s="66">
        <v>2013</v>
      </c>
      <c r="E136" s="65"/>
      <c r="F136" s="70">
        <v>18015.05</v>
      </c>
      <c r="G136" s="70"/>
      <c r="H136" s="70"/>
      <c r="I136" s="70"/>
      <c r="J136" s="70"/>
      <c r="K136" s="70"/>
      <c r="L136" s="70">
        <f t="shared" si="10"/>
        <v>18015.05</v>
      </c>
      <c r="M136" s="65"/>
      <c r="N136" s="67">
        <v>0.33</v>
      </c>
      <c r="O136" s="65"/>
      <c r="P136" s="70">
        <v>0</v>
      </c>
      <c r="Q136" s="65"/>
      <c r="R136" s="70">
        <f t="shared" si="11"/>
        <v>5944.97</v>
      </c>
      <c r="S136" s="65"/>
      <c r="T136" s="70"/>
      <c r="U136" s="65"/>
      <c r="V136" s="70">
        <f t="shared" si="12"/>
        <v>5944.97</v>
      </c>
      <c r="W136" s="30"/>
      <c r="X136" s="34">
        <f t="shared" si="13"/>
        <v>12070.08</v>
      </c>
    </row>
    <row r="137" spans="1:25" ht="12.9" customHeight="1">
      <c r="A137" s="30"/>
      <c r="B137" s="42" t="s">
        <v>849</v>
      </c>
      <c r="C137" s="30"/>
      <c r="D137" s="66">
        <v>2013</v>
      </c>
      <c r="E137" s="65"/>
      <c r="F137" s="70">
        <v>9939.3799999999992</v>
      </c>
      <c r="G137" s="70"/>
      <c r="H137" s="70"/>
      <c r="I137" s="70"/>
      <c r="J137" s="70"/>
      <c r="K137" s="70"/>
      <c r="L137" s="70">
        <f t="shared" si="10"/>
        <v>9939.3799999999992</v>
      </c>
      <c r="M137" s="65"/>
      <c r="N137" s="67">
        <v>0.1</v>
      </c>
      <c r="O137" s="65"/>
      <c r="P137" s="70">
        <v>0</v>
      </c>
      <c r="Q137" s="65"/>
      <c r="R137" s="70">
        <f t="shared" si="11"/>
        <v>993.94</v>
      </c>
      <c r="S137" s="65"/>
      <c r="T137" s="70"/>
      <c r="U137" s="65"/>
      <c r="V137" s="70">
        <f t="shared" si="12"/>
        <v>993.94</v>
      </c>
      <c r="W137" s="30"/>
      <c r="X137" s="34">
        <f t="shared" si="13"/>
        <v>8945.44</v>
      </c>
    </row>
    <row r="138" spans="1:25" ht="12.9" customHeight="1">
      <c r="A138" s="30"/>
      <c r="B138" s="42" t="s">
        <v>888</v>
      </c>
      <c r="C138" s="30"/>
      <c r="D138" s="31">
        <v>2014</v>
      </c>
      <c r="E138" s="30"/>
      <c r="F138" s="34">
        <v>0</v>
      </c>
      <c r="G138" s="34"/>
      <c r="H138" s="303">
        <v>41373.410000000003</v>
      </c>
      <c r="I138" s="34"/>
      <c r="J138" s="34"/>
      <c r="K138" s="34"/>
      <c r="L138" s="303">
        <f t="shared" si="10"/>
        <v>41373.410000000003</v>
      </c>
      <c r="M138" s="30"/>
      <c r="N138" s="304">
        <v>0</v>
      </c>
      <c r="O138" s="30"/>
      <c r="P138" s="34">
        <v>0</v>
      </c>
      <c r="Q138" s="30"/>
      <c r="R138" s="303">
        <v>37692.36</v>
      </c>
      <c r="S138" s="30"/>
      <c r="T138" s="34"/>
      <c r="U138" s="30"/>
      <c r="V138" s="34">
        <f t="shared" si="12"/>
        <v>37692.36</v>
      </c>
      <c r="W138" s="30"/>
      <c r="X138" s="303">
        <f t="shared" si="13"/>
        <v>3681.05</v>
      </c>
    </row>
    <row r="139" spans="1:25" ht="12.9" customHeight="1">
      <c r="A139" s="30"/>
      <c r="B139" s="42" t="s">
        <v>888</v>
      </c>
      <c r="C139" s="30"/>
      <c r="D139" s="31">
        <v>2014</v>
      </c>
      <c r="E139" s="30"/>
      <c r="F139" s="34">
        <v>0</v>
      </c>
      <c r="G139" s="34"/>
      <c r="H139" s="34"/>
      <c r="I139" s="34"/>
      <c r="J139" s="34"/>
      <c r="K139" s="34"/>
      <c r="L139" s="34">
        <f t="shared" si="10"/>
        <v>0</v>
      </c>
      <c r="M139" s="30"/>
      <c r="N139" s="304">
        <v>0.25</v>
      </c>
      <c r="O139" s="30"/>
      <c r="P139" s="34">
        <v>0</v>
      </c>
      <c r="Q139" s="30"/>
      <c r="R139" s="303">
        <f>3681.05*N139</f>
        <v>920.26250000000005</v>
      </c>
      <c r="S139" s="30"/>
      <c r="T139" s="34"/>
      <c r="U139" s="30"/>
      <c r="V139" s="34">
        <f t="shared" si="12"/>
        <v>920.26</v>
      </c>
      <c r="W139" s="30"/>
      <c r="X139" s="303">
        <f t="shared" si="13"/>
        <v>-920.26</v>
      </c>
    </row>
    <row r="140" spans="1:25" ht="12.9" customHeight="1">
      <c r="A140" s="30"/>
      <c r="B140" s="41" t="s">
        <v>889</v>
      </c>
      <c r="C140" s="30"/>
      <c r="D140" s="31">
        <v>2014</v>
      </c>
      <c r="E140" s="30"/>
      <c r="F140" s="34">
        <v>0</v>
      </c>
      <c r="G140" s="34"/>
      <c r="H140" s="34">
        <v>10448.719999999999</v>
      </c>
      <c r="I140" s="34"/>
      <c r="J140" s="34"/>
      <c r="K140" s="34"/>
      <c r="L140" s="34">
        <f t="shared" si="10"/>
        <v>10448.719999999999</v>
      </c>
      <c r="M140" s="35"/>
      <c r="N140" s="35">
        <v>0.33</v>
      </c>
      <c r="O140" s="30"/>
      <c r="P140" s="34">
        <v>0</v>
      </c>
      <c r="Q140" s="30"/>
      <c r="R140" s="34">
        <f t="shared" si="11"/>
        <v>3448.08</v>
      </c>
      <c r="S140" s="30"/>
      <c r="T140" s="34"/>
      <c r="U140" s="30"/>
      <c r="V140" s="34">
        <f t="shared" si="12"/>
        <v>3448.08</v>
      </c>
      <c r="W140" s="30"/>
      <c r="X140" s="34">
        <f t="shared" si="13"/>
        <v>7000.64</v>
      </c>
    </row>
    <row r="141" spans="1:25" ht="12.9" customHeight="1">
      <c r="A141" s="30"/>
      <c r="B141" s="42" t="s">
        <v>890</v>
      </c>
      <c r="C141" s="30"/>
      <c r="D141" s="31">
        <v>2014</v>
      </c>
      <c r="E141" s="30"/>
      <c r="F141" s="34">
        <v>0</v>
      </c>
      <c r="G141" s="34"/>
      <c r="H141" s="34">
        <v>26758.75</v>
      </c>
      <c r="I141" s="34"/>
      <c r="J141" s="34"/>
      <c r="K141" s="34"/>
      <c r="L141" s="34">
        <f t="shared" si="10"/>
        <v>26758.75</v>
      </c>
      <c r="M141" s="35"/>
      <c r="N141" s="35">
        <v>0.25</v>
      </c>
      <c r="O141" s="30"/>
      <c r="P141" s="34">
        <v>0</v>
      </c>
      <c r="Q141" s="30"/>
      <c r="R141" s="34">
        <f t="shared" si="11"/>
        <v>6689.69</v>
      </c>
      <c r="S141" s="30"/>
      <c r="T141" s="34"/>
      <c r="U141" s="30"/>
      <c r="V141" s="34">
        <f t="shared" si="12"/>
        <v>6689.69</v>
      </c>
      <c r="W141" s="30"/>
      <c r="X141" s="34">
        <f t="shared" si="13"/>
        <v>20069.060000000001</v>
      </c>
    </row>
    <row r="142" spans="1:25" ht="12.9" customHeight="1">
      <c r="A142" s="30"/>
      <c r="B142" s="42" t="s">
        <v>891</v>
      </c>
      <c r="C142" s="30"/>
      <c r="D142" s="31">
        <v>2014</v>
      </c>
      <c r="E142" s="30"/>
      <c r="F142" s="34">
        <v>0</v>
      </c>
      <c r="G142" s="34"/>
      <c r="H142" s="34">
        <v>17832.5</v>
      </c>
      <c r="I142" s="34"/>
      <c r="J142" s="34"/>
      <c r="K142" s="34"/>
      <c r="L142" s="34">
        <f t="shared" si="10"/>
        <v>17832.5</v>
      </c>
      <c r="M142" s="35"/>
      <c r="N142" s="35">
        <v>0.25</v>
      </c>
      <c r="O142" s="30"/>
      <c r="P142" s="34">
        <v>0</v>
      </c>
      <c r="Q142" s="30"/>
      <c r="R142" s="34">
        <f t="shared" si="11"/>
        <v>4458.13</v>
      </c>
      <c r="S142" s="30"/>
      <c r="T142" s="34"/>
      <c r="U142" s="30"/>
      <c r="V142" s="34">
        <f t="shared" si="12"/>
        <v>4458.13</v>
      </c>
      <c r="W142" s="30"/>
      <c r="X142" s="34">
        <f t="shared" si="13"/>
        <v>13374.37</v>
      </c>
      <c r="Y142" s="34"/>
    </row>
    <row r="143" spans="1:25" ht="12.9" customHeight="1">
      <c r="A143" s="30"/>
      <c r="B143" s="42" t="s">
        <v>892</v>
      </c>
      <c r="C143" s="30"/>
      <c r="D143" s="31">
        <v>2014</v>
      </c>
      <c r="E143" s="30"/>
      <c r="F143" s="34">
        <v>0</v>
      </c>
      <c r="G143" s="34"/>
      <c r="H143" s="34">
        <v>47050.46</v>
      </c>
      <c r="I143" s="34"/>
      <c r="J143" s="34"/>
      <c r="K143" s="34"/>
      <c r="L143" s="34">
        <f t="shared" si="10"/>
        <v>47050.46</v>
      </c>
      <c r="M143" s="35"/>
      <c r="N143" s="35">
        <v>0.1</v>
      </c>
      <c r="O143" s="30"/>
      <c r="P143" s="34">
        <v>0</v>
      </c>
      <c r="Q143" s="30"/>
      <c r="R143" s="34">
        <f t="shared" si="11"/>
        <v>4705.05</v>
      </c>
      <c r="S143" s="30"/>
      <c r="T143" s="34"/>
      <c r="U143" s="30"/>
      <c r="V143" s="34">
        <f t="shared" si="12"/>
        <v>4705.05</v>
      </c>
      <c r="W143" s="30"/>
      <c r="X143" s="34">
        <f t="shared" si="13"/>
        <v>42345.41</v>
      </c>
    </row>
    <row r="144" spans="1:25" ht="12.9" customHeight="1">
      <c r="A144" s="30"/>
      <c r="B144" s="42" t="s">
        <v>893</v>
      </c>
      <c r="C144" s="30"/>
      <c r="D144" s="31">
        <v>2014</v>
      </c>
      <c r="E144" s="30"/>
      <c r="F144" s="34">
        <v>0</v>
      </c>
      <c r="G144" s="34"/>
      <c r="H144" s="34">
        <v>29516.14</v>
      </c>
      <c r="I144" s="34"/>
      <c r="J144" s="34"/>
      <c r="K144" s="34"/>
      <c r="L144" s="34">
        <f t="shared" si="10"/>
        <v>29516.14</v>
      </c>
      <c r="M144" s="35"/>
      <c r="N144" s="35">
        <v>0.2</v>
      </c>
      <c r="O144" s="30"/>
      <c r="P144" s="34">
        <v>0</v>
      </c>
      <c r="Q144" s="30"/>
      <c r="R144" s="34">
        <f t="shared" si="11"/>
        <v>5903.23</v>
      </c>
      <c r="S144" s="30"/>
      <c r="T144" s="34"/>
      <c r="U144" s="30"/>
      <c r="V144" s="34">
        <f t="shared" si="12"/>
        <v>5903.23</v>
      </c>
      <c r="W144" s="30"/>
      <c r="X144" s="34">
        <f t="shared" si="13"/>
        <v>23612.91</v>
      </c>
    </row>
    <row r="145" spans="1:24" ht="12.9" customHeight="1">
      <c r="A145" s="30"/>
      <c r="B145" s="42" t="s">
        <v>894</v>
      </c>
      <c r="C145" s="30"/>
      <c r="D145" s="31">
        <v>2014</v>
      </c>
      <c r="E145" s="30"/>
      <c r="F145" s="95">
        <v>0</v>
      </c>
      <c r="G145" s="34"/>
      <c r="H145" s="95">
        <v>11190.5</v>
      </c>
      <c r="I145" s="34"/>
      <c r="J145" s="95"/>
      <c r="K145" s="34"/>
      <c r="L145" s="95">
        <f t="shared" si="10"/>
        <v>11190.5</v>
      </c>
      <c r="M145" s="34"/>
      <c r="N145" s="35">
        <v>0.25</v>
      </c>
      <c r="O145" s="34"/>
      <c r="P145" s="95">
        <v>0</v>
      </c>
      <c r="Q145" s="34"/>
      <c r="R145" s="95">
        <f>ROUND(IF(L145-P145=0,0,IF(L145-P145&lt;L145*N145,+L145-P145,L145*N145)),2)</f>
        <v>2797.63</v>
      </c>
      <c r="S145" s="34"/>
      <c r="T145" s="95"/>
      <c r="U145" s="34"/>
      <c r="V145" s="95">
        <f t="shared" si="12"/>
        <v>2797.63</v>
      </c>
      <c r="W145" s="34"/>
      <c r="X145" s="95">
        <f t="shared" si="13"/>
        <v>8392.8700000000008</v>
      </c>
    </row>
    <row r="146" spans="1:24" ht="12.9" customHeight="1">
      <c r="A146" s="30"/>
      <c r="B146" s="30" t="s">
        <v>695</v>
      </c>
      <c r="C146" s="30"/>
      <c r="D146" s="30"/>
      <c r="E146" s="30"/>
      <c r="F146" s="95">
        <f>SUM(F64:F145)</f>
        <v>1815753.5899999996</v>
      </c>
      <c r="G146" s="30"/>
      <c r="H146" s="95">
        <f>SUM(H64:H145)</f>
        <v>184170.47999999998</v>
      </c>
      <c r="I146" s="30"/>
      <c r="J146" s="95">
        <f>SUM(J64:J145)</f>
        <v>70324.5</v>
      </c>
      <c r="K146" s="30"/>
      <c r="L146" s="95">
        <f>SUM(L64:L145)</f>
        <v>1929599.5699999994</v>
      </c>
      <c r="M146" s="30"/>
      <c r="N146" s="30"/>
      <c r="O146" s="30"/>
      <c r="P146" s="95">
        <f>SUM(P64:P145)</f>
        <v>1111215.0799999998</v>
      </c>
      <c r="Q146" s="30"/>
      <c r="R146" s="95">
        <f>SUM(R64:R145)</f>
        <v>180587.26250000001</v>
      </c>
      <c r="S146" s="30"/>
      <c r="T146" s="95">
        <f>SUM(T64:T145)</f>
        <v>42194.76</v>
      </c>
      <c r="U146" s="30"/>
      <c r="V146" s="95">
        <f>SUM(V64:V145)</f>
        <v>1249607.58</v>
      </c>
      <c r="W146" s="30"/>
      <c r="X146" s="95">
        <f>SUM(X64:X145)</f>
        <v>679991.99</v>
      </c>
    </row>
    <row r="147" spans="1:24" ht="12.9" customHeight="1">
      <c r="A147" s="30"/>
      <c r="B147" s="30"/>
      <c r="C147" s="30"/>
      <c r="D147" s="30"/>
      <c r="E147" s="30"/>
      <c r="F147" s="96"/>
      <c r="G147" s="30"/>
      <c r="H147" s="96"/>
      <c r="I147" s="30"/>
      <c r="J147" s="96"/>
      <c r="K147" s="30"/>
      <c r="L147" s="96"/>
      <c r="M147" s="30"/>
      <c r="N147" s="30"/>
      <c r="O147" s="30"/>
      <c r="P147" s="96"/>
      <c r="Q147" s="30"/>
      <c r="R147" s="96"/>
      <c r="S147" s="30"/>
      <c r="T147" s="96"/>
      <c r="U147" s="30"/>
      <c r="V147" s="96"/>
      <c r="W147" s="30"/>
      <c r="X147" s="96"/>
    </row>
    <row r="148" spans="1:24" ht="12.9" customHeight="1">
      <c r="A148" s="27" t="s">
        <v>598</v>
      </c>
      <c r="B148" s="27"/>
      <c r="C148" s="27"/>
      <c r="D148" s="27"/>
      <c r="E148" s="27"/>
      <c r="F148" s="27"/>
      <c r="G148" s="27"/>
      <c r="H148" s="27"/>
      <c r="I148" s="27"/>
      <c r="J148" s="27"/>
      <c r="K148" s="27"/>
      <c r="L148" s="27"/>
      <c r="M148" s="27"/>
      <c r="N148" s="27"/>
      <c r="O148" s="27"/>
      <c r="P148" s="27"/>
      <c r="Q148" s="27"/>
      <c r="R148" s="27"/>
      <c r="S148" s="27"/>
      <c r="T148" s="27"/>
      <c r="U148" s="27"/>
      <c r="V148" s="27"/>
      <c r="W148" s="27"/>
      <c r="X148" s="27"/>
    </row>
    <row r="149" spans="1:24" ht="12.9" customHeight="1">
      <c r="A149" s="27" t="s">
        <v>599</v>
      </c>
      <c r="B149" s="27"/>
      <c r="C149" s="27"/>
      <c r="D149" s="27"/>
      <c r="E149" s="27"/>
      <c r="F149" s="27"/>
      <c r="G149" s="27"/>
      <c r="H149" s="27"/>
      <c r="I149" s="27"/>
      <c r="J149" s="27"/>
      <c r="K149" s="27"/>
      <c r="L149" s="27"/>
      <c r="M149" s="27"/>
      <c r="N149" s="27"/>
      <c r="O149" s="27"/>
      <c r="P149" s="27"/>
      <c r="Q149" s="27"/>
      <c r="R149" s="27"/>
      <c r="S149" s="27"/>
      <c r="T149" s="27"/>
      <c r="U149" s="27"/>
      <c r="V149" s="27"/>
      <c r="W149" s="27"/>
      <c r="X149" s="27" t="s">
        <v>703</v>
      </c>
    </row>
    <row r="150" spans="1:24" ht="12.9" customHeight="1">
      <c r="A150" s="29">
        <f>+A9</f>
        <v>42004</v>
      </c>
      <c r="B150" s="27"/>
      <c r="C150" s="27"/>
      <c r="D150" s="27"/>
      <c r="E150" s="27"/>
      <c r="F150" s="27"/>
      <c r="G150" s="27"/>
      <c r="H150" s="27"/>
      <c r="I150" s="27"/>
      <c r="J150" s="27"/>
      <c r="K150" s="27"/>
      <c r="L150" s="27"/>
      <c r="M150" s="27"/>
      <c r="N150" s="27"/>
      <c r="O150" s="27"/>
      <c r="P150" s="27"/>
      <c r="Q150" s="27"/>
      <c r="R150" s="27"/>
      <c r="S150" s="27"/>
      <c r="T150" s="27"/>
      <c r="U150" s="27"/>
      <c r="V150" s="27"/>
      <c r="W150" s="27"/>
      <c r="X150" s="27"/>
    </row>
    <row r="151" spans="1:24" ht="12.9" customHeight="1">
      <c r="A151" s="30"/>
      <c r="B151" s="30"/>
      <c r="C151" s="30"/>
      <c r="D151" s="30"/>
      <c r="E151" s="30"/>
      <c r="F151" s="34"/>
      <c r="G151" s="30"/>
      <c r="H151" s="34"/>
      <c r="I151" s="30"/>
      <c r="J151" s="34"/>
      <c r="K151" s="30"/>
      <c r="L151" s="30"/>
      <c r="M151" s="30"/>
      <c r="N151" s="36"/>
      <c r="O151" s="30"/>
      <c r="P151" s="34"/>
      <c r="Q151" s="30"/>
      <c r="R151" s="34"/>
      <c r="S151" s="30"/>
      <c r="T151" s="34"/>
      <c r="U151" s="30"/>
      <c r="V151" s="34"/>
      <c r="W151" s="30"/>
      <c r="X151" s="34"/>
    </row>
    <row r="152" spans="1:24" ht="12.9" customHeight="1">
      <c r="A152" s="30"/>
      <c r="B152" s="30"/>
      <c r="C152" s="30"/>
      <c r="D152" s="31" t="s">
        <v>602</v>
      </c>
      <c r="E152" s="30"/>
      <c r="F152" s="32"/>
      <c r="G152" s="32"/>
      <c r="H152" s="32"/>
      <c r="I152" s="32"/>
      <c r="J152" s="32"/>
      <c r="K152" s="32"/>
      <c r="L152" s="32"/>
      <c r="M152" s="30"/>
      <c r="N152" s="32" t="s">
        <v>603</v>
      </c>
      <c r="O152" s="32"/>
      <c r="P152" s="32"/>
      <c r="Q152" s="32"/>
      <c r="R152" s="32"/>
      <c r="S152" s="32"/>
      <c r="T152" s="32"/>
      <c r="U152" s="32"/>
      <c r="V152" s="32"/>
      <c r="X152" s="93" t="s">
        <v>604</v>
      </c>
    </row>
    <row r="153" spans="1:24" ht="12.9" customHeight="1">
      <c r="A153" s="30"/>
      <c r="B153" s="30"/>
      <c r="C153" s="30"/>
      <c r="D153" s="33" t="s">
        <v>453</v>
      </c>
      <c r="E153" s="30"/>
      <c r="F153" s="33" t="s">
        <v>400</v>
      </c>
      <c r="G153" s="30"/>
      <c r="H153" s="33" t="s">
        <v>401</v>
      </c>
      <c r="I153" s="30"/>
      <c r="J153" s="33" t="s">
        <v>605</v>
      </c>
      <c r="K153" s="30"/>
      <c r="L153" s="33" t="s">
        <v>400</v>
      </c>
      <c r="M153" s="30"/>
      <c r="N153" s="33"/>
      <c r="O153" s="30"/>
      <c r="P153" s="33" t="s">
        <v>400</v>
      </c>
      <c r="Q153" s="30"/>
      <c r="R153" s="33" t="s">
        <v>401</v>
      </c>
      <c r="S153" s="30"/>
      <c r="T153" s="33" t="s">
        <v>605</v>
      </c>
      <c r="U153" s="30"/>
      <c r="V153" s="33" t="s">
        <v>400</v>
      </c>
      <c r="W153" s="30"/>
      <c r="X153" s="33" t="str">
        <f>+X12</f>
        <v xml:space="preserve"> 12/31/14</v>
      </c>
    </row>
    <row r="154" spans="1:24" ht="12.9" customHeight="1">
      <c r="A154" s="28" t="s">
        <v>895</v>
      </c>
    </row>
    <row r="155" spans="1:24" ht="12.9" customHeight="1">
      <c r="A155" s="30"/>
      <c r="B155" s="41" t="s">
        <v>896</v>
      </c>
      <c r="C155" s="30"/>
      <c r="D155" s="31">
        <v>2014</v>
      </c>
      <c r="E155" s="30"/>
      <c r="F155" s="34">
        <v>0</v>
      </c>
      <c r="G155" s="30"/>
      <c r="H155" s="303">
        <v>1233820.6299999999</v>
      </c>
      <c r="I155" s="30"/>
      <c r="J155" s="34"/>
      <c r="K155" s="30"/>
      <c r="L155" s="303">
        <f t="shared" ref="L155:L168" si="14">F155+H155-J155</f>
        <v>1233820.6299999999</v>
      </c>
      <c r="M155" s="34"/>
      <c r="N155" s="304">
        <v>0</v>
      </c>
      <c r="O155" s="30"/>
      <c r="P155" s="34">
        <v>0</v>
      </c>
      <c r="Q155" s="30"/>
      <c r="R155" s="303">
        <v>758344.02</v>
      </c>
      <c r="S155" s="30"/>
      <c r="T155" s="34"/>
      <c r="U155" s="30"/>
      <c r="V155" s="34">
        <f>+R155</f>
        <v>758344.02</v>
      </c>
      <c r="W155" s="34"/>
      <c r="X155" s="303">
        <f t="shared" ref="X155:X169" si="15">ROUND(+L155-V155,2)</f>
        <v>475476.61</v>
      </c>
    </row>
    <row r="156" spans="1:24" ht="12.9" customHeight="1">
      <c r="A156" s="30"/>
      <c r="B156" s="41" t="s">
        <v>896</v>
      </c>
      <c r="C156" s="30"/>
      <c r="D156" s="31">
        <v>2014</v>
      </c>
      <c r="E156" s="30"/>
      <c r="F156" s="34">
        <v>0</v>
      </c>
      <c r="G156" s="30"/>
      <c r="H156" s="34"/>
      <c r="I156" s="30"/>
      <c r="J156" s="34"/>
      <c r="K156" s="30"/>
      <c r="L156" s="34">
        <f t="shared" si="14"/>
        <v>0</v>
      </c>
      <c r="M156" s="34"/>
      <c r="N156" s="304">
        <v>6.6699999999999995E-2</v>
      </c>
      <c r="O156" s="30"/>
      <c r="P156" s="34">
        <v>0</v>
      </c>
      <c r="Q156" s="30"/>
      <c r="R156" s="303">
        <f>+R155*N156</f>
        <v>50581.546133999997</v>
      </c>
      <c r="S156" s="30"/>
      <c r="T156" s="34"/>
      <c r="U156" s="30"/>
      <c r="V156" s="34">
        <f>+R156</f>
        <v>50581.546133999997</v>
      </c>
      <c r="W156" s="34"/>
      <c r="X156" s="303">
        <f t="shared" si="15"/>
        <v>-50581.55</v>
      </c>
    </row>
    <row r="157" spans="1:24" ht="12.9" customHeight="1">
      <c r="A157" s="30"/>
      <c r="B157" s="38" t="s">
        <v>696</v>
      </c>
      <c r="C157" s="30"/>
      <c r="D157" s="31" t="s">
        <v>697</v>
      </c>
      <c r="E157" s="30"/>
      <c r="F157" s="34">
        <v>831268.74</v>
      </c>
      <c r="G157" s="30"/>
      <c r="H157" s="34"/>
      <c r="I157" s="30"/>
      <c r="J157" s="34">
        <v>100000</v>
      </c>
      <c r="K157" s="30"/>
      <c r="L157" s="34">
        <f>F157+H157-J157</f>
        <v>731268.74</v>
      </c>
      <c r="M157" s="34"/>
      <c r="N157" s="35">
        <v>3.3300000000000003E-2</v>
      </c>
      <c r="O157" s="30"/>
      <c r="P157" s="34">
        <v>831268.74</v>
      </c>
      <c r="Q157" s="30"/>
      <c r="R157" s="34">
        <v>0</v>
      </c>
      <c r="S157" s="30"/>
      <c r="T157" s="34">
        <v>100000</v>
      </c>
      <c r="U157" s="30"/>
      <c r="V157" s="34">
        <f t="shared" ref="V157:V169" si="16">ROUND(+P157+R157-T157,2)</f>
        <v>731268.74</v>
      </c>
      <c r="W157" s="34"/>
      <c r="X157" s="34">
        <f t="shared" si="15"/>
        <v>0</v>
      </c>
    </row>
    <row r="158" spans="1:24" ht="12.9" customHeight="1">
      <c r="A158" s="30"/>
      <c r="B158" s="38" t="s">
        <v>698</v>
      </c>
      <c r="C158" s="30"/>
      <c r="D158" s="31" t="s">
        <v>697</v>
      </c>
      <c r="E158" s="30"/>
      <c r="F158" s="34">
        <v>1324683</v>
      </c>
      <c r="G158" s="30"/>
      <c r="H158" s="34"/>
      <c r="I158" s="30"/>
      <c r="J158" s="34"/>
      <c r="K158" s="30"/>
      <c r="L158" s="34">
        <f>F158+H158-J158</f>
        <v>1324683</v>
      </c>
      <c r="M158" s="34"/>
      <c r="N158" s="35">
        <v>3.3300000000000003E-2</v>
      </c>
      <c r="O158" s="30"/>
      <c r="P158" s="34">
        <v>1238756.5900000001</v>
      </c>
      <c r="Q158" s="30"/>
      <c r="R158" s="34">
        <f>ROUND(IF(L158-P158=0,0,IF(L158-P158&lt;L158*N158,+L158-P158,L158*N158)),2)</f>
        <v>44111.94</v>
      </c>
      <c r="S158" s="30"/>
      <c r="T158" s="34"/>
      <c r="U158" s="30"/>
      <c r="V158" s="34">
        <f t="shared" si="16"/>
        <v>1282868.53</v>
      </c>
      <c r="W158" s="34"/>
      <c r="X158" s="34">
        <f t="shared" si="15"/>
        <v>41814.47</v>
      </c>
    </row>
    <row r="159" spans="1:24" ht="12.9" customHeight="1">
      <c r="A159" s="30"/>
      <c r="B159" s="38" t="s">
        <v>699</v>
      </c>
      <c r="C159" s="30"/>
      <c r="D159" s="31" t="s">
        <v>681</v>
      </c>
      <c r="E159" s="30"/>
      <c r="F159" s="34">
        <v>790642.78</v>
      </c>
      <c r="G159" s="34"/>
      <c r="H159" s="34"/>
      <c r="I159" s="34"/>
      <c r="J159" s="34"/>
      <c r="K159" s="34"/>
      <c r="L159" s="34">
        <f t="shared" si="14"/>
        <v>790642.78</v>
      </c>
      <c r="M159" s="30"/>
      <c r="N159" s="35">
        <v>3.3300000000000003E-2</v>
      </c>
      <c r="O159" s="30"/>
      <c r="P159" s="34">
        <v>562349.01</v>
      </c>
      <c r="Q159" s="34"/>
      <c r="R159" s="34">
        <f t="shared" ref="R159:R169" si="17">ROUND(IF(L159-P159=0,0,IF(L159-P159&lt;L159*N159,+L159-P159,L159*N159)),2)</f>
        <v>26328.400000000001</v>
      </c>
      <c r="S159" s="34"/>
      <c r="T159" s="34"/>
      <c r="U159" s="34"/>
      <c r="V159" s="34">
        <f t="shared" si="16"/>
        <v>588677.41</v>
      </c>
      <c r="W159" s="34"/>
      <c r="X159" s="34">
        <f t="shared" si="15"/>
        <v>201965.37</v>
      </c>
    </row>
    <row r="160" spans="1:24" ht="12.9" customHeight="1">
      <c r="A160" s="30"/>
      <c r="B160" s="38" t="s">
        <v>721</v>
      </c>
      <c r="C160" s="30"/>
      <c r="D160" s="31" t="s">
        <v>640</v>
      </c>
      <c r="E160" s="30"/>
      <c r="F160" s="34">
        <v>252925.56</v>
      </c>
      <c r="G160" s="34"/>
      <c r="H160" s="34"/>
      <c r="I160" s="34"/>
      <c r="J160" s="34"/>
      <c r="K160" s="34"/>
      <c r="L160" s="34">
        <f t="shared" si="14"/>
        <v>252925.56</v>
      </c>
      <c r="M160" s="30"/>
      <c r="N160" s="35">
        <v>2.5000000000000001E-2</v>
      </c>
      <c r="O160" s="30"/>
      <c r="P160" s="34">
        <v>107493.38</v>
      </c>
      <c r="Q160" s="34"/>
      <c r="R160" s="34">
        <f t="shared" si="17"/>
        <v>6323.14</v>
      </c>
      <c r="S160" s="34"/>
      <c r="T160" s="34"/>
      <c r="U160" s="34"/>
      <c r="V160" s="34">
        <f t="shared" si="16"/>
        <v>113816.52</v>
      </c>
      <c r="W160" s="34"/>
      <c r="X160" s="34">
        <f t="shared" si="15"/>
        <v>139109.04</v>
      </c>
    </row>
    <row r="161" spans="1:28" ht="12.9" customHeight="1">
      <c r="A161" s="30"/>
      <c r="B161" s="38" t="s">
        <v>722</v>
      </c>
      <c r="C161" s="30"/>
      <c r="D161" s="31">
        <v>1998</v>
      </c>
      <c r="E161" s="30"/>
      <c r="F161" s="34">
        <v>399260.97</v>
      </c>
      <c r="G161" s="34"/>
      <c r="H161" s="34"/>
      <c r="I161" s="34"/>
      <c r="J161" s="34"/>
      <c r="K161" s="34"/>
      <c r="L161" s="34">
        <f t="shared" si="14"/>
        <v>399260.97</v>
      </c>
      <c r="M161" s="30"/>
      <c r="N161" s="35">
        <v>2.5000000000000001E-2</v>
      </c>
      <c r="O161" s="30"/>
      <c r="P161" s="34">
        <v>149722.79999999999</v>
      </c>
      <c r="Q161" s="34"/>
      <c r="R161" s="34">
        <f t="shared" si="17"/>
        <v>9981.52</v>
      </c>
      <c r="S161" s="34"/>
      <c r="T161" s="34"/>
      <c r="U161" s="34"/>
      <c r="V161" s="34">
        <f t="shared" si="16"/>
        <v>159704.32000000001</v>
      </c>
      <c r="W161" s="34"/>
      <c r="X161" s="34">
        <f t="shared" si="15"/>
        <v>239556.65</v>
      </c>
    </row>
    <row r="162" spans="1:28" ht="12.9" customHeight="1">
      <c r="A162" s="30"/>
      <c r="B162" s="38" t="s">
        <v>723</v>
      </c>
      <c r="C162" s="30"/>
      <c r="D162" s="31">
        <v>1999</v>
      </c>
      <c r="E162" s="30"/>
      <c r="F162" s="34">
        <v>272043.65999999997</v>
      </c>
      <c r="G162" s="34"/>
      <c r="H162" s="34"/>
      <c r="I162" s="34"/>
      <c r="J162" s="34"/>
      <c r="K162" s="34"/>
      <c r="L162" s="34">
        <f t="shared" si="14"/>
        <v>272043.65999999997</v>
      </c>
      <c r="M162" s="30"/>
      <c r="N162" s="35">
        <v>2.5000000000000001E-2</v>
      </c>
      <c r="O162" s="30"/>
      <c r="P162" s="34">
        <v>95215.26</v>
      </c>
      <c r="Q162" s="34"/>
      <c r="R162" s="34">
        <f t="shared" si="17"/>
        <v>6801.09</v>
      </c>
      <c r="S162" s="34"/>
      <c r="T162" s="34"/>
      <c r="U162" s="34"/>
      <c r="V162" s="34">
        <f t="shared" si="16"/>
        <v>102016.35</v>
      </c>
      <c r="W162" s="34"/>
      <c r="X162" s="34">
        <f t="shared" si="15"/>
        <v>170027.31</v>
      </c>
    </row>
    <row r="163" spans="1:28" ht="12.9" customHeight="1">
      <c r="A163" s="30"/>
      <c r="B163" s="38" t="s">
        <v>724</v>
      </c>
      <c r="C163" s="30"/>
      <c r="D163" s="31">
        <v>2000</v>
      </c>
      <c r="E163" s="30"/>
      <c r="F163" s="34">
        <v>487541.24</v>
      </c>
      <c r="G163" s="34"/>
      <c r="H163" s="34"/>
      <c r="I163" s="34"/>
      <c r="J163" s="34"/>
      <c r="K163" s="34"/>
      <c r="L163" s="34">
        <f t="shared" si="14"/>
        <v>487541.24</v>
      </c>
      <c r="M163" s="30"/>
      <c r="N163" s="35">
        <v>2.5000000000000001E-2</v>
      </c>
      <c r="O163" s="30"/>
      <c r="P163" s="34">
        <v>158450.89000000001</v>
      </c>
      <c r="Q163" s="34"/>
      <c r="R163" s="34">
        <f t="shared" si="17"/>
        <v>12188.53</v>
      </c>
      <c r="S163" s="34"/>
      <c r="T163" s="34"/>
      <c r="U163" s="34"/>
      <c r="V163" s="34">
        <f t="shared" si="16"/>
        <v>170639.42</v>
      </c>
      <c r="W163" s="34"/>
      <c r="X163" s="34">
        <f t="shared" si="15"/>
        <v>316901.82</v>
      </c>
    </row>
    <row r="164" spans="1:28" ht="12.9" customHeight="1">
      <c r="A164" s="30"/>
      <c r="B164" s="38" t="s">
        <v>725</v>
      </c>
      <c r="C164" s="30"/>
      <c r="D164" s="31">
        <v>2001</v>
      </c>
      <c r="E164" s="30"/>
      <c r="F164" s="34">
        <v>229361.31</v>
      </c>
      <c r="G164" s="34"/>
      <c r="H164" s="34"/>
      <c r="I164" s="34"/>
      <c r="J164" s="34"/>
      <c r="K164" s="34"/>
      <c r="L164" s="34">
        <f t="shared" si="14"/>
        <v>229361.31</v>
      </c>
      <c r="M164" s="30"/>
      <c r="N164" s="35">
        <v>2.5000000000000001E-2</v>
      </c>
      <c r="O164" s="30"/>
      <c r="P164" s="34">
        <v>68808.36</v>
      </c>
      <c r="Q164" s="34"/>
      <c r="R164" s="34">
        <f t="shared" si="17"/>
        <v>5734.03</v>
      </c>
      <c r="S164" s="34"/>
      <c r="T164" s="34"/>
      <c r="U164" s="34"/>
      <c r="V164" s="34">
        <f t="shared" si="16"/>
        <v>74542.39</v>
      </c>
      <c r="W164" s="34"/>
      <c r="X164" s="34">
        <f t="shared" si="15"/>
        <v>154818.92000000001</v>
      </c>
    </row>
    <row r="165" spans="1:28" ht="12.9" customHeight="1">
      <c r="A165" s="30"/>
      <c r="B165" s="38" t="s">
        <v>700</v>
      </c>
      <c r="C165" s="30"/>
      <c r="D165" s="31">
        <v>2002</v>
      </c>
      <c r="E165" s="30"/>
      <c r="F165" s="34">
        <v>20384.78</v>
      </c>
      <c r="G165" s="34"/>
      <c r="H165" s="34"/>
      <c r="I165" s="34"/>
      <c r="J165" s="34"/>
      <c r="K165" s="34"/>
      <c r="L165" s="34">
        <f t="shared" si="14"/>
        <v>20384.78</v>
      </c>
      <c r="M165" s="30"/>
      <c r="N165" s="35">
        <v>2.5000000000000001E-2</v>
      </c>
      <c r="O165" s="30"/>
      <c r="P165" s="34">
        <v>5605.82</v>
      </c>
      <c r="Q165" s="34"/>
      <c r="R165" s="34">
        <f t="shared" si="17"/>
        <v>509.62</v>
      </c>
      <c r="S165" s="34"/>
      <c r="T165" s="34"/>
      <c r="U165" s="34"/>
      <c r="V165" s="34">
        <f t="shared" si="16"/>
        <v>6115.44</v>
      </c>
      <c r="W165" s="34"/>
      <c r="X165" s="34">
        <f t="shared" si="15"/>
        <v>14269.34</v>
      </c>
    </row>
    <row r="166" spans="1:28" ht="12.9" customHeight="1">
      <c r="A166" s="30"/>
      <c r="B166" s="38" t="s">
        <v>701</v>
      </c>
      <c r="C166" s="30"/>
      <c r="D166" s="31">
        <v>2002</v>
      </c>
      <c r="E166" s="30"/>
      <c r="F166" s="34">
        <v>130545.64</v>
      </c>
      <c r="G166" s="34"/>
      <c r="H166" s="34"/>
      <c r="I166" s="34"/>
      <c r="J166" s="34"/>
      <c r="K166" s="34"/>
      <c r="L166" s="34">
        <f t="shared" si="14"/>
        <v>130545.64</v>
      </c>
      <c r="M166" s="30"/>
      <c r="N166" s="35">
        <v>2.5000000000000001E-2</v>
      </c>
      <c r="O166" s="30"/>
      <c r="P166" s="34">
        <v>35900.04</v>
      </c>
      <c r="Q166" s="34"/>
      <c r="R166" s="34">
        <f t="shared" si="17"/>
        <v>3263.64</v>
      </c>
      <c r="S166" s="34"/>
      <c r="T166" s="34"/>
      <c r="U166" s="34"/>
      <c r="V166" s="34">
        <f t="shared" si="16"/>
        <v>39163.68</v>
      </c>
      <c r="W166" s="34"/>
      <c r="X166" s="34">
        <f t="shared" si="15"/>
        <v>91381.96</v>
      </c>
    </row>
    <row r="167" spans="1:28" ht="12.9" customHeight="1">
      <c r="A167" s="30"/>
      <c r="B167" s="38" t="s">
        <v>702</v>
      </c>
      <c r="C167" s="30"/>
      <c r="D167" s="31">
        <v>2005</v>
      </c>
      <c r="E167" s="30"/>
      <c r="F167" s="34">
        <v>180705.04</v>
      </c>
      <c r="G167" s="34"/>
      <c r="H167" s="34"/>
      <c r="I167" s="34"/>
      <c r="J167" s="34"/>
      <c r="K167" s="34"/>
      <c r="L167" s="34">
        <f t="shared" si="14"/>
        <v>180705.04</v>
      </c>
      <c r="M167" s="30"/>
      <c r="N167" s="35">
        <v>2.5000000000000001E-2</v>
      </c>
      <c r="O167" s="30"/>
      <c r="P167" s="34">
        <v>36141.040000000001</v>
      </c>
      <c r="Q167" s="34"/>
      <c r="R167" s="34">
        <f t="shared" si="17"/>
        <v>4517.63</v>
      </c>
      <c r="S167" s="34"/>
      <c r="T167" s="34"/>
      <c r="U167" s="34"/>
      <c r="V167" s="34">
        <f t="shared" si="16"/>
        <v>40658.67</v>
      </c>
      <c r="W167" s="34"/>
      <c r="X167" s="34">
        <f t="shared" si="15"/>
        <v>140046.37</v>
      </c>
    </row>
    <row r="168" spans="1:28" ht="12.9" customHeight="1">
      <c r="A168" s="30"/>
      <c r="B168" s="38" t="s">
        <v>726</v>
      </c>
      <c r="C168" s="30"/>
      <c r="D168" s="31">
        <v>2002</v>
      </c>
      <c r="E168" s="30"/>
      <c r="F168" s="34">
        <v>352281.11</v>
      </c>
      <c r="G168" s="34"/>
      <c r="H168" s="34"/>
      <c r="I168" s="34"/>
      <c r="J168" s="70"/>
      <c r="K168" s="70"/>
      <c r="L168" s="70">
        <f t="shared" si="14"/>
        <v>352281.11</v>
      </c>
      <c r="M168" s="65"/>
      <c r="N168" s="67">
        <v>2.5000000000000001E-2</v>
      </c>
      <c r="O168" s="65"/>
      <c r="P168" s="70">
        <v>96877.33</v>
      </c>
      <c r="Q168" s="70"/>
      <c r="R168" s="70">
        <f t="shared" si="17"/>
        <v>8807.0300000000007</v>
      </c>
      <c r="S168" s="70"/>
      <c r="T168" s="70"/>
      <c r="U168" s="70"/>
      <c r="V168" s="70">
        <f t="shared" si="16"/>
        <v>105684.36</v>
      </c>
      <c r="W168" s="70"/>
      <c r="X168" s="70">
        <f t="shared" si="15"/>
        <v>246596.75</v>
      </c>
      <c r="Y168" s="68"/>
      <c r="Z168" s="68"/>
    </row>
    <row r="169" spans="1:28" ht="12.9" customHeight="1">
      <c r="A169" s="30"/>
      <c r="B169" s="38" t="s">
        <v>727</v>
      </c>
      <c r="C169" s="30"/>
      <c r="D169" s="31">
        <v>2003</v>
      </c>
      <c r="E169" s="30"/>
      <c r="F169" s="34">
        <v>344145.11</v>
      </c>
      <c r="G169" s="34"/>
      <c r="H169" s="34"/>
      <c r="I169" s="34"/>
      <c r="J169" s="70"/>
      <c r="K169" s="70"/>
      <c r="L169" s="70">
        <f>F169+H169-J169</f>
        <v>344145.11</v>
      </c>
      <c r="M169" s="65"/>
      <c r="N169" s="67">
        <v>2.5000000000000001E-2</v>
      </c>
      <c r="O169" s="65"/>
      <c r="P169" s="70">
        <v>86036.3</v>
      </c>
      <c r="Q169" s="70"/>
      <c r="R169" s="70">
        <f t="shared" si="17"/>
        <v>8603.6299999999992</v>
      </c>
      <c r="S169" s="70"/>
      <c r="T169" s="70"/>
      <c r="U169" s="70"/>
      <c r="V169" s="70">
        <f t="shared" si="16"/>
        <v>94639.93</v>
      </c>
      <c r="W169" s="70"/>
      <c r="X169" s="70">
        <f t="shared" si="15"/>
        <v>249505.18</v>
      </c>
      <c r="Y169" s="68"/>
      <c r="Z169" s="68"/>
    </row>
    <row r="170" spans="1:28" ht="12.9" customHeight="1">
      <c r="A170" s="30"/>
      <c r="B170" s="38" t="s">
        <v>897</v>
      </c>
      <c r="C170" s="30"/>
      <c r="D170" s="66"/>
      <c r="E170" s="65"/>
      <c r="F170" s="70"/>
      <c r="G170" s="70"/>
      <c r="H170" s="70"/>
      <c r="I170" s="70"/>
      <c r="J170" s="70"/>
      <c r="K170" s="70"/>
      <c r="L170" s="70"/>
      <c r="M170" s="65"/>
      <c r="N170" s="67"/>
      <c r="O170" s="65"/>
      <c r="P170" s="70"/>
      <c r="Q170" s="70"/>
      <c r="R170" s="70"/>
      <c r="S170" s="70"/>
      <c r="T170" s="70"/>
      <c r="U170" s="70"/>
      <c r="V170" s="70"/>
      <c r="W170" s="70"/>
      <c r="X170" s="70"/>
      <c r="Y170" s="68"/>
      <c r="Z170" s="107"/>
    </row>
    <row r="171" spans="1:28" ht="12.9" customHeight="1">
      <c r="A171" s="30"/>
      <c r="B171" s="44" t="s">
        <v>766</v>
      </c>
      <c r="C171" s="30"/>
      <c r="D171" s="305">
        <v>2004</v>
      </c>
      <c r="E171" s="306"/>
      <c r="F171" s="307">
        <v>114669</v>
      </c>
      <c r="G171" s="307"/>
      <c r="H171" s="307"/>
      <c r="I171" s="307"/>
      <c r="J171" s="307"/>
      <c r="K171" s="307"/>
      <c r="L171" s="307">
        <f>F171+H171-J171</f>
        <v>114669</v>
      </c>
      <c r="M171" s="306"/>
      <c r="N171" s="308">
        <v>2.5000000000000001E-2</v>
      </c>
      <c r="O171" s="306"/>
      <c r="P171" s="309">
        <v>25800.57</v>
      </c>
      <c r="Q171" s="307"/>
      <c r="R171" s="307">
        <v>2866.73</v>
      </c>
      <c r="S171" s="307"/>
      <c r="T171" s="307"/>
      <c r="U171" s="307"/>
      <c r="V171" s="307">
        <f t="shared" ref="V171:V207" si="18">ROUND(+P171+R171-T171,2)</f>
        <v>28667.3</v>
      </c>
      <c r="W171" s="307"/>
      <c r="X171" s="307">
        <f t="shared" ref="X171:X207" si="19">ROUND(+L171-V171,2)</f>
        <v>86001.7</v>
      </c>
      <c r="Y171" s="68"/>
      <c r="Z171" s="107">
        <f>+SUM(F171:F173)</f>
        <v>382978.41</v>
      </c>
      <c r="AA171" s="106"/>
      <c r="AB171" s="106"/>
    </row>
    <row r="172" spans="1:28" ht="12.9" customHeight="1">
      <c r="A172" s="30"/>
      <c r="B172" s="38" t="s">
        <v>767</v>
      </c>
      <c r="C172" s="30"/>
      <c r="D172" s="305">
        <v>2004</v>
      </c>
      <c r="E172" s="306"/>
      <c r="F172" s="307">
        <v>210261.40999999997</v>
      </c>
      <c r="G172" s="307"/>
      <c r="H172" s="307"/>
      <c r="I172" s="307"/>
      <c r="J172" s="307"/>
      <c r="K172" s="307"/>
      <c r="L172" s="307">
        <f>F172+H172-J172</f>
        <v>210261.40999999997</v>
      </c>
      <c r="M172" s="306"/>
      <c r="N172" s="308">
        <f>+'[10]Dep Sched 2011 from Att O'!N187</f>
        <v>2.5000000000000001E-2</v>
      </c>
      <c r="O172" s="306"/>
      <c r="P172" s="307">
        <v>47398.97</v>
      </c>
      <c r="Q172" s="307"/>
      <c r="R172" s="307">
        <f t="shared" ref="R172:R207" si="20">ROUND(IF(L172-P172=0,0,IF(L172-P172&lt;L172*N172,+L172-P172,L172*N172)),2)</f>
        <v>5256.54</v>
      </c>
      <c r="S172" s="307"/>
      <c r="T172" s="307"/>
      <c r="U172" s="307"/>
      <c r="V172" s="307">
        <f t="shared" si="18"/>
        <v>52655.51</v>
      </c>
      <c r="W172" s="307"/>
      <c r="X172" s="307">
        <f t="shared" si="19"/>
        <v>157605.9</v>
      </c>
      <c r="Y172" s="68"/>
      <c r="Z172" s="107"/>
      <c r="AB172" s="106"/>
    </row>
    <row r="173" spans="1:28" ht="12.9" customHeight="1">
      <c r="A173" s="30"/>
      <c r="B173" s="40" t="s">
        <v>768</v>
      </c>
      <c r="C173" s="68"/>
      <c r="D173" s="305">
        <v>2004</v>
      </c>
      <c r="E173" s="310"/>
      <c r="F173" s="307">
        <v>58048</v>
      </c>
      <c r="G173" s="310"/>
      <c r="H173" s="310"/>
      <c r="I173" s="310"/>
      <c r="J173" s="310"/>
      <c r="K173" s="310"/>
      <c r="L173" s="307">
        <v>58048</v>
      </c>
      <c r="M173" s="310"/>
      <c r="N173" s="308">
        <v>2.5000000000000001E-2</v>
      </c>
      <c r="O173" s="306"/>
      <c r="P173" s="307">
        <v>12970.62</v>
      </c>
      <c r="Q173" s="307"/>
      <c r="R173" s="307">
        <f t="shared" si="20"/>
        <v>1451.2</v>
      </c>
      <c r="S173" s="307"/>
      <c r="T173" s="307"/>
      <c r="U173" s="307"/>
      <c r="V173" s="307">
        <f t="shared" si="18"/>
        <v>14421.82</v>
      </c>
      <c r="W173" s="307"/>
      <c r="X173" s="307">
        <f t="shared" si="19"/>
        <v>43626.18</v>
      </c>
      <c r="Y173" s="68"/>
      <c r="Z173" s="68"/>
    </row>
    <row r="174" spans="1:28" ht="12.9" customHeight="1">
      <c r="A174" s="30"/>
      <c r="B174" s="38" t="s">
        <v>728</v>
      </c>
      <c r="C174" s="30"/>
      <c r="D174" s="31">
        <v>2005</v>
      </c>
      <c r="E174" s="30"/>
      <c r="F174" s="34">
        <v>488592.31</v>
      </c>
      <c r="G174" s="30"/>
      <c r="H174" s="34"/>
      <c r="I174" s="30"/>
      <c r="J174" s="70"/>
      <c r="K174" s="65"/>
      <c r="L174" s="70">
        <f t="shared" ref="L174:L207" si="21">F174+H174-J174</f>
        <v>488592.31</v>
      </c>
      <c r="M174" s="65"/>
      <c r="N174" s="67">
        <v>2.5000000000000001E-2</v>
      </c>
      <c r="O174" s="65"/>
      <c r="P174" s="70">
        <v>97718.48</v>
      </c>
      <c r="Q174" s="65"/>
      <c r="R174" s="70">
        <f t="shared" si="20"/>
        <v>12214.81</v>
      </c>
      <c r="S174" s="65"/>
      <c r="T174" s="65"/>
      <c r="U174" s="65"/>
      <c r="V174" s="70">
        <f t="shared" si="18"/>
        <v>109933.29</v>
      </c>
      <c r="W174" s="65"/>
      <c r="X174" s="70">
        <f t="shared" si="19"/>
        <v>378659.02</v>
      </c>
      <c r="Y174" s="68"/>
      <c r="Z174" s="68"/>
    </row>
    <row r="175" spans="1:28" ht="12.9" customHeight="1">
      <c r="A175" s="30"/>
      <c r="B175" s="38" t="s">
        <v>729</v>
      </c>
      <c r="C175" s="30"/>
      <c r="D175" s="31">
        <v>2006</v>
      </c>
      <c r="E175" s="30"/>
      <c r="F175" s="34">
        <v>504681.06</v>
      </c>
      <c r="G175" s="30"/>
      <c r="H175" s="34"/>
      <c r="I175" s="30"/>
      <c r="J175" s="34"/>
      <c r="K175" s="30"/>
      <c r="L175" s="34">
        <f t="shared" si="21"/>
        <v>504681.06</v>
      </c>
      <c r="M175" s="30"/>
      <c r="N175" s="35">
        <v>2.5000000000000001E-2</v>
      </c>
      <c r="O175" s="30"/>
      <c r="P175" s="34">
        <v>88319.21</v>
      </c>
      <c r="Q175" s="30"/>
      <c r="R175" s="34">
        <f t="shared" si="20"/>
        <v>12617.03</v>
      </c>
      <c r="S175" s="30"/>
      <c r="T175" s="30"/>
      <c r="U175" s="30"/>
      <c r="V175" s="34">
        <f t="shared" si="18"/>
        <v>100936.24</v>
      </c>
      <c r="W175" s="30"/>
      <c r="X175" s="34">
        <f t="shared" si="19"/>
        <v>403744.82</v>
      </c>
    </row>
    <row r="176" spans="1:28" ht="12.9" customHeight="1">
      <c r="A176" s="30"/>
      <c r="B176" s="38" t="s">
        <v>730</v>
      </c>
      <c r="C176" s="30"/>
      <c r="D176" s="31">
        <v>2007</v>
      </c>
      <c r="E176" s="30"/>
      <c r="F176" s="34">
        <v>687109.27</v>
      </c>
      <c r="G176" s="30"/>
      <c r="H176" s="34"/>
      <c r="I176" s="30"/>
      <c r="J176" s="34"/>
      <c r="K176" s="30"/>
      <c r="L176" s="34">
        <f t="shared" si="21"/>
        <v>687109.27</v>
      </c>
      <c r="M176" s="30"/>
      <c r="N176" s="35">
        <v>2.5000000000000001E-2</v>
      </c>
      <c r="O176" s="30"/>
      <c r="P176" s="34">
        <v>103066.38</v>
      </c>
      <c r="Q176" s="30"/>
      <c r="R176" s="34">
        <f t="shared" si="20"/>
        <v>17177.73</v>
      </c>
      <c r="S176" s="30"/>
      <c r="T176" s="30"/>
      <c r="U176" s="30"/>
      <c r="V176" s="34">
        <f t="shared" si="18"/>
        <v>120244.11</v>
      </c>
      <c r="W176" s="30"/>
      <c r="X176" s="34">
        <f t="shared" si="19"/>
        <v>566865.16</v>
      </c>
    </row>
    <row r="177" spans="1:26" ht="12.9" customHeight="1">
      <c r="A177" s="30"/>
      <c r="B177" s="38" t="s">
        <v>731</v>
      </c>
      <c r="C177" s="30"/>
      <c r="D177" s="31">
        <v>2008</v>
      </c>
      <c r="E177" s="30"/>
      <c r="F177" s="34">
        <v>420493.85</v>
      </c>
      <c r="G177" s="30"/>
      <c r="H177" s="34"/>
      <c r="I177" s="30"/>
      <c r="J177" s="34"/>
      <c r="K177" s="30"/>
      <c r="L177" s="34">
        <f t="shared" si="21"/>
        <v>420493.85</v>
      </c>
      <c r="M177" s="30"/>
      <c r="N177" s="35">
        <v>2.5000000000000001E-2</v>
      </c>
      <c r="O177" s="30"/>
      <c r="P177" s="34">
        <v>52561.75</v>
      </c>
      <c r="Q177" s="30"/>
      <c r="R177" s="34">
        <f t="shared" si="20"/>
        <v>10512.35</v>
      </c>
      <c r="S177" s="30"/>
      <c r="T177" s="30"/>
      <c r="U177" s="30"/>
      <c r="V177" s="34">
        <f t="shared" si="18"/>
        <v>63074.1</v>
      </c>
      <c r="W177" s="30"/>
      <c r="X177" s="34">
        <f t="shared" si="19"/>
        <v>357419.75</v>
      </c>
    </row>
    <row r="178" spans="1:26" ht="12.9" customHeight="1">
      <c r="A178" s="30"/>
      <c r="B178" s="38" t="s">
        <v>732</v>
      </c>
      <c r="C178" s="30"/>
      <c r="D178" s="31">
        <v>2009</v>
      </c>
      <c r="E178" s="30"/>
      <c r="F178" s="34">
        <v>372851.01</v>
      </c>
      <c r="G178" s="30"/>
      <c r="H178" s="34"/>
      <c r="I178" s="30"/>
      <c r="J178" s="34"/>
      <c r="K178" s="30"/>
      <c r="L178" s="34">
        <f t="shared" si="21"/>
        <v>372851.01</v>
      </c>
      <c r="M178" s="30"/>
      <c r="N178" s="35">
        <v>2.5000000000000001E-2</v>
      </c>
      <c r="O178" s="30"/>
      <c r="P178" s="34">
        <v>37285.120000000003</v>
      </c>
      <c r="Q178" s="30"/>
      <c r="R178" s="34">
        <f t="shared" si="20"/>
        <v>9321.2800000000007</v>
      </c>
      <c r="S178" s="30"/>
      <c r="T178" s="30"/>
      <c r="U178" s="30"/>
      <c r="V178" s="34">
        <f t="shared" si="18"/>
        <v>46606.400000000001</v>
      </c>
      <c r="W178" s="30"/>
      <c r="X178" s="34">
        <f t="shared" si="19"/>
        <v>326244.61</v>
      </c>
    </row>
    <row r="179" spans="1:26" ht="12.9" customHeight="1">
      <c r="A179" s="30"/>
      <c r="B179" s="38" t="s">
        <v>733</v>
      </c>
      <c r="C179" s="30"/>
      <c r="D179" s="31">
        <v>2010</v>
      </c>
      <c r="E179" s="30"/>
      <c r="F179" s="34">
        <v>417282.36</v>
      </c>
      <c r="G179" s="30"/>
      <c r="H179" s="34"/>
      <c r="I179" s="30"/>
      <c r="J179" s="34"/>
      <c r="K179" s="30"/>
      <c r="L179" s="34">
        <f t="shared" si="21"/>
        <v>417282.36</v>
      </c>
      <c r="M179" s="30"/>
      <c r="N179" s="35">
        <v>2.5000000000000001E-2</v>
      </c>
      <c r="O179" s="30"/>
      <c r="P179" s="34">
        <v>41728.239999999998</v>
      </c>
      <c r="Q179" s="30"/>
      <c r="R179" s="34">
        <f t="shared" si="20"/>
        <v>10432.06</v>
      </c>
      <c r="S179" s="30"/>
      <c r="T179" s="30"/>
      <c r="U179" s="30"/>
      <c r="V179" s="34">
        <f t="shared" si="18"/>
        <v>52160.3</v>
      </c>
      <c r="W179" s="30"/>
      <c r="X179" s="34">
        <f t="shared" si="19"/>
        <v>365122.06</v>
      </c>
    </row>
    <row r="180" spans="1:26" ht="12.9" customHeight="1">
      <c r="A180" s="30"/>
      <c r="B180" s="38" t="s">
        <v>734</v>
      </c>
      <c r="C180" s="30"/>
      <c r="D180" s="31">
        <v>2010</v>
      </c>
      <c r="E180" s="30"/>
      <c r="F180" s="34">
        <v>91407.03</v>
      </c>
      <c r="G180" s="30"/>
      <c r="H180" s="34"/>
      <c r="I180" s="30"/>
      <c r="J180" s="34"/>
      <c r="K180" s="30"/>
      <c r="L180" s="34">
        <f t="shared" si="21"/>
        <v>91407.03</v>
      </c>
      <c r="M180" s="30"/>
      <c r="N180" s="35">
        <v>2.5000000000000001E-2</v>
      </c>
      <c r="O180" s="30"/>
      <c r="P180" s="34">
        <v>9140.7199999999993</v>
      </c>
      <c r="Q180" s="30"/>
      <c r="R180" s="34">
        <f t="shared" si="20"/>
        <v>2285.1799999999998</v>
      </c>
      <c r="S180" s="30"/>
      <c r="T180" s="30"/>
      <c r="U180" s="30"/>
      <c r="V180" s="34">
        <f t="shared" si="18"/>
        <v>11425.9</v>
      </c>
      <c r="W180" s="30"/>
      <c r="X180" s="34">
        <f t="shared" si="19"/>
        <v>79981.13</v>
      </c>
    </row>
    <row r="181" spans="1:26" ht="12.9" customHeight="1">
      <c r="A181" s="30"/>
      <c r="B181" s="38" t="s">
        <v>735</v>
      </c>
      <c r="C181" s="30"/>
      <c r="D181" s="31">
        <v>2011</v>
      </c>
      <c r="E181" s="30"/>
      <c r="F181" s="34">
        <v>512122.08</v>
      </c>
      <c r="G181" s="30"/>
      <c r="H181" s="34"/>
      <c r="I181" s="30"/>
      <c r="J181" s="34"/>
      <c r="K181" s="30"/>
      <c r="L181" s="34">
        <f t="shared" si="21"/>
        <v>512122.08</v>
      </c>
      <c r="M181" s="30"/>
      <c r="N181" s="35">
        <v>2.5000000000000001E-2</v>
      </c>
      <c r="O181" s="30"/>
      <c r="P181" s="34">
        <v>38409.15</v>
      </c>
      <c r="Q181" s="30"/>
      <c r="R181" s="34">
        <f t="shared" si="20"/>
        <v>12803.05</v>
      </c>
      <c r="S181" s="30"/>
      <c r="T181" s="30"/>
      <c r="U181" s="30"/>
      <c r="V181" s="34">
        <f t="shared" si="18"/>
        <v>51212.2</v>
      </c>
      <c r="W181" s="30"/>
      <c r="X181" s="34">
        <f t="shared" si="19"/>
        <v>460909.88</v>
      </c>
    </row>
    <row r="182" spans="1:26" ht="12.9" customHeight="1">
      <c r="A182" s="30"/>
      <c r="B182" s="38" t="s">
        <v>736</v>
      </c>
      <c r="C182" s="30"/>
      <c r="D182" s="31">
        <v>2011</v>
      </c>
      <c r="E182" s="30"/>
      <c r="F182" s="34">
        <v>12110.57</v>
      </c>
      <c r="G182" s="30"/>
      <c r="H182" s="34"/>
      <c r="I182" s="30"/>
      <c r="J182" s="34"/>
      <c r="K182" s="30"/>
      <c r="L182" s="34">
        <f t="shared" si="21"/>
        <v>12110.57</v>
      </c>
      <c r="M182" s="30"/>
      <c r="N182" s="35">
        <v>2.5000000000000001E-2</v>
      </c>
      <c r="O182" s="30"/>
      <c r="P182" s="34">
        <v>908.28</v>
      </c>
      <c r="Q182" s="30"/>
      <c r="R182" s="34">
        <f t="shared" si="20"/>
        <v>302.76</v>
      </c>
      <c r="S182" s="30"/>
      <c r="T182" s="30"/>
      <c r="U182" s="30"/>
      <c r="V182" s="34">
        <f t="shared" si="18"/>
        <v>1211.04</v>
      </c>
      <c r="W182" s="30"/>
      <c r="X182" s="34">
        <f t="shared" si="19"/>
        <v>10899.53</v>
      </c>
    </row>
    <row r="183" spans="1:26" ht="12.9" customHeight="1">
      <c r="A183" s="30"/>
      <c r="B183" s="38" t="s">
        <v>704</v>
      </c>
      <c r="C183" s="30"/>
      <c r="D183" s="31">
        <v>2011</v>
      </c>
      <c r="E183" s="30"/>
      <c r="F183" s="34">
        <v>106990.81</v>
      </c>
      <c r="G183" s="30"/>
      <c r="H183" s="34"/>
      <c r="I183" s="30"/>
      <c r="J183" s="34"/>
      <c r="K183" s="30"/>
      <c r="L183" s="34">
        <f t="shared" si="21"/>
        <v>106990.81</v>
      </c>
      <c r="M183" s="30"/>
      <c r="N183" s="35">
        <v>0.1</v>
      </c>
      <c r="O183" s="30"/>
      <c r="P183" s="34">
        <v>32097.24</v>
      </c>
      <c r="Q183" s="30"/>
      <c r="R183" s="34">
        <f t="shared" si="20"/>
        <v>10699.08</v>
      </c>
      <c r="S183" s="30"/>
      <c r="T183" s="30"/>
      <c r="U183" s="30"/>
      <c r="V183" s="34">
        <f t="shared" si="18"/>
        <v>42796.32</v>
      </c>
      <c r="W183" s="30"/>
      <c r="X183" s="34">
        <f t="shared" si="19"/>
        <v>64194.49</v>
      </c>
    </row>
    <row r="184" spans="1:26" ht="12.9" customHeight="1">
      <c r="A184" s="30"/>
      <c r="B184" s="38" t="s">
        <v>761</v>
      </c>
      <c r="C184" s="30"/>
      <c r="D184" s="31">
        <v>2012</v>
      </c>
      <c r="E184" s="30"/>
      <c r="F184" s="34">
        <v>338386.52</v>
      </c>
      <c r="G184" s="30"/>
      <c r="H184" s="34"/>
      <c r="I184" s="30"/>
      <c r="J184" s="34"/>
      <c r="K184" s="30"/>
      <c r="L184" s="34">
        <f t="shared" si="21"/>
        <v>338386.52</v>
      </c>
      <c r="M184" s="30"/>
      <c r="N184" s="35">
        <v>2.5000000000000001E-2</v>
      </c>
      <c r="O184" s="30"/>
      <c r="P184" s="34">
        <v>16919.32</v>
      </c>
      <c r="Q184" s="30"/>
      <c r="R184" s="34">
        <f t="shared" si="20"/>
        <v>8459.66</v>
      </c>
      <c r="S184" s="30"/>
      <c r="T184" s="30"/>
      <c r="U184" s="30"/>
      <c r="V184" s="34">
        <f t="shared" si="18"/>
        <v>25378.98</v>
      </c>
      <c r="W184" s="30"/>
      <c r="X184" s="34">
        <f t="shared" si="19"/>
        <v>313007.53999999998</v>
      </c>
    </row>
    <row r="185" spans="1:26" ht="12.9" customHeight="1">
      <c r="A185" s="30"/>
      <c r="B185" s="38" t="s">
        <v>762</v>
      </c>
      <c r="C185" s="65"/>
      <c r="D185" s="66">
        <v>2012</v>
      </c>
      <c r="E185" s="65"/>
      <c r="F185" s="70">
        <v>12427.63</v>
      </c>
      <c r="G185" s="65"/>
      <c r="H185" s="70"/>
      <c r="I185" s="65"/>
      <c r="J185" s="70"/>
      <c r="K185" s="65"/>
      <c r="L185" s="70">
        <f t="shared" si="21"/>
        <v>12427.63</v>
      </c>
      <c r="M185" s="65"/>
      <c r="N185" s="67">
        <v>2.5000000000000001E-2</v>
      </c>
      <c r="O185" s="65"/>
      <c r="P185" s="70">
        <v>621.38</v>
      </c>
      <c r="Q185" s="65"/>
      <c r="R185" s="70">
        <f t="shared" si="20"/>
        <v>310.69</v>
      </c>
      <c r="S185" s="65"/>
      <c r="T185" s="65"/>
      <c r="U185" s="65"/>
      <c r="V185" s="70">
        <f t="shared" si="18"/>
        <v>932.07</v>
      </c>
      <c r="W185" s="65"/>
      <c r="X185" s="70">
        <f t="shared" si="19"/>
        <v>11495.56</v>
      </c>
      <c r="Y185" s="68"/>
      <c r="Z185" s="68"/>
    </row>
    <row r="186" spans="1:26" ht="12.9" customHeight="1">
      <c r="A186" s="30"/>
      <c r="B186" s="38" t="s">
        <v>851</v>
      </c>
      <c r="C186" s="65"/>
      <c r="D186" s="66">
        <v>2013</v>
      </c>
      <c r="E186" s="65"/>
      <c r="F186" s="70">
        <v>335628.54</v>
      </c>
      <c r="G186" s="65"/>
      <c r="H186" s="70"/>
      <c r="I186" s="65"/>
      <c r="J186" s="70"/>
      <c r="K186" s="65"/>
      <c r="L186" s="70">
        <f t="shared" si="21"/>
        <v>335628.54</v>
      </c>
      <c r="M186" s="65"/>
      <c r="N186" s="67">
        <v>2.5000000000000001E-2</v>
      </c>
      <c r="O186" s="65"/>
      <c r="P186" s="70">
        <v>0</v>
      </c>
      <c r="Q186" s="65"/>
      <c r="R186" s="70">
        <f t="shared" si="20"/>
        <v>8390.7099999999991</v>
      </c>
      <c r="S186" s="65"/>
      <c r="T186" s="65"/>
      <c r="U186" s="65"/>
      <c r="V186" s="70">
        <f t="shared" si="18"/>
        <v>8390.7099999999991</v>
      </c>
      <c r="W186" s="65"/>
      <c r="X186" s="70">
        <f t="shared" si="19"/>
        <v>327237.83</v>
      </c>
      <c r="Y186" s="68"/>
      <c r="Z186" s="68"/>
    </row>
    <row r="187" spans="1:26" ht="12.9" customHeight="1">
      <c r="A187" s="30"/>
      <c r="B187" s="38" t="s">
        <v>852</v>
      </c>
      <c r="C187" s="65"/>
      <c r="D187" s="66">
        <v>2013</v>
      </c>
      <c r="E187" s="65"/>
      <c r="F187" s="70">
        <v>11100.93</v>
      </c>
      <c r="G187" s="65"/>
      <c r="H187" s="70"/>
      <c r="I187" s="65"/>
      <c r="J187" s="70"/>
      <c r="K187" s="65"/>
      <c r="L187" s="70">
        <f t="shared" si="21"/>
        <v>11100.93</v>
      </c>
      <c r="M187" s="65"/>
      <c r="N187" s="67">
        <v>2.5000000000000001E-2</v>
      </c>
      <c r="O187" s="65"/>
      <c r="P187" s="70">
        <v>0</v>
      </c>
      <c r="Q187" s="65"/>
      <c r="R187" s="70">
        <f t="shared" si="20"/>
        <v>277.52</v>
      </c>
      <c r="S187" s="65"/>
      <c r="T187" s="65"/>
      <c r="U187" s="65"/>
      <c r="V187" s="70">
        <f t="shared" si="18"/>
        <v>277.52</v>
      </c>
      <c r="W187" s="65"/>
      <c r="X187" s="70">
        <f t="shared" si="19"/>
        <v>10823.41</v>
      </c>
      <c r="Y187" s="68"/>
      <c r="Z187" s="68"/>
    </row>
    <row r="188" spans="1:26" ht="12.9" customHeight="1" thickBot="1">
      <c r="A188" s="30"/>
      <c r="B188" s="38" t="s">
        <v>853</v>
      </c>
      <c r="C188" s="65"/>
      <c r="D188" s="66">
        <v>2013</v>
      </c>
      <c r="E188" s="65"/>
      <c r="F188" s="70">
        <v>40877.64</v>
      </c>
      <c r="G188" s="65"/>
      <c r="H188" s="70"/>
      <c r="I188" s="65"/>
      <c r="J188" s="70"/>
      <c r="K188" s="65"/>
      <c r="L188" s="70">
        <f t="shared" si="21"/>
        <v>40877.64</v>
      </c>
      <c r="M188" s="65"/>
      <c r="N188" s="67">
        <v>0.05</v>
      </c>
      <c r="O188" s="65"/>
      <c r="P188" s="70">
        <v>0</v>
      </c>
      <c r="Q188" s="65"/>
      <c r="R188" s="70">
        <f t="shared" si="20"/>
        <v>2043.88</v>
      </c>
      <c r="S188" s="65"/>
      <c r="T188" s="65"/>
      <c r="U188" s="65"/>
      <c r="V188" s="70">
        <f t="shared" si="18"/>
        <v>2043.88</v>
      </c>
      <c r="W188" s="65"/>
      <c r="X188" s="70">
        <f t="shared" si="19"/>
        <v>38833.760000000002</v>
      </c>
      <c r="Y188" s="68"/>
      <c r="Z188" s="68"/>
    </row>
    <row r="189" spans="1:26" ht="12.9" customHeight="1">
      <c r="A189" s="30"/>
      <c r="B189" s="263" t="s">
        <v>854</v>
      </c>
      <c r="C189" s="65"/>
      <c r="D189" s="66">
        <v>2013</v>
      </c>
      <c r="E189" s="65"/>
      <c r="F189" s="70">
        <v>17601.3</v>
      </c>
      <c r="G189" s="65"/>
      <c r="H189" s="70">
        <v>519050.37</v>
      </c>
      <c r="I189" s="65"/>
      <c r="J189" s="70"/>
      <c r="K189" s="65"/>
      <c r="L189" s="70">
        <f t="shared" si="21"/>
        <v>536651.67000000004</v>
      </c>
      <c r="M189" s="65"/>
      <c r="N189" s="67">
        <v>3.3300000000000003E-2</v>
      </c>
      <c r="O189" s="65"/>
      <c r="P189" s="70">
        <v>0</v>
      </c>
      <c r="Q189" s="65"/>
      <c r="R189" s="70">
        <f t="shared" si="20"/>
        <v>17870.5</v>
      </c>
      <c r="S189" s="65"/>
      <c r="T189" s="65"/>
      <c r="U189" s="65"/>
      <c r="V189" s="70">
        <f t="shared" si="18"/>
        <v>17870.5</v>
      </c>
      <c r="W189" s="65"/>
      <c r="X189" s="70">
        <f t="shared" si="19"/>
        <v>518781.17</v>
      </c>
      <c r="Y189" s="68"/>
      <c r="Z189" s="68"/>
    </row>
    <row r="190" spans="1:26" ht="12.9" customHeight="1">
      <c r="A190" s="30"/>
      <c r="B190" s="38" t="s">
        <v>852</v>
      </c>
      <c r="C190" s="65"/>
      <c r="D190" s="66">
        <v>2014</v>
      </c>
      <c r="E190" s="65"/>
      <c r="F190" s="70">
        <v>0</v>
      </c>
      <c r="G190" s="65"/>
      <c r="H190" s="70">
        <v>12615.33</v>
      </c>
      <c r="I190" s="65"/>
      <c r="J190" s="70"/>
      <c r="K190" s="65"/>
      <c r="L190" s="70">
        <f t="shared" si="21"/>
        <v>12615.33</v>
      </c>
      <c r="M190" s="65"/>
      <c r="N190" s="67">
        <v>2.5000000000000001E-2</v>
      </c>
      <c r="O190" s="65"/>
      <c r="P190" s="70">
        <v>0</v>
      </c>
      <c r="Q190" s="65"/>
      <c r="R190" s="70">
        <f t="shared" si="20"/>
        <v>315.38</v>
      </c>
      <c r="S190" s="65"/>
      <c r="T190" s="65"/>
      <c r="U190" s="65"/>
      <c r="V190" s="70">
        <f t="shared" si="18"/>
        <v>315.38</v>
      </c>
      <c r="W190" s="65"/>
      <c r="X190" s="70">
        <f t="shared" si="19"/>
        <v>12299.95</v>
      </c>
      <c r="Y190" s="68"/>
      <c r="Z190" s="68"/>
    </row>
    <row r="191" spans="1:26" ht="12.9" customHeight="1">
      <c r="A191" s="30"/>
      <c r="B191" s="40" t="s">
        <v>898</v>
      </c>
      <c r="C191" s="65"/>
      <c r="D191" s="66">
        <v>2014</v>
      </c>
      <c r="E191" s="65"/>
      <c r="F191" s="70">
        <v>0</v>
      </c>
      <c r="G191" s="65"/>
      <c r="H191" s="70">
        <v>23663.38</v>
      </c>
      <c r="I191" s="65"/>
      <c r="J191" s="70"/>
      <c r="K191" s="65"/>
      <c r="L191" s="70">
        <f t="shared" si="21"/>
        <v>23663.38</v>
      </c>
      <c r="M191" s="65"/>
      <c r="N191" s="67">
        <v>2.5000000000000001E-2</v>
      </c>
      <c r="O191" s="65"/>
      <c r="P191" s="70">
        <v>0</v>
      </c>
      <c r="Q191" s="65"/>
      <c r="R191" s="70">
        <f t="shared" si="20"/>
        <v>591.58000000000004</v>
      </c>
      <c r="S191" s="65"/>
      <c r="T191" s="65"/>
      <c r="U191" s="65"/>
      <c r="V191" s="70">
        <f t="shared" si="18"/>
        <v>591.58000000000004</v>
      </c>
      <c r="W191" s="65"/>
      <c r="X191" s="70">
        <f t="shared" si="19"/>
        <v>23071.8</v>
      </c>
      <c r="Y191" s="68"/>
      <c r="Z191" s="68"/>
    </row>
    <row r="192" spans="1:26" ht="12.9" customHeight="1">
      <c r="A192" s="30"/>
      <c r="B192" s="40" t="s">
        <v>899</v>
      </c>
      <c r="C192" s="65"/>
      <c r="D192" s="66">
        <v>2014</v>
      </c>
      <c r="E192" s="65"/>
      <c r="F192" s="70">
        <v>58613.66</v>
      </c>
      <c r="G192" s="65"/>
      <c r="H192" s="70">
        <v>19752.97</v>
      </c>
      <c r="I192" s="65"/>
      <c r="J192" s="70"/>
      <c r="K192" s="65"/>
      <c r="L192" s="70">
        <f t="shared" si="21"/>
        <v>78366.63</v>
      </c>
      <c r="M192" s="65"/>
      <c r="N192" s="67">
        <v>3.3300000000000003E-2</v>
      </c>
      <c r="O192" s="65"/>
      <c r="P192" s="70">
        <v>0</v>
      </c>
      <c r="Q192" s="65"/>
      <c r="R192" s="70">
        <f t="shared" si="20"/>
        <v>2609.61</v>
      </c>
      <c r="S192" s="65"/>
      <c r="T192" s="65"/>
      <c r="U192" s="65"/>
      <c r="V192" s="70">
        <f t="shared" si="18"/>
        <v>2609.61</v>
      </c>
      <c r="W192" s="65"/>
      <c r="X192" s="70">
        <f t="shared" si="19"/>
        <v>75757.02</v>
      </c>
      <c r="Y192" s="68"/>
      <c r="Z192" s="68"/>
    </row>
    <row r="193" spans="1:26" ht="12.9" customHeight="1">
      <c r="A193" s="30"/>
      <c r="B193" s="40" t="s">
        <v>900</v>
      </c>
      <c r="C193" s="65"/>
      <c r="D193" s="66">
        <v>2014</v>
      </c>
      <c r="E193" s="65"/>
      <c r="F193" s="70">
        <v>0</v>
      </c>
      <c r="G193" s="65"/>
      <c r="H193" s="70">
        <v>15985.88</v>
      </c>
      <c r="I193" s="65"/>
      <c r="J193" s="70"/>
      <c r="K193" s="65"/>
      <c r="L193" s="70">
        <f t="shared" si="21"/>
        <v>15985.88</v>
      </c>
      <c r="M193" s="65"/>
      <c r="N193" s="67">
        <v>3.3300000000000003E-2</v>
      </c>
      <c r="O193" s="65"/>
      <c r="P193" s="70">
        <v>0</v>
      </c>
      <c r="Q193" s="65"/>
      <c r="R193" s="70">
        <f t="shared" si="20"/>
        <v>532.33000000000004</v>
      </c>
      <c r="S193" s="65"/>
      <c r="T193" s="65"/>
      <c r="U193" s="65"/>
      <c r="V193" s="70">
        <f t="shared" si="18"/>
        <v>532.33000000000004</v>
      </c>
      <c r="W193" s="65"/>
      <c r="X193" s="70">
        <f t="shared" si="19"/>
        <v>15453.55</v>
      </c>
      <c r="Y193" s="68"/>
      <c r="Z193" s="68"/>
    </row>
    <row r="194" spans="1:26" ht="12.9" customHeight="1">
      <c r="A194" s="30"/>
      <c r="B194" s="40" t="s">
        <v>901</v>
      </c>
      <c r="C194" s="65"/>
      <c r="D194" s="66">
        <v>2014</v>
      </c>
      <c r="E194" s="65"/>
      <c r="F194" s="70">
        <v>0</v>
      </c>
      <c r="G194" s="65"/>
      <c r="H194" s="70">
        <v>10361.209999999999</v>
      </c>
      <c r="I194" s="65"/>
      <c r="J194" s="70"/>
      <c r="K194" s="65"/>
      <c r="L194" s="70">
        <f t="shared" si="21"/>
        <v>10361.209999999999</v>
      </c>
      <c r="M194" s="65"/>
      <c r="N194" s="67">
        <v>2.5000000000000001E-2</v>
      </c>
      <c r="O194" s="65"/>
      <c r="P194" s="70">
        <v>0</v>
      </c>
      <c r="Q194" s="65"/>
      <c r="R194" s="70">
        <f t="shared" si="20"/>
        <v>259.02999999999997</v>
      </c>
      <c r="S194" s="65"/>
      <c r="T194" s="65"/>
      <c r="U194" s="65"/>
      <c r="V194" s="70">
        <f t="shared" si="18"/>
        <v>259.02999999999997</v>
      </c>
      <c r="W194" s="65"/>
      <c r="X194" s="70">
        <f t="shared" si="19"/>
        <v>10102.18</v>
      </c>
      <c r="Y194" s="68"/>
      <c r="Z194" s="68"/>
    </row>
    <row r="195" spans="1:26" ht="12.9" customHeight="1">
      <c r="A195" s="30"/>
      <c r="B195" s="40" t="s">
        <v>902</v>
      </c>
      <c r="C195" s="65"/>
      <c r="D195" s="66">
        <v>2014</v>
      </c>
      <c r="E195" s="65"/>
      <c r="F195" s="70">
        <v>0</v>
      </c>
      <c r="G195" s="65"/>
      <c r="H195" s="70">
        <v>8500.32</v>
      </c>
      <c r="I195" s="65"/>
      <c r="J195" s="70"/>
      <c r="K195" s="65"/>
      <c r="L195" s="70">
        <f t="shared" si="21"/>
        <v>8500.32</v>
      </c>
      <c r="M195" s="65"/>
      <c r="N195" s="67">
        <v>2.5000000000000001E-2</v>
      </c>
      <c r="O195" s="65"/>
      <c r="P195" s="70">
        <v>0</v>
      </c>
      <c r="Q195" s="65"/>
      <c r="R195" s="70">
        <f t="shared" si="20"/>
        <v>212.51</v>
      </c>
      <c r="S195" s="65"/>
      <c r="T195" s="65"/>
      <c r="U195" s="65"/>
      <c r="V195" s="70">
        <f t="shared" si="18"/>
        <v>212.51</v>
      </c>
      <c r="W195" s="65"/>
      <c r="X195" s="70">
        <f t="shared" si="19"/>
        <v>8287.81</v>
      </c>
      <c r="Y195" s="68"/>
      <c r="Z195" s="68"/>
    </row>
    <row r="196" spans="1:26" ht="12.9" customHeight="1">
      <c r="A196" s="30"/>
      <c r="B196" s="40" t="s">
        <v>903</v>
      </c>
      <c r="C196" s="65"/>
      <c r="D196" s="66">
        <v>2014</v>
      </c>
      <c r="E196" s="65"/>
      <c r="F196" s="70">
        <v>0</v>
      </c>
      <c r="G196" s="65"/>
      <c r="H196" s="70">
        <v>28591.360000000001</v>
      </c>
      <c r="I196" s="65"/>
      <c r="J196" s="70"/>
      <c r="K196" s="65"/>
      <c r="L196" s="70">
        <f t="shared" si="21"/>
        <v>28591.360000000001</v>
      </c>
      <c r="M196" s="65"/>
      <c r="N196" s="67">
        <v>2.5000000000000001E-2</v>
      </c>
      <c r="O196" s="65"/>
      <c r="P196" s="70">
        <v>0</v>
      </c>
      <c r="Q196" s="65"/>
      <c r="R196" s="70">
        <f t="shared" si="20"/>
        <v>714.78</v>
      </c>
      <c r="S196" s="65"/>
      <c r="T196" s="65"/>
      <c r="U196" s="65"/>
      <c r="V196" s="70">
        <f t="shared" si="18"/>
        <v>714.78</v>
      </c>
      <c r="W196" s="65"/>
      <c r="X196" s="70">
        <f t="shared" si="19"/>
        <v>27876.58</v>
      </c>
      <c r="Y196" s="68"/>
      <c r="Z196" s="68"/>
    </row>
    <row r="197" spans="1:26" ht="12.9" customHeight="1">
      <c r="A197" s="30"/>
      <c r="B197" s="40" t="s">
        <v>904</v>
      </c>
      <c r="C197" s="65"/>
      <c r="D197" s="66">
        <v>2014</v>
      </c>
      <c r="E197" s="65"/>
      <c r="F197" s="70">
        <v>0</v>
      </c>
      <c r="G197" s="65"/>
      <c r="H197" s="70">
        <v>1056.8599999999999</v>
      </c>
      <c r="I197" s="65"/>
      <c r="J197" s="70"/>
      <c r="K197" s="65"/>
      <c r="L197" s="70">
        <f t="shared" si="21"/>
        <v>1056.8599999999999</v>
      </c>
      <c r="M197" s="65"/>
      <c r="N197" s="67">
        <v>3.3300000000000003E-2</v>
      </c>
      <c r="O197" s="65"/>
      <c r="P197" s="70">
        <v>0</v>
      </c>
      <c r="Q197" s="65"/>
      <c r="R197" s="70">
        <f t="shared" si="20"/>
        <v>35.19</v>
      </c>
      <c r="S197" s="65"/>
      <c r="T197" s="65"/>
      <c r="U197" s="65"/>
      <c r="V197" s="70">
        <f t="shared" si="18"/>
        <v>35.19</v>
      </c>
      <c r="W197" s="65"/>
      <c r="X197" s="70">
        <f t="shared" si="19"/>
        <v>1021.67</v>
      </c>
      <c r="Y197" s="68"/>
      <c r="Z197" s="68"/>
    </row>
    <row r="198" spans="1:26" ht="12.9" customHeight="1">
      <c r="A198" s="30"/>
      <c r="B198" s="40" t="s">
        <v>905</v>
      </c>
      <c r="C198" s="65"/>
      <c r="D198" s="66">
        <v>2014</v>
      </c>
      <c r="E198" s="65"/>
      <c r="F198" s="70">
        <v>0</v>
      </c>
      <c r="G198" s="65"/>
      <c r="H198" s="70">
        <v>17975.18</v>
      </c>
      <c r="I198" s="65"/>
      <c r="J198" s="70"/>
      <c r="K198" s="65"/>
      <c r="L198" s="70">
        <f t="shared" si="21"/>
        <v>17975.18</v>
      </c>
      <c r="M198" s="65"/>
      <c r="N198" s="67">
        <v>2.5000000000000001E-2</v>
      </c>
      <c r="O198" s="65"/>
      <c r="P198" s="70">
        <v>0</v>
      </c>
      <c r="Q198" s="65"/>
      <c r="R198" s="70">
        <f t="shared" si="20"/>
        <v>449.38</v>
      </c>
      <c r="S198" s="65"/>
      <c r="T198" s="65"/>
      <c r="U198" s="65"/>
      <c r="V198" s="70">
        <f t="shared" si="18"/>
        <v>449.38</v>
      </c>
      <c r="W198" s="65"/>
      <c r="X198" s="70">
        <f t="shared" si="19"/>
        <v>17525.8</v>
      </c>
      <c r="Y198" s="68"/>
      <c r="Z198" s="68"/>
    </row>
    <row r="199" spans="1:26" ht="12.9" customHeight="1">
      <c r="A199" s="30"/>
      <c r="B199" s="40" t="s">
        <v>906</v>
      </c>
      <c r="C199" s="65"/>
      <c r="D199" s="66">
        <v>2014</v>
      </c>
      <c r="E199" s="65"/>
      <c r="F199" s="70">
        <v>0</v>
      </c>
      <c r="G199" s="65"/>
      <c r="H199" s="70">
        <v>5032.49</v>
      </c>
      <c r="I199" s="65"/>
      <c r="J199" s="70"/>
      <c r="K199" s="65"/>
      <c r="L199" s="70">
        <f t="shared" si="21"/>
        <v>5032.49</v>
      </c>
      <c r="M199" s="65"/>
      <c r="N199" s="67">
        <v>2.5000000000000001E-2</v>
      </c>
      <c r="O199" s="65"/>
      <c r="P199" s="70">
        <v>0</v>
      </c>
      <c r="Q199" s="65"/>
      <c r="R199" s="70">
        <f t="shared" si="20"/>
        <v>125.81</v>
      </c>
      <c r="S199" s="65"/>
      <c r="T199" s="65"/>
      <c r="U199" s="65"/>
      <c r="V199" s="70">
        <f t="shared" si="18"/>
        <v>125.81</v>
      </c>
      <c r="W199" s="65"/>
      <c r="X199" s="70">
        <f t="shared" si="19"/>
        <v>4906.68</v>
      </c>
      <c r="Y199" s="68"/>
      <c r="Z199" s="68"/>
    </row>
    <row r="200" spans="1:26" ht="12.9" customHeight="1">
      <c r="A200" s="30"/>
      <c r="B200" s="40" t="s">
        <v>907</v>
      </c>
      <c r="C200" s="65"/>
      <c r="D200" s="66">
        <v>2014</v>
      </c>
      <c r="E200" s="65"/>
      <c r="F200" s="70">
        <v>0</v>
      </c>
      <c r="G200" s="65"/>
      <c r="H200" s="70">
        <v>135610.39000000001</v>
      </c>
      <c r="I200" s="65"/>
      <c r="J200" s="70"/>
      <c r="K200" s="65"/>
      <c r="L200" s="70">
        <f t="shared" si="21"/>
        <v>135610.39000000001</v>
      </c>
      <c r="M200" s="65"/>
      <c r="N200" s="311">
        <v>0</v>
      </c>
      <c r="O200" s="65"/>
      <c r="P200" s="70">
        <v>0</v>
      </c>
      <c r="Q200" s="65"/>
      <c r="R200" s="70">
        <f t="shared" si="20"/>
        <v>0</v>
      </c>
      <c r="S200" s="65"/>
      <c r="T200" s="65"/>
      <c r="U200" s="65"/>
      <c r="V200" s="70">
        <f t="shared" si="18"/>
        <v>0</v>
      </c>
      <c r="W200" s="65"/>
      <c r="X200" s="70">
        <f t="shared" si="19"/>
        <v>135610.39000000001</v>
      </c>
      <c r="Y200" s="68"/>
      <c r="Z200" s="68"/>
    </row>
    <row r="201" spans="1:26" ht="12.9" customHeight="1">
      <c r="A201" s="30"/>
      <c r="B201" s="40" t="s">
        <v>908</v>
      </c>
      <c r="C201" s="65"/>
      <c r="D201" s="66">
        <v>2014</v>
      </c>
      <c r="E201" s="65"/>
      <c r="F201" s="70">
        <v>0</v>
      </c>
      <c r="G201" s="65"/>
      <c r="H201" s="70">
        <v>4535.83</v>
      </c>
      <c r="I201" s="65"/>
      <c r="J201" s="70"/>
      <c r="K201" s="65"/>
      <c r="L201" s="70">
        <f t="shared" si="21"/>
        <v>4535.83</v>
      </c>
      <c r="M201" s="65"/>
      <c r="N201" s="67">
        <v>2.5000000000000001E-2</v>
      </c>
      <c r="O201" s="65"/>
      <c r="P201" s="70">
        <v>0</v>
      </c>
      <c r="Q201" s="65"/>
      <c r="R201" s="70">
        <f t="shared" si="20"/>
        <v>113.4</v>
      </c>
      <c r="S201" s="65"/>
      <c r="T201" s="65"/>
      <c r="U201" s="65"/>
      <c r="V201" s="70">
        <f t="shared" si="18"/>
        <v>113.4</v>
      </c>
      <c r="W201" s="65"/>
      <c r="X201" s="70">
        <f t="shared" si="19"/>
        <v>4422.43</v>
      </c>
      <c r="Y201" s="68"/>
      <c r="Z201" s="68"/>
    </row>
    <row r="202" spans="1:26" ht="12.9" customHeight="1">
      <c r="A202" s="30"/>
      <c r="B202" s="40" t="s">
        <v>909</v>
      </c>
      <c r="C202" s="65"/>
      <c r="D202" s="66">
        <v>2014</v>
      </c>
      <c r="E202" s="65"/>
      <c r="F202" s="70">
        <v>0</v>
      </c>
      <c r="G202" s="65"/>
      <c r="H202" s="70">
        <v>3107.49</v>
      </c>
      <c r="I202" s="65"/>
      <c r="J202" s="70"/>
      <c r="K202" s="65"/>
      <c r="L202" s="70">
        <f t="shared" si="21"/>
        <v>3107.49</v>
      </c>
      <c r="M202" s="65"/>
      <c r="N202" s="311">
        <v>0</v>
      </c>
      <c r="O202" s="65"/>
      <c r="P202" s="70">
        <v>0</v>
      </c>
      <c r="Q202" s="65"/>
      <c r="R202" s="70">
        <f t="shared" si="20"/>
        <v>0</v>
      </c>
      <c r="S202" s="65"/>
      <c r="T202" s="65"/>
      <c r="U202" s="65"/>
      <c r="V202" s="70">
        <f t="shared" si="18"/>
        <v>0</v>
      </c>
      <c r="W202" s="65"/>
      <c r="X202" s="70">
        <f t="shared" si="19"/>
        <v>3107.49</v>
      </c>
      <c r="Y202" s="68"/>
      <c r="Z202" s="68"/>
    </row>
    <row r="203" spans="1:26" ht="12.9" customHeight="1">
      <c r="A203" s="30"/>
      <c r="B203" s="40" t="s">
        <v>910</v>
      </c>
      <c r="C203" s="65"/>
      <c r="D203" s="66">
        <v>2014</v>
      </c>
      <c r="E203" s="65"/>
      <c r="F203" s="70">
        <v>0</v>
      </c>
      <c r="G203" s="65"/>
      <c r="H203" s="70">
        <v>161.97999999999999</v>
      </c>
      <c r="I203" s="65"/>
      <c r="J203" s="70"/>
      <c r="K203" s="65"/>
      <c r="L203" s="70">
        <f t="shared" si="21"/>
        <v>161.97999999999999</v>
      </c>
      <c r="M203" s="65"/>
      <c r="N203" s="311">
        <v>0</v>
      </c>
      <c r="O203" s="65"/>
      <c r="P203" s="70">
        <v>0</v>
      </c>
      <c r="Q203" s="65"/>
      <c r="R203" s="70">
        <f t="shared" si="20"/>
        <v>0</v>
      </c>
      <c r="S203" s="65"/>
      <c r="T203" s="65"/>
      <c r="U203" s="65"/>
      <c r="V203" s="70">
        <f t="shared" si="18"/>
        <v>0</v>
      </c>
      <c r="W203" s="65"/>
      <c r="X203" s="70">
        <f t="shared" si="19"/>
        <v>161.97999999999999</v>
      </c>
      <c r="Y203" s="68"/>
      <c r="Z203" s="68"/>
    </row>
    <row r="204" spans="1:26" ht="12.9" customHeight="1">
      <c r="A204" s="30"/>
      <c r="B204" s="40" t="s">
        <v>911</v>
      </c>
      <c r="C204" s="65"/>
      <c r="D204" s="66">
        <v>2014</v>
      </c>
      <c r="E204" s="65"/>
      <c r="F204" s="70">
        <v>0</v>
      </c>
      <c r="G204" s="65"/>
      <c r="H204" s="70">
        <v>3333.71</v>
      </c>
      <c r="I204" s="65"/>
      <c r="J204" s="70"/>
      <c r="K204" s="65"/>
      <c r="L204" s="70">
        <f t="shared" si="21"/>
        <v>3333.71</v>
      </c>
      <c r="M204" s="65"/>
      <c r="N204" s="67">
        <v>2.5000000000000001E-2</v>
      </c>
      <c r="O204" s="65"/>
      <c r="P204" s="70">
        <v>0</v>
      </c>
      <c r="Q204" s="65"/>
      <c r="R204" s="70">
        <f t="shared" si="20"/>
        <v>83.34</v>
      </c>
      <c r="S204" s="65"/>
      <c r="T204" s="65"/>
      <c r="U204" s="65"/>
      <c r="V204" s="70">
        <f t="shared" si="18"/>
        <v>83.34</v>
      </c>
      <c r="W204" s="65"/>
      <c r="X204" s="70">
        <f t="shared" si="19"/>
        <v>3250.37</v>
      </c>
      <c r="Y204" s="68"/>
      <c r="Z204" s="68"/>
    </row>
    <row r="205" spans="1:26" ht="12.9" customHeight="1">
      <c r="A205" s="30"/>
      <c r="B205" s="40" t="s">
        <v>912</v>
      </c>
      <c r="C205" s="65"/>
      <c r="D205" s="66">
        <v>2014</v>
      </c>
      <c r="E205" s="65"/>
      <c r="F205" s="70">
        <v>0</v>
      </c>
      <c r="G205" s="65"/>
      <c r="H205" s="70">
        <v>7875.56</v>
      </c>
      <c r="I205" s="65"/>
      <c r="J205" s="70"/>
      <c r="K205" s="65"/>
      <c r="L205" s="70">
        <f t="shared" si="21"/>
        <v>7875.56</v>
      </c>
      <c r="M205" s="65"/>
      <c r="N205" s="311">
        <v>0</v>
      </c>
      <c r="O205" s="65"/>
      <c r="P205" s="70">
        <v>0</v>
      </c>
      <c r="Q205" s="65"/>
      <c r="R205" s="70">
        <f t="shared" si="20"/>
        <v>0</v>
      </c>
      <c r="S205" s="65"/>
      <c r="T205" s="65"/>
      <c r="U205" s="65"/>
      <c r="V205" s="70">
        <f t="shared" si="18"/>
        <v>0</v>
      </c>
      <c r="W205" s="65"/>
      <c r="X205" s="70">
        <f t="shared" si="19"/>
        <v>7875.56</v>
      </c>
      <c r="Y205" s="68"/>
      <c r="Z205" s="68"/>
    </row>
    <row r="206" spans="1:26" ht="12.9" customHeight="1">
      <c r="A206" s="30"/>
      <c r="B206" s="40" t="s">
        <v>913</v>
      </c>
      <c r="C206" s="65"/>
      <c r="D206" s="66">
        <v>2014</v>
      </c>
      <c r="E206" s="65"/>
      <c r="F206" s="70">
        <v>0</v>
      </c>
      <c r="G206" s="65"/>
      <c r="H206" s="70">
        <v>1995.15</v>
      </c>
      <c r="I206" s="65"/>
      <c r="J206" s="70"/>
      <c r="K206" s="65"/>
      <c r="L206" s="70">
        <f t="shared" si="21"/>
        <v>1995.15</v>
      </c>
      <c r="M206" s="65"/>
      <c r="N206" s="67">
        <v>2.5000000000000001E-2</v>
      </c>
      <c r="O206" s="65"/>
      <c r="P206" s="70">
        <v>0</v>
      </c>
      <c r="Q206" s="65"/>
      <c r="R206" s="70">
        <f t="shared" si="20"/>
        <v>49.88</v>
      </c>
      <c r="S206" s="65"/>
      <c r="T206" s="65"/>
      <c r="U206" s="65"/>
      <c r="V206" s="70">
        <f t="shared" si="18"/>
        <v>49.88</v>
      </c>
      <c r="W206" s="65"/>
      <c r="X206" s="70">
        <f t="shared" si="19"/>
        <v>1945.27</v>
      </c>
      <c r="Y206" s="68"/>
      <c r="Z206" s="68"/>
    </row>
    <row r="207" spans="1:26" ht="12.9" customHeight="1">
      <c r="A207" s="30"/>
      <c r="B207" s="40" t="s">
        <v>914</v>
      </c>
      <c r="C207" s="65"/>
      <c r="D207" s="66">
        <v>2014</v>
      </c>
      <c r="E207" s="65"/>
      <c r="F207" s="70">
        <v>0</v>
      </c>
      <c r="G207" s="65"/>
      <c r="H207" s="70">
        <v>8251.77</v>
      </c>
      <c r="I207" s="65"/>
      <c r="J207" s="70"/>
      <c r="K207" s="65"/>
      <c r="L207" s="70">
        <f t="shared" si="21"/>
        <v>8251.77</v>
      </c>
      <c r="M207" s="65"/>
      <c r="N207" s="67">
        <v>2.5000000000000001E-2</v>
      </c>
      <c r="O207" s="65"/>
      <c r="P207" s="70">
        <v>0</v>
      </c>
      <c r="Q207" s="65"/>
      <c r="R207" s="70">
        <f t="shared" si="20"/>
        <v>206.29</v>
      </c>
      <c r="S207" s="65"/>
      <c r="T207" s="65"/>
      <c r="U207" s="65"/>
      <c r="V207" s="70">
        <f t="shared" si="18"/>
        <v>206.29</v>
      </c>
      <c r="W207" s="65"/>
      <c r="X207" s="70">
        <f t="shared" si="19"/>
        <v>8045.48</v>
      </c>
      <c r="Y207" s="68"/>
      <c r="Z207" s="68"/>
    </row>
    <row r="208" spans="1:26" ht="12.9" customHeight="1">
      <c r="A208" s="30"/>
      <c r="B208" s="65"/>
      <c r="C208" s="30"/>
      <c r="D208" s="31"/>
      <c r="E208" s="30"/>
      <c r="F208" s="34"/>
      <c r="G208" s="30"/>
      <c r="H208" s="34"/>
      <c r="I208" s="30"/>
      <c r="J208" s="34"/>
      <c r="K208" s="30"/>
      <c r="L208" s="34"/>
      <c r="M208" s="30"/>
      <c r="N208" s="35"/>
      <c r="O208" s="30"/>
      <c r="P208" s="34"/>
      <c r="Q208" s="30"/>
      <c r="R208" s="34"/>
      <c r="S208" s="30"/>
      <c r="T208" s="30"/>
      <c r="U208" s="30"/>
      <c r="V208" s="34"/>
      <c r="W208" s="30"/>
      <c r="X208" s="34"/>
    </row>
    <row r="209" spans="1:26" ht="12.9" customHeight="1">
      <c r="A209" s="27" t="s">
        <v>598</v>
      </c>
      <c r="B209" s="27"/>
      <c r="C209" s="27"/>
      <c r="D209" s="27"/>
      <c r="E209" s="27"/>
      <c r="F209" s="27"/>
      <c r="G209" s="27"/>
      <c r="H209" s="27"/>
      <c r="I209" s="27"/>
      <c r="J209" s="27"/>
      <c r="K209" s="27"/>
      <c r="L209" s="27"/>
      <c r="M209" s="27"/>
      <c r="N209" s="27"/>
      <c r="O209" s="27"/>
      <c r="P209" s="27"/>
      <c r="Q209" s="27"/>
      <c r="R209" s="27"/>
      <c r="S209" s="27"/>
      <c r="T209" s="27"/>
      <c r="U209" s="27"/>
      <c r="V209" s="27"/>
      <c r="W209" s="27"/>
      <c r="X209" s="27"/>
    </row>
    <row r="210" spans="1:26" ht="12.9" customHeight="1">
      <c r="A210" s="27" t="s">
        <v>599</v>
      </c>
      <c r="B210" s="27"/>
      <c r="C210" s="27"/>
      <c r="D210" s="27"/>
      <c r="E210" s="27"/>
      <c r="F210" s="27"/>
      <c r="G210" s="27"/>
      <c r="H210" s="27"/>
      <c r="I210" s="27"/>
      <c r="J210" s="27"/>
      <c r="K210" s="27"/>
      <c r="L210" s="27"/>
      <c r="M210" s="27"/>
      <c r="N210" s="27"/>
      <c r="O210" s="27"/>
      <c r="P210" s="27"/>
      <c r="Q210" s="27"/>
      <c r="R210" s="27"/>
      <c r="S210" s="27"/>
      <c r="T210" s="27"/>
      <c r="U210" s="27"/>
      <c r="V210" s="27"/>
      <c r="W210" s="27"/>
      <c r="X210" s="27" t="s">
        <v>763</v>
      </c>
    </row>
    <row r="211" spans="1:26" ht="12.9" customHeight="1">
      <c r="A211" s="29">
        <f>+A58</f>
        <v>42004</v>
      </c>
      <c r="B211" s="27"/>
      <c r="C211" s="27"/>
      <c r="D211" s="27"/>
      <c r="E211" s="27"/>
      <c r="F211" s="27"/>
      <c r="G211" s="27"/>
      <c r="H211" s="27"/>
      <c r="I211" s="27"/>
      <c r="J211" s="27"/>
      <c r="K211" s="27"/>
      <c r="L211" s="27"/>
      <c r="M211" s="27"/>
      <c r="N211" s="27"/>
      <c r="O211" s="27"/>
      <c r="P211" s="27"/>
      <c r="Q211" s="27"/>
      <c r="R211" s="27"/>
      <c r="S211" s="27"/>
      <c r="T211" s="27"/>
      <c r="U211" s="27"/>
      <c r="V211" s="27"/>
      <c r="W211" s="27"/>
      <c r="X211" s="27"/>
    </row>
    <row r="212" spans="1:26" ht="12.9" customHeight="1">
      <c r="A212" s="30"/>
      <c r="B212" s="30"/>
      <c r="C212" s="30"/>
      <c r="D212" s="30"/>
      <c r="E212" s="30"/>
      <c r="F212" s="34"/>
      <c r="G212" s="30"/>
      <c r="H212" s="34"/>
      <c r="I212" s="30"/>
      <c r="J212" s="34"/>
      <c r="K212" s="30"/>
      <c r="L212" s="30"/>
      <c r="M212" s="30"/>
      <c r="N212" s="36"/>
      <c r="O212" s="30"/>
      <c r="P212" s="34"/>
      <c r="Q212" s="30"/>
      <c r="R212" s="34"/>
      <c r="S212" s="30"/>
      <c r="T212" s="34"/>
      <c r="U212" s="30"/>
      <c r="V212" s="34"/>
      <c r="W212" s="30"/>
      <c r="X212" s="34"/>
    </row>
    <row r="213" spans="1:26" ht="12.9" customHeight="1">
      <c r="A213" s="30"/>
      <c r="B213" s="30"/>
      <c r="C213" s="30"/>
      <c r="D213" s="31" t="s">
        <v>602</v>
      </c>
      <c r="E213" s="30"/>
      <c r="F213" s="32"/>
      <c r="G213" s="32"/>
      <c r="H213" s="32"/>
      <c r="I213" s="32"/>
      <c r="J213" s="32"/>
      <c r="K213" s="32"/>
      <c r="L213" s="32"/>
      <c r="M213" s="30"/>
      <c r="N213" s="32" t="s">
        <v>603</v>
      </c>
      <c r="O213" s="32"/>
      <c r="P213" s="32"/>
      <c r="Q213" s="32"/>
      <c r="R213" s="32"/>
      <c r="S213" s="32"/>
      <c r="T213" s="32"/>
      <c r="U213" s="32"/>
      <c r="V213" s="32"/>
      <c r="X213" s="93" t="s">
        <v>604</v>
      </c>
    </row>
    <row r="214" spans="1:26" ht="12.9" customHeight="1">
      <c r="A214" s="30"/>
      <c r="B214" s="30"/>
      <c r="C214" s="30"/>
      <c r="D214" s="33" t="s">
        <v>453</v>
      </c>
      <c r="E214" s="30"/>
      <c r="F214" s="33" t="s">
        <v>400</v>
      </c>
      <c r="G214" s="30"/>
      <c r="H214" s="33" t="s">
        <v>401</v>
      </c>
      <c r="I214" s="30"/>
      <c r="J214" s="33" t="s">
        <v>605</v>
      </c>
      <c r="K214" s="30"/>
      <c r="L214" s="33" t="s">
        <v>400</v>
      </c>
      <c r="M214" s="30"/>
      <c r="N214" s="33"/>
      <c r="O214" s="30"/>
      <c r="P214" s="33" t="s">
        <v>400</v>
      </c>
      <c r="Q214" s="30"/>
      <c r="R214" s="33" t="s">
        <v>401</v>
      </c>
      <c r="S214" s="30"/>
      <c r="T214" s="33" t="s">
        <v>605</v>
      </c>
      <c r="U214" s="30"/>
      <c r="V214" s="33" t="s">
        <v>400</v>
      </c>
      <c r="W214" s="30"/>
      <c r="X214" s="33" t="str">
        <f>+X61</f>
        <v xml:space="preserve"> 12/31/14</v>
      </c>
    </row>
    <row r="215" spans="1:26" ht="12.9" customHeight="1" thickBot="1">
      <c r="A215" s="28" t="s">
        <v>764</v>
      </c>
      <c r="B215" s="65"/>
      <c r="C215" s="30"/>
      <c r="D215" s="31"/>
      <c r="E215" s="30"/>
      <c r="F215" s="34"/>
      <c r="G215" s="30"/>
      <c r="H215" s="34"/>
      <c r="I215" s="30"/>
      <c r="J215" s="34"/>
      <c r="K215" s="30"/>
      <c r="L215" s="34"/>
      <c r="M215" s="30"/>
      <c r="N215" s="35"/>
      <c r="O215" s="30"/>
      <c r="P215" s="34"/>
      <c r="Q215" s="30"/>
      <c r="R215" s="34"/>
      <c r="S215" s="30"/>
      <c r="T215" s="30"/>
      <c r="U215" s="30"/>
      <c r="V215" s="34"/>
      <c r="W215" s="30"/>
      <c r="X215" s="34"/>
    </row>
    <row r="216" spans="1:26" ht="12.9" customHeight="1">
      <c r="A216" s="98"/>
      <c r="B216" s="263" t="s">
        <v>765</v>
      </c>
      <c r="C216" s="264"/>
      <c r="D216" s="312"/>
      <c r="E216" s="313"/>
      <c r="F216" s="314"/>
      <c r="G216" s="314"/>
      <c r="H216" s="314"/>
      <c r="I216" s="314"/>
      <c r="J216" s="314"/>
      <c r="K216" s="314"/>
      <c r="L216" s="314"/>
      <c r="M216" s="313"/>
      <c r="N216" s="315"/>
      <c r="O216" s="313"/>
      <c r="P216" s="314"/>
      <c r="Q216" s="314"/>
      <c r="R216" s="314"/>
      <c r="S216" s="314"/>
      <c r="T216" s="314"/>
      <c r="U216" s="314"/>
      <c r="V216" s="314"/>
      <c r="W216" s="314"/>
      <c r="X216" s="316"/>
      <c r="Y216" s="68"/>
      <c r="Z216" s="68"/>
    </row>
    <row r="217" spans="1:26" ht="12.9" customHeight="1">
      <c r="A217" s="98"/>
      <c r="B217" s="265" t="s">
        <v>739</v>
      </c>
      <c r="C217" s="104"/>
      <c r="D217" s="317" t="s">
        <v>705</v>
      </c>
      <c r="E217" s="318"/>
      <c r="F217" s="319">
        <v>1407207</v>
      </c>
      <c r="G217" s="319"/>
      <c r="H217" s="319"/>
      <c r="I217" s="319"/>
      <c r="J217" s="319"/>
      <c r="K217" s="319"/>
      <c r="L217" s="319">
        <f t="shared" ref="L217:L257" si="22">F217+H217-J217</f>
        <v>1407207</v>
      </c>
      <c r="M217" s="318"/>
      <c r="N217" s="320">
        <v>3.3300000000000003E-2</v>
      </c>
      <c r="O217" s="318"/>
      <c r="P217" s="319">
        <v>444525.8</v>
      </c>
      <c r="Q217" s="319"/>
      <c r="R217" s="319">
        <v>46859.993100000007</v>
      </c>
      <c r="S217" s="319"/>
      <c r="T217" s="319"/>
      <c r="U217" s="319"/>
      <c r="V217" s="319">
        <f>ROUND(+P217+R217-T217,2)</f>
        <v>491385.79</v>
      </c>
      <c r="W217" s="319"/>
      <c r="X217" s="321">
        <f t="shared" ref="X217:X257" si="23">ROUND(+L217-V217,2)</f>
        <v>915821.21</v>
      </c>
      <c r="Y217" s="68"/>
      <c r="Z217" s="68"/>
    </row>
    <row r="218" spans="1:26" ht="12.9" customHeight="1" thickBot="1">
      <c r="A218" s="98"/>
      <c r="B218" s="266" t="s">
        <v>740</v>
      </c>
      <c r="C218" s="267"/>
      <c r="D218" s="322" t="s">
        <v>705</v>
      </c>
      <c r="E218" s="323"/>
      <c r="F218" s="324">
        <v>3659520.76</v>
      </c>
      <c r="G218" s="324"/>
      <c r="H218" s="324"/>
      <c r="I218" s="324"/>
      <c r="J218" s="324"/>
      <c r="K218" s="324"/>
      <c r="L218" s="324">
        <f t="shared" si="22"/>
        <v>3659520.76</v>
      </c>
      <c r="M218" s="323"/>
      <c r="N218" s="325">
        <v>2.5000000000000001E-2</v>
      </c>
      <c r="O218" s="323"/>
      <c r="P218" s="324">
        <v>1156014.1399999999</v>
      </c>
      <c r="Q218" s="324"/>
      <c r="R218" s="324">
        <v>121862.04930000003</v>
      </c>
      <c r="S218" s="324"/>
      <c r="T218" s="324"/>
      <c r="U218" s="324"/>
      <c r="V218" s="324">
        <f>ROUND(+P218+R218-T218,2)-0.12</f>
        <v>1277876.0699999998</v>
      </c>
      <c r="W218" s="324"/>
      <c r="X218" s="326">
        <f t="shared" si="23"/>
        <v>2381644.69</v>
      </c>
      <c r="Y218" s="68"/>
      <c r="Z218" s="68"/>
    </row>
    <row r="219" spans="1:26" ht="12.9" customHeight="1">
      <c r="A219" s="98"/>
      <c r="B219" s="102" t="s">
        <v>706</v>
      </c>
      <c r="C219" s="98"/>
      <c r="D219" s="103" t="s">
        <v>697</v>
      </c>
      <c r="E219" s="104"/>
      <c r="F219" s="105">
        <v>307208.01</v>
      </c>
      <c r="G219" s="105"/>
      <c r="H219" s="105"/>
      <c r="I219" s="104"/>
      <c r="J219" s="105"/>
      <c r="K219" s="104"/>
      <c r="L219" s="105">
        <f t="shared" si="22"/>
        <v>307208.01</v>
      </c>
      <c r="M219" s="105"/>
      <c r="N219" s="69">
        <v>3.3300000000000003E-2</v>
      </c>
      <c r="O219" s="104"/>
      <c r="P219" s="105">
        <v>307208.01</v>
      </c>
      <c r="Q219" s="104"/>
      <c r="R219" s="105">
        <f>ROUND(IF(L219-P219=0,0,IF(L219-P219&lt;L219*N219,+L219-P219,L219*N219)),2)</f>
        <v>0</v>
      </c>
      <c r="S219" s="104"/>
      <c r="T219" s="105"/>
      <c r="U219" s="104"/>
      <c r="V219" s="105">
        <f t="shared" ref="V219:V257" si="24">ROUND(+P219+R219-T219,2)</f>
        <v>307208.01</v>
      </c>
      <c r="W219" s="105"/>
      <c r="X219" s="105">
        <f t="shared" si="23"/>
        <v>0</v>
      </c>
      <c r="Y219" s="68"/>
      <c r="Z219" s="68"/>
    </row>
    <row r="220" spans="1:26" ht="12.9" customHeight="1">
      <c r="A220" s="30"/>
      <c r="B220" s="38" t="s">
        <v>707</v>
      </c>
      <c r="C220" s="30"/>
      <c r="D220" s="66" t="s">
        <v>697</v>
      </c>
      <c r="E220" s="65"/>
      <c r="F220" s="70">
        <v>932115.58</v>
      </c>
      <c r="G220" s="65"/>
      <c r="H220" s="70"/>
      <c r="I220" s="65"/>
      <c r="J220" s="65"/>
      <c r="K220" s="65"/>
      <c r="L220" s="70">
        <f t="shared" si="22"/>
        <v>932115.58</v>
      </c>
      <c r="M220" s="65"/>
      <c r="N220" s="67">
        <v>3.3300000000000003E-2</v>
      </c>
      <c r="O220" s="65"/>
      <c r="P220" s="70">
        <v>818087.49</v>
      </c>
      <c r="Q220" s="65"/>
      <c r="R220" s="70">
        <f>ROUND(IF(L220-P220=0,0,IF(L220-P220&lt;L220*N220,+L220-P220,L220*N220)),2)</f>
        <v>31039.45</v>
      </c>
      <c r="S220" s="65"/>
      <c r="T220" s="65"/>
      <c r="U220" s="65"/>
      <c r="V220" s="70">
        <f t="shared" si="24"/>
        <v>849126.94</v>
      </c>
      <c r="W220" s="65"/>
      <c r="X220" s="70">
        <f t="shared" si="23"/>
        <v>82988.639999999999</v>
      </c>
      <c r="Y220" s="68"/>
      <c r="Z220" s="68"/>
    </row>
    <row r="221" spans="1:26" ht="12.9" customHeight="1">
      <c r="A221" s="30"/>
      <c r="B221" s="38" t="s">
        <v>708</v>
      </c>
      <c r="C221" s="30"/>
      <c r="D221" s="66" t="s">
        <v>697</v>
      </c>
      <c r="E221" s="65"/>
      <c r="F221" s="70">
        <v>451776.49</v>
      </c>
      <c r="G221" s="65"/>
      <c r="H221" s="70"/>
      <c r="I221" s="65"/>
      <c r="J221" s="34">
        <v>27275</v>
      </c>
      <c r="K221" s="65"/>
      <c r="L221" s="70">
        <f t="shared" si="22"/>
        <v>424501.49</v>
      </c>
      <c r="M221" s="65"/>
      <c r="N221" s="67">
        <v>3.3300000000000003E-2</v>
      </c>
      <c r="O221" s="65"/>
      <c r="P221" s="70">
        <v>451776.49</v>
      </c>
      <c r="Q221" s="65"/>
      <c r="R221" s="70">
        <v>0</v>
      </c>
      <c r="S221" s="65"/>
      <c r="T221" s="70">
        <v>27275</v>
      </c>
      <c r="U221" s="65"/>
      <c r="V221" s="70">
        <f t="shared" si="24"/>
        <v>424501.49</v>
      </c>
      <c r="W221" s="65"/>
      <c r="X221" s="70">
        <f t="shared" si="23"/>
        <v>0</v>
      </c>
      <c r="Y221" s="70"/>
      <c r="Z221" s="70"/>
    </row>
    <row r="222" spans="1:26" ht="12.9" customHeight="1">
      <c r="A222" s="30"/>
      <c r="B222" s="38" t="s">
        <v>473</v>
      </c>
      <c r="C222" s="30"/>
      <c r="D222" s="31" t="s">
        <v>697</v>
      </c>
      <c r="E222" s="30"/>
      <c r="F222" s="34">
        <v>709577.39</v>
      </c>
      <c r="G222" s="30"/>
      <c r="H222" s="34"/>
      <c r="I222" s="30"/>
      <c r="J222" s="30"/>
      <c r="K222" s="30"/>
      <c r="L222" s="34">
        <f t="shared" si="22"/>
        <v>709577.39</v>
      </c>
      <c r="M222" s="30"/>
      <c r="N222" s="35">
        <v>3.3300000000000003E-2</v>
      </c>
      <c r="O222" s="30"/>
      <c r="P222" s="34">
        <v>709577.39</v>
      </c>
      <c r="Q222" s="30"/>
      <c r="R222" s="34">
        <f>ROUND(IF(L222-P222=0,0,IF(L222-P222&lt;L222*N222,+L222-P222,L222*N222)),2)</f>
        <v>0</v>
      </c>
      <c r="S222" s="30"/>
      <c r="T222" s="30"/>
      <c r="U222" s="30"/>
      <c r="V222" s="34">
        <f t="shared" si="24"/>
        <v>709577.39</v>
      </c>
      <c r="W222" s="30"/>
      <c r="X222" s="34">
        <f t="shared" si="23"/>
        <v>0</v>
      </c>
    </row>
    <row r="223" spans="1:26" ht="12.9" customHeight="1">
      <c r="A223" s="30"/>
      <c r="B223" s="38" t="s">
        <v>709</v>
      </c>
      <c r="C223" s="30"/>
      <c r="D223" s="31" t="s">
        <v>697</v>
      </c>
      <c r="E223" s="30"/>
      <c r="F223" s="34">
        <v>216852.7</v>
      </c>
      <c r="G223" s="30"/>
      <c r="H223" s="34"/>
      <c r="I223" s="30"/>
      <c r="J223" s="30"/>
      <c r="K223" s="30"/>
      <c r="L223" s="34">
        <f t="shared" si="22"/>
        <v>216852.7</v>
      </c>
      <c r="M223" s="30"/>
      <c r="N223" s="35">
        <v>3.3300000000000003E-2</v>
      </c>
      <c r="O223" s="30"/>
      <c r="P223" s="34">
        <v>216852.7</v>
      </c>
      <c r="Q223" s="30"/>
      <c r="R223" s="34">
        <f>ROUND(IF(L223-P223=0,0,IF(L223-P223&lt;L223*N223,+L223-P223,L223*N223)),2)</f>
        <v>0</v>
      </c>
      <c r="S223" s="30"/>
      <c r="T223" s="30"/>
      <c r="U223" s="30"/>
      <c r="V223" s="34">
        <f t="shared" si="24"/>
        <v>216852.7</v>
      </c>
      <c r="W223" s="30"/>
      <c r="X223" s="34">
        <f t="shared" si="23"/>
        <v>0</v>
      </c>
    </row>
    <row r="224" spans="1:26" ht="12.9" customHeight="1">
      <c r="A224" s="30"/>
      <c r="B224" s="38" t="s">
        <v>710</v>
      </c>
      <c r="C224" s="30"/>
      <c r="D224" s="31" t="s">
        <v>697</v>
      </c>
      <c r="E224" s="30"/>
      <c r="F224" s="34">
        <v>180081.51</v>
      </c>
      <c r="G224" s="30"/>
      <c r="H224" s="34"/>
      <c r="I224" s="30"/>
      <c r="J224" s="30"/>
      <c r="K224" s="30"/>
      <c r="L224" s="34">
        <f t="shared" si="22"/>
        <v>180081.51</v>
      </c>
      <c r="M224" s="30"/>
      <c r="N224" s="35">
        <v>3.3300000000000003E-2</v>
      </c>
      <c r="O224" s="30"/>
      <c r="P224" s="34">
        <v>180081.51</v>
      </c>
      <c r="Q224" s="30"/>
      <c r="R224" s="34">
        <f>ROUND(IF(L224-P224=0,0,IF(L224-P224&lt;L224*N224,+L224-P224,L224*N224)),2)</f>
        <v>0</v>
      </c>
      <c r="S224" s="30"/>
      <c r="T224" s="30"/>
      <c r="U224" s="30"/>
      <c r="V224" s="34">
        <f t="shared" si="24"/>
        <v>180081.51</v>
      </c>
      <c r="W224" s="30"/>
      <c r="X224" s="34">
        <f t="shared" si="23"/>
        <v>0</v>
      </c>
    </row>
    <row r="225" spans="1:24" ht="12.9" customHeight="1">
      <c r="A225" s="30"/>
      <c r="B225" s="38" t="s">
        <v>711</v>
      </c>
      <c r="C225" s="30"/>
      <c r="D225" s="31" t="s">
        <v>697</v>
      </c>
      <c r="E225" s="30"/>
      <c r="F225" s="34">
        <v>118892.32</v>
      </c>
      <c r="G225" s="30"/>
      <c r="H225" s="34"/>
      <c r="I225" s="30"/>
      <c r="J225" s="30"/>
      <c r="K225" s="30"/>
      <c r="L225" s="34">
        <f t="shared" si="22"/>
        <v>118892.32</v>
      </c>
      <c r="M225" s="30"/>
      <c r="N225" s="35">
        <v>3.3300000000000003E-2</v>
      </c>
      <c r="O225" s="30"/>
      <c r="P225" s="34">
        <v>118892.32</v>
      </c>
      <c r="Q225" s="30"/>
      <c r="R225" s="34">
        <f t="shared" ref="R225:R257" si="25">ROUND(IF(L225-P225=0,0,IF(L225-P225&lt;L225*N225,+L225-P225,L225*N225)),2)</f>
        <v>0</v>
      </c>
      <c r="S225" s="30"/>
      <c r="T225" s="30"/>
      <c r="U225" s="30"/>
      <c r="V225" s="34">
        <f t="shared" si="24"/>
        <v>118892.32</v>
      </c>
      <c r="W225" s="30"/>
      <c r="X225" s="34">
        <f t="shared" si="23"/>
        <v>0</v>
      </c>
    </row>
    <row r="226" spans="1:24" ht="12.9" customHeight="1">
      <c r="A226" s="30"/>
      <c r="B226" s="38" t="s">
        <v>712</v>
      </c>
      <c r="C226" s="30"/>
      <c r="D226" s="31" t="s">
        <v>697</v>
      </c>
      <c r="E226" s="30"/>
      <c r="F226" s="34">
        <v>318179.65000000002</v>
      </c>
      <c r="G226" s="30"/>
      <c r="H226" s="34"/>
      <c r="I226" s="30"/>
      <c r="J226" s="30"/>
      <c r="K226" s="30"/>
      <c r="L226" s="34">
        <f t="shared" si="22"/>
        <v>318179.65000000002</v>
      </c>
      <c r="M226" s="30"/>
      <c r="N226" s="35">
        <v>3.3300000000000003E-2</v>
      </c>
      <c r="O226" s="30"/>
      <c r="P226" s="34">
        <v>318179.65000000002</v>
      </c>
      <c r="Q226" s="30"/>
      <c r="R226" s="34">
        <f t="shared" si="25"/>
        <v>0</v>
      </c>
      <c r="S226" s="30"/>
      <c r="T226" s="30"/>
      <c r="U226" s="30"/>
      <c r="V226" s="34">
        <f t="shared" si="24"/>
        <v>318179.65000000002</v>
      </c>
      <c r="W226" s="30"/>
      <c r="X226" s="34">
        <f t="shared" si="23"/>
        <v>0</v>
      </c>
    </row>
    <row r="227" spans="1:24" ht="12.9" customHeight="1">
      <c r="A227" s="30"/>
      <c r="B227" s="38" t="s">
        <v>712</v>
      </c>
      <c r="C227" s="30"/>
      <c r="D227" s="31">
        <v>1998</v>
      </c>
      <c r="E227" s="30"/>
      <c r="F227" s="34">
        <v>32446.05</v>
      </c>
      <c r="G227" s="30"/>
      <c r="H227" s="34"/>
      <c r="I227" s="30"/>
      <c r="J227" s="30"/>
      <c r="K227" s="30"/>
      <c r="L227" s="34">
        <f t="shared" si="22"/>
        <v>32446.05</v>
      </c>
      <c r="M227" s="30"/>
      <c r="N227" s="35">
        <v>3.3300000000000003E-2</v>
      </c>
      <c r="O227" s="30"/>
      <c r="P227" s="34">
        <v>17287.2</v>
      </c>
      <c r="Q227" s="30"/>
      <c r="R227" s="34">
        <f t="shared" si="25"/>
        <v>1080.45</v>
      </c>
      <c r="S227" s="30"/>
      <c r="T227" s="30"/>
      <c r="U227" s="30"/>
      <c r="V227" s="34">
        <f t="shared" si="24"/>
        <v>18367.650000000001</v>
      </c>
      <c r="W227" s="30"/>
      <c r="X227" s="34">
        <f t="shared" si="23"/>
        <v>14078.4</v>
      </c>
    </row>
    <row r="228" spans="1:24" ht="12.9" customHeight="1">
      <c r="A228" s="30"/>
      <c r="B228" s="38" t="s">
        <v>712</v>
      </c>
      <c r="C228" s="30"/>
      <c r="D228" s="31">
        <v>1999</v>
      </c>
      <c r="E228" s="30"/>
      <c r="F228" s="34">
        <v>19928.3</v>
      </c>
      <c r="G228" s="30"/>
      <c r="H228" s="34"/>
      <c r="I228" s="30"/>
      <c r="J228" s="30"/>
      <c r="K228" s="30"/>
      <c r="L228" s="34">
        <f t="shared" si="22"/>
        <v>19928.3</v>
      </c>
      <c r="M228" s="30"/>
      <c r="N228" s="35">
        <v>3.3300000000000003E-2</v>
      </c>
      <c r="O228" s="30"/>
      <c r="P228" s="34">
        <v>9954.15</v>
      </c>
      <c r="Q228" s="30"/>
      <c r="R228" s="34">
        <f t="shared" si="25"/>
        <v>663.61</v>
      </c>
      <c r="S228" s="30"/>
      <c r="T228" s="30"/>
      <c r="U228" s="30"/>
      <c r="V228" s="34">
        <f t="shared" si="24"/>
        <v>10617.76</v>
      </c>
      <c r="W228" s="30"/>
      <c r="X228" s="34">
        <f t="shared" si="23"/>
        <v>9310.5400000000009</v>
      </c>
    </row>
    <row r="229" spans="1:24" ht="12.9" customHeight="1">
      <c r="A229" s="30"/>
      <c r="B229" s="38" t="s">
        <v>712</v>
      </c>
      <c r="C229" s="30"/>
      <c r="D229" s="31">
        <v>2001</v>
      </c>
      <c r="E229" s="30"/>
      <c r="F229" s="34">
        <v>16385.400000000001</v>
      </c>
      <c r="G229" s="30"/>
      <c r="H229" s="34"/>
      <c r="I229" s="30"/>
      <c r="J229" s="30"/>
      <c r="K229" s="30"/>
      <c r="L229" s="34">
        <f t="shared" si="22"/>
        <v>16385.400000000001</v>
      </c>
      <c r="M229" s="30"/>
      <c r="N229" s="35">
        <v>3.3300000000000003E-2</v>
      </c>
      <c r="O229" s="30"/>
      <c r="P229" s="34">
        <v>6547.56</v>
      </c>
      <c r="Q229" s="30"/>
      <c r="R229" s="34">
        <f t="shared" si="25"/>
        <v>545.63</v>
      </c>
      <c r="S229" s="30"/>
      <c r="T229" s="30"/>
      <c r="U229" s="30"/>
      <c r="V229" s="34">
        <f t="shared" si="24"/>
        <v>7093.19</v>
      </c>
      <c r="W229" s="30"/>
      <c r="X229" s="34">
        <f t="shared" si="23"/>
        <v>9292.2099999999991</v>
      </c>
    </row>
    <row r="230" spans="1:24" ht="12.9" customHeight="1">
      <c r="A230" s="30"/>
      <c r="B230" s="38" t="s">
        <v>712</v>
      </c>
      <c r="C230" s="30"/>
      <c r="D230" s="31">
        <v>2002</v>
      </c>
      <c r="E230" s="30"/>
      <c r="F230" s="34">
        <v>24468.89</v>
      </c>
      <c r="G230" s="30"/>
      <c r="H230" s="34"/>
      <c r="I230" s="30"/>
      <c r="J230" s="30"/>
      <c r="K230" s="30"/>
      <c r="L230" s="34">
        <f t="shared" si="22"/>
        <v>24468.89</v>
      </c>
      <c r="M230" s="30"/>
      <c r="N230" s="35">
        <v>3.3300000000000003E-2</v>
      </c>
      <c r="O230" s="30"/>
      <c r="P230" s="34">
        <v>8962.91</v>
      </c>
      <c r="Q230" s="30"/>
      <c r="R230" s="34">
        <f t="shared" si="25"/>
        <v>814.81</v>
      </c>
      <c r="S230" s="30"/>
      <c r="T230" s="30"/>
      <c r="U230" s="30"/>
      <c r="V230" s="34">
        <f t="shared" si="24"/>
        <v>9777.7199999999993</v>
      </c>
      <c r="W230" s="30"/>
      <c r="X230" s="34">
        <f t="shared" si="23"/>
        <v>14691.17</v>
      </c>
    </row>
    <row r="231" spans="1:24" ht="12.9" customHeight="1">
      <c r="A231" s="30"/>
      <c r="B231" s="38" t="s">
        <v>712</v>
      </c>
      <c r="C231" s="30"/>
      <c r="D231" s="31">
        <v>2003</v>
      </c>
      <c r="E231" s="30"/>
      <c r="F231" s="34">
        <v>24612.54</v>
      </c>
      <c r="G231" s="30"/>
      <c r="H231" s="34"/>
      <c r="I231" s="30"/>
      <c r="J231" s="30"/>
      <c r="K231" s="30"/>
      <c r="L231" s="34">
        <f t="shared" si="22"/>
        <v>24612.54</v>
      </c>
      <c r="M231" s="30"/>
      <c r="N231" s="35">
        <v>3.3300000000000003E-2</v>
      </c>
      <c r="O231" s="30"/>
      <c r="P231" s="34">
        <v>8196</v>
      </c>
      <c r="Q231" s="30"/>
      <c r="R231" s="34">
        <f t="shared" si="25"/>
        <v>819.6</v>
      </c>
      <c r="S231" s="30"/>
      <c r="T231" s="30"/>
      <c r="U231" s="30"/>
      <c r="V231" s="34">
        <f t="shared" si="24"/>
        <v>9015.6</v>
      </c>
      <c r="W231" s="30"/>
      <c r="X231" s="34">
        <f t="shared" si="23"/>
        <v>15596.94</v>
      </c>
    </row>
    <row r="232" spans="1:24" ht="12.9" customHeight="1">
      <c r="A232" s="30"/>
      <c r="B232" s="38" t="s">
        <v>712</v>
      </c>
      <c r="C232" s="30"/>
      <c r="D232" s="31">
        <v>2004</v>
      </c>
      <c r="E232" s="30"/>
      <c r="F232" s="34">
        <v>22485.33</v>
      </c>
      <c r="G232" s="30"/>
      <c r="H232" s="34"/>
      <c r="I232" s="30"/>
      <c r="J232" s="30"/>
      <c r="K232" s="30"/>
      <c r="L232" s="34">
        <f t="shared" si="22"/>
        <v>22485.33</v>
      </c>
      <c r="M232" s="30"/>
      <c r="N232" s="35">
        <v>3.3300000000000003E-2</v>
      </c>
      <c r="O232" s="30"/>
      <c r="P232" s="34">
        <v>3743.8</v>
      </c>
      <c r="Q232" s="30"/>
      <c r="R232" s="34">
        <f t="shared" si="25"/>
        <v>748.76</v>
      </c>
      <c r="S232" s="30"/>
      <c r="T232" s="30"/>
      <c r="U232" s="30"/>
      <c r="V232" s="34">
        <f t="shared" si="24"/>
        <v>4492.5600000000004</v>
      </c>
      <c r="W232" s="30"/>
      <c r="X232" s="34">
        <f t="shared" si="23"/>
        <v>17992.77</v>
      </c>
    </row>
    <row r="233" spans="1:24" ht="12.9" customHeight="1">
      <c r="A233" s="30"/>
      <c r="B233" s="38" t="s">
        <v>712</v>
      </c>
      <c r="C233" s="30"/>
      <c r="D233" s="31">
        <v>2005</v>
      </c>
      <c r="E233" s="30"/>
      <c r="F233" s="34">
        <v>15352.43</v>
      </c>
      <c r="G233" s="30"/>
      <c r="H233" s="34"/>
      <c r="I233" s="30"/>
      <c r="J233" s="34"/>
      <c r="K233" s="30"/>
      <c r="L233" s="34">
        <f t="shared" si="22"/>
        <v>15352.43</v>
      </c>
      <c r="M233" s="30"/>
      <c r="N233" s="35">
        <v>3.3300000000000003E-2</v>
      </c>
      <c r="O233" s="30"/>
      <c r="P233" s="34">
        <v>4089.92</v>
      </c>
      <c r="Q233" s="30"/>
      <c r="R233" s="34">
        <f t="shared" si="25"/>
        <v>511.24</v>
      </c>
      <c r="S233" s="30"/>
      <c r="T233" s="30"/>
      <c r="U233" s="30"/>
      <c r="V233" s="34">
        <f t="shared" si="24"/>
        <v>4601.16</v>
      </c>
      <c r="W233" s="30"/>
      <c r="X233" s="34">
        <f t="shared" si="23"/>
        <v>10751.27</v>
      </c>
    </row>
    <row r="234" spans="1:24" ht="12.9" customHeight="1">
      <c r="A234" s="30"/>
      <c r="B234" s="38" t="s">
        <v>712</v>
      </c>
      <c r="C234" s="30"/>
      <c r="D234" s="31">
        <v>2006</v>
      </c>
      <c r="E234" s="30"/>
      <c r="F234" s="34">
        <v>21135.23</v>
      </c>
      <c r="G234" s="30"/>
      <c r="H234" s="34"/>
      <c r="I234" s="30"/>
      <c r="J234" s="34"/>
      <c r="K234" s="30"/>
      <c r="L234" s="34">
        <f t="shared" si="22"/>
        <v>21135.23</v>
      </c>
      <c r="M234" s="30"/>
      <c r="N234" s="35">
        <v>3.3300000000000003E-2</v>
      </c>
      <c r="O234" s="30"/>
      <c r="P234" s="34">
        <v>4926.6000000000004</v>
      </c>
      <c r="Q234" s="30"/>
      <c r="R234" s="34">
        <f t="shared" si="25"/>
        <v>703.8</v>
      </c>
      <c r="S234" s="30"/>
      <c r="T234" s="30"/>
      <c r="U234" s="30"/>
      <c r="V234" s="34">
        <f t="shared" si="24"/>
        <v>5630.4</v>
      </c>
      <c r="W234" s="30"/>
      <c r="X234" s="34">
        <f t="shared" si="23"/>
        <v>15504.83</v>
      </c>
    </row>
    <row r="235" spans="1:24" ht="12.9" customHeight="1">
      <c r="A235" s="30"/>
      <c r="B235" s="38" t="s">
        <v>712</v>
      </c>
      <c r="C235" s="30"/>
      <c r="D235" s="31">
        <v>2007</v>
      </c>
      <c r="E235" s="30"/>
      <c r="F235" s="34">
        <v>17661.66</v>
      </c>
      <c r="G235" s="30"/>
      <c r="H235" s="34"/>
      <c r="I235" s="30"/>
      <c r="J235" s="34"/>
      <c r="K235" s="30"/>
      <c r="L235" s="34">
        <f t="shared" si="22"/>
        <v>17661.66</v>
      </c>
      <c r="M235" s="30"/>
      <c r="N235" s="35">
        <v>3.3000000000000002E-2</v>
      </c>
      <c r="O235" s="30"/>
      <c r="P235" s="34">
        <v>3496.98</v>
      </c>
      <c r="Q235" s="30"/>
      <c r="R235" s="34">
        <f t="shared" si="25"/>
        <v>582.83000000000004</v>
      </c>
      <c r="S235" s="30"/>
      <c r="T235" s="30"/>
      <c r="U235" s="30"/>
      <c r="V235" s="34">
        <f t="shared" si="24"/>
        <v>4079.81</v>
      </c>
      <c r="W235" s="30"/>
      <c r="X235" s="34">
        <f t="shared" si="23"/>
        <v>13581.85</v>
      </c>
    </row>
    <row r="236" spans="1:24" ht="12.9" customHeight="1">
      <c r="A236" s="30"/>
      <c r="B236" s="38" t="s">
        <v>712</v>
      </c>
      <c r="C236" s="30"/>
      <c r="D236" s="31">
        <v>2008</v>
      </c>
      <c r="E236" s="30"/>
      <c r="F236" s="34">
        <v>23761.71</v>
      </c>
      <c r="G236" s="30"/>
      <c r="H236" s="34"/>
      <c r="I236" s="30"/>
      <c r="J236" s="34"/>
      <c r="K236" s="30"/>
      <c r="L236" s="34">
        <f t="shared" si="22"/>
        <v>23761.71</v>
      </c>
      <c r="M236" s="30"/>
      <c r="N236" s="35">
        <v>3.3000000000000002E-2</v>
      </c>
      <c r="O236" s="30"/>
      <c r="P236" s="34">
        <v>3920.7</v>
      </c>
      <c r="Q236" s="30"/>
      <c r="R236" s="34">
        <f t="shared" si="25"/>
        <v>784.14</v>
      </c>
      <c r="S236" s="30"/>
      <c r="T236" s="30"/>
      <c r="U236" s="30"/>
      <c r="V236" s="34">
        <f t="shared" si="24"/>
        <v>4704.84</v>
      </c>
      <c r="W236" s="30"/>
      <c r="X236" s="34">
        <f t="shared" si="23"/>
        <v>19056.87</v>
      </c>
    </row>
    <row r="237" spans="1:24" ht="12.9" customHeight="1">
      <c r="A237" s="30"/>
      <c r="B237" s="38" t="s">
        <v>712</v>
      </c>
      <c r="C237" s="30"/>
      <c r="D237" s="31">
        <v>2009</v>
      </c>
      <c r="E237" s="30"/>
      <c r="F237" s="34">
        <v>6442.68</v>
      </c>
      <c r="G237" s="30"/>
      <c r="H237" s="34"/>
      <c r="I237" s="30"/>
      <c r="J237" s="34"/>
      <c r="K237" s="30"/>
      <c r="L237" s="34">
        <f t="shared" si="22"/>
        <v>6442.68</v>
      </c>
      <c r="M237" s="30"/>
      <c r="N237" s="35">
        <v>3.3000000000000002E-2</v>
      </c>
      <c r="O237" s="30"/>
      <c r="P237" s="34">
        <v>850.44</v>
      </c>
      <c r="Q237" s="30"/>
      <c r="R237" s="34">
        <f t="shared" si="25"/>
        <v>212.61</v>
      </c>
      <c r="S237" s="30"/>
      <c r="T237" s="30"/>
      <c r="U237" s="30"/>
      <c r="V237" s="34">
        <f t="shared" si="24"/>
        <v>1063.05</v>
      </c>
      <c r="W237" s="30"/>
      <c r="X237" s="34">
        <f t="shared" si="23"/>
        <v>5379.63</v>
      </c>
    </row>
    <row r="238" spans="1:24" ht="12.9" customHeight="1">
      <c r="A238" s="30"/>
      <c r="B238" s="38" t="s">
        <v>712</v>
      </c>
      <c r="C238" s="30"/>
      <c r="D238" s="31">
        <v>2010</v>
      </c>
      <c r="E238" s="30"/>
      <c r="F238" s="34">
        <v>18234.59</v>
      </c>
      <c r="G238" s="30"/>
      <c r="H238" s="34"/>
      <c r="I238" s="30"/>
      <c r="J238" s="34"/>
      <c r="K238" s="30"/>
      <c r="L238" s="34">
        <f t="shared" si="22"/>
        <v>18234.59</v>
      </c>
      <c r="M238" s="30"/>
      <c r="N238" s="35">
        <v>3.3300000000000003E-2</v>
      </c>
      <c r="O238" s="30"/>
      <c r="P238" s="34">
        <v>1821.63</v>
      </c>
      <c r="Q238" s="30"/>
      <c r="R238" s="34">
        <f t="shared" si="25"/>
        <v>607.21</v>
      </c>
      <c r="S238" s="30"/>
      <c r="T238" s="30"/>
      <c r="U238" s="30"/>
      <c r="V238" s="34">
        <f t="shared" si="24"/>
        <v>2428.84</v>
      </c>
      <c r="W238" s="30"/>
      <c r="X238" s="34">
        <f t="shared" si="23"/>
        <v>15805.75</v>
      </c>
    </row>
    <row r="239" spans="1:24" ht="12.9" customHeight="1">
      <c r="A239" s="30"/>
      <c r="B239" s="38" t="s">
        <v>712</v>
      </c>
      <c r="C239" s="30"/>
      <c r="D239" s="31">
        <v>2011</v>
      </c>
      <c r="E239" s="30"/>
      <c r="F239" s="34">
        <v>15132.39</v>
      </c>
      <c r="G239" s="30"/>
      <c r="H239" s="34"/>
      <c r="I239" s="30"/>
      <c r="J239" s="34"/>
      <c r="K239" s="30"/>
      <c r="L239" s="34">
        <f t="shared" si="22"/>
        <v>15132.39</v>
      </c>
      <c r="M239" s="30"/>
      <c r="N239" s="35">
        <v>3.3300000000000003E-2</v>
      </c>
      <c r="O239" s="30"/>
      <c r="P239" s="34">
        <v>1007.82</v>
      </c>
      <c r="Q239" s="30"/>
      <c r="R239" s="34">
        <f t="shared" si="25"/>
        <v>503.91</v>
      </c>
      <c r="S239" s="30"/>
      <c r="T239" s="30"/>
      <c r="U239" s="30"/>
      <c r="V239" s="34">
        <f t="shared" si="24"/>
        <v>1511.73</v>
      </c>
      <c r="W239" s="30"/>
      <c r="X239" s="34">
        <f t="shared" si="23"/>
        <v>13620.66</v>
      </c>
    </row>
    <row r="240" spans="1:24" ht="12.9" customHeight="1">
      <c r="A240" s="30"/>
      <c r="B240" s="38" t="s">
        <v>712</v>
      </c>
      <c r="C240" s="30"/>
      <c r="D240" s="31">
        <v>2012</v>
      </c>
      <c r="E240" s="30"/>
      <c r="F240" s="34">
        <v>22465.34</v>
      </c>
      <c r="G240" s="30"/>
      <c r="H240" s="34"/>
      <c r="I240" s="30"/>
      <c r="J240" s="34"/>
      <c r="K240" s="30"/>
      <c r="L240" s="34">
        <f t="shared" si="22"/>
        <v>22465.34</v>
      </c>
      <c r="M240" s="30"/>
      <c r="N240" s="35">
        <v>3.3300000000000003E-2</v>
      </c>
      <c r="O240" s="30"/>
      <c r="P240" s="34">
        <v>748.1</v>
      </c>
      <c r="Q240" s="30"/>
      <c r="R240" s="34">
        <f t="shared" si="25"/>
        <v>748.1</v>
      </c>
      <c r="S240" s="30"/>
      <c r="T240" s="30"/>
      <c r="U240" s="30"/>
      <c r="V240" s="34">
        <f t="shared" si="24"/>
        <v>1496.2</v>
      </c>
      <c r="W240" s="30"/>
      <c r="X240" s="34">
        <f t="shared" si="23"/>
        <v>20969.14</v>
      </c>
    </row>
    <row r="241" spans="1:24" ht="12.9" customHeight="1">
      <c r="A241" s="30"/>
      <c r="B241" s="38" t="s">
        <v>712</v>
      </c>
      <c r="C241" s="30"/>
      <c r="D241" s="31">
        <v>2013</v>
      </c>
      <c r="E241" s="30"/>
      <c r="F241" s="34">
        <v>8322.89</v>
      </c>
      <c r="G241" s="30"/>
      <c r="H241" s="34"/>
      <c r="I241" s="30"/>
      <c r="J241" s="34"/>
      <c r="K241" s="30"/>
      <c r="L241" s="34">
        <f t="shared" si="22"/>
        <v>8322.89</v>
      </c>
      <c r="M241" s="30"/>
      <c r="N241" s="67">
        <v>3.3300000000000003E-2</v>
      </c>
      <c r="O241" s="30"/>
      <c r="P241" s="34">
        <v>0</v>
      </c>
      <c r="Q241" s="30"/>
      <c r="R241" s="34">
        <f t="shared" si="25"/>
        <v>277.14999999999998</v>
      </c>
      <c r="S241" s="30"/>
      <c r="T241" s="30"/>
      <c r="U241" s="30"/>
      <c r="V241" s="34">
        <f t="shared" si="24"/>
        <v>277.14999999999998</v>
      </c>
      <c r="W241" s="30"/>
      <c r="X241" s="34">
        <f t="shared" si="23"/>
        <v>8045.74</v>
      </c>
    </row>
    <row r="242" spans="1:24" ht="12.9" customHeight="1">
      <c r="A242" s="30"/>
      <c r="B242" s="38" t="s">
        <v>712</v>
      </c>
      <c r="C242" s="30"/>
      <c r="D242" s="31">
        <v>2014</v>
      </c>
      <c r="E242" s="30"/>
      <c r="F242" s="34">
        <v>0</v>
      </c>
      <c r="G242" s="30"/>
      <c r="H242" s="70">
        <v>3462.17</v>
      </c>
      <c r="I242" s="30"/>
      <c r="J242" s="34"/>
      <c r="K242" s="30"/>
      <c r="L242" s="34">
        <f t="shared" si="22"/>
        <v>3462.17</v>
      </c>
      <c r="M242" s="30"/>
      <c r="N242" s="67">
        <v>3.3300000000000003E-2</v>
      </c>
      <c r="O242" s="30"/>
      <c r="P242" s="34">
        <v>0</v>
      </c>
      <c r="Q242" s="30"/>
      <c r="R242" s="34">
        <f t="shared" si="25"/>
        <v>115.29</v>
      </c>
      <c r="S242" s="30"/>
      <c r="T242" s="30"/>
      <c r="U242" s="30"/>
      <c r="V242" s="34">
        <f t="shared" si="24"/>
        <v>115.29</v>
      </c>
      <c r="W242" s="30"/>
      <c r="X242" s="34">
        <f t="shared" si="23"/>
        <v>3346.88</v>
      </c>
    </row>
    <row r="243" spans="1:24" ht="12.9" customHeight="1">
      <c r="A243" s="30"/>
      <c r="B243" s="38" t="s">
        <v>474</v>
      </c>
      <c r="C243" s="30"/>
      <c r="D243" s="31" t="s">
        <v>697</v>
      </c>
      <c r="E243" s="30"/>
      <c r="F243" s="34">
        <v>285158.92</v>
      </c>
      <c r="G243" s="30"/>
      <c r="H243" s="34"/>
      <c r="I243" s="30"/>
      <c r="J243" s="34"/>
      <c r="K243" s="30"/>
      <c r="L243" s="34">
        <f t="shared" si="22"/>
        <v>285158.92</v>
      </c>
      <c r="M243" s="30"/>
      <c r="N243" s="35">
        <v>3.3300000000000003E-2</v>
      </c>
      <c r="O243" s="30"/>
      <c r="P243" s="34">
        <v>267939.78999999998</v>
      </c>
      <c r="Q243" s="30"/>
      <c r="R243" s="34">
        <f t="shared" si="25"/>
        <v>9495.7900000000009</v>
      </c>
      <c r="S243" s="30"/>
      <c r="T243" s="30"/>
      <c r="U243" s="30"/>
      <c r="V243" s="34">
        <f t="shared" si="24"/>
        <v>277435.58</v>
      </c>
      <c r="W243" s="30"/>
      <c r="X243" s="34">
        <f t="shared" si="23"/>
        <v>7723.34</v>
      </c>
    </row>
    <row r="244" spans="1:24" ht="12.9" customHeight="1">
      <c r="A244" s="30"/>
      <c r="B244" s="38" t="s">
        <v>474</v>
      </c>
      <c r="C244" s="30"/>
      <c r="D244" s="31">
        <v>1999</v>
      </c>
      <c r="E244" s="30"/>
      <c r="F244" s="34">
        <v>9434.94</v>
      </c>
      <c r="G244" s="30"/>
      <c r="H244" s="34"/>
      <c r="I244" s="30"/>
      <c r="J244" s="34"/>
      <c r="K244" s="30"/>
      <c r="L244" s="34">
        <f t="shared" si="22"/>
        <v>9434.94</v>
      </c>
      <c r="M244" s="30"/>
      <c r="N244" s="35">
        <v>3.3300000000000003E-2</v>
      </c>
      <c r="O244" s="30"/>
      <c r="P244" s="34">
        <v>4712.7</v>
      </c>
      <c r="Q244" s="30"/>
      <c r="R244" s="34">
        <f t="shared" si="25"/>
        <v>314.18</v>
      </c>
      <c r="S244" s="30"/>
      <c r="T244" s="30"/>
      <c r="U244" s="30"/>
      <c r="V244" s="34">
        <f t="shared" si="24"/>
        <v>5026.88</v>
      </c>
      <c r="W244" s="30"/>
      <c r="X244" s="34">
        <f t="shared" si="23"/>
        <v>4408.0600000000004</v>
      </c>
    </row>
    <row r="245" spans="1:24" ht="12.9" customHeight="1">
      <c r="A245" s="30"/>
      <c r="B245" s="38" t="s">
        <v>474</v>
      </c>
      <c r="C245" s="30"/>
      <c r="D245" s="31">
        <v>2000</v>
      </c>
      <c r="E245" s="30"/>
      <c r="F245" s="34">
        <v>10310.950000000001</v>
      </c>
      <c r="G245" s="30"/>
      <c r="H245" s="34"/>
      <c r="I245" s="30"/>
      <c r="J245" s="34"/>
      <c r="K245" s="30"/>
      <c r="L245" s="34">
        <f t="shared" si="22"/>
        <v>10310.950000000001</v>
      </c>
      <c r="M245" s="30"/>
      <c r="N245" s="35">
        <v>3.3300000000000003E-2</v>
      </c>
      <c r="O245" s="30"/>
      <c r="P245" s="34">
        <v>4806.8999999999996</v>
      </c>
      <c r="Q245" s="30"/>
      <c r="R245" s="34">
        <f t="shared" si="25"/>
        <v>343.35</v>
      </c>
      <c r="S245" s="30"/>
      <c r="T245" s="30"/>
      <c r="U245" s="30"/>
      <c r="V245" s="34">
        <f t="shared" si="24"/>
        <v>5150.25</v>
      </c>
      <c r="W245" s="30"/>
      <c r="X245" s="34">
        <f t="shared" si="23"/>
        <v>5160.7</v>
      </c>
    </row>
    <row r="246" spans="1:24" ht="12.9" customHeight="1">
      <c r="A246" s="30"/>
      <c r="B246" s="38" t="s">
        <v>474</v>
      </c>
      <c r="C246" s="30"/>
      <c r="D246" s="31">
        <v>2001</v>
      </c>
      <c r="E246" s="30"/>
      <c r="F246" s="34">
        <v>28690.2</v>
      </c>
      <c r="G246" s="30"/>
      <c r="H246" s="34"/>
      <c r="I246" s="30"/>
      <c r="J246" s="34"/>
      <c r="K246" s="30"/>
      <c r="L246" s="34">
        <f t="shared" si="22"/>
        <v>28690.2</v>
      </c>
      <c r="M246" s="30"/>
      <c r="N246" s="35">
        <v>3.3000000000000002E-2</v>
      </c>
      <c r="O246" s="30"/>
      <c r="P246" s="34">
        <v>11361.36</v>
      </c>
      <c r="Q246" s="30"/>
      <c r="R246" s="34">
        <f t="shared" si="25"/>
        <v>946.78</v>
      </c>
      <c r="S246" s="30"/>
      <c r="T246" s="30"/>
      <c r="U246" s="30"/>
      <c r="V246" s="34">
        <f t="shared" si="24"/>
        <v>12308.14</v>
      </c>
      <c r="W246" s="30"/>
      <c r="X246" s="34">
        <f t="shared" si="23"/>
        <v>16382.06</v>
      </c>
    </row>
    <row r="247" spans="1:24" ht="13.5" customHeight="1">
      <c r="A247" s="30"/>
      <c r="B247" s="38" t="s">
        <v>714</v>
      </c>
      <c r="C247" s="30"/>
      <c r="D247" s="31">
        <v>2001</v>
      </c>
      <c r="E247" s="30"/>
      <c r="F247" s="34">
        <v>67200.52</v>
      </c>
      <c r="G247" s="30"/>
      <c r="H247" s="34"/>
      <c r="I247" s="30"/>
      <c r="J247" s="34"/>
      <c r="K247" s="30"/>
      <c r="L247" s="34">
        <f t="shared" si="22"/>
        <v>67200.52</v>
      </c>
      <c r="M247" s="30"/>
      <c r="N247" s="35">
        <v>3.3300000000000003E-2</v>
      </c>
      <c r="O247" s="30"/>
      <c r="P247" s="34">
        <v>26853.360000000001</v>
      </c>
      <c r="Q247" s="30"/>
      <c r="R247" s="34">
        <f>ROUND(IF(L247-P247=0,0,IF(L247-P247&lt;L247*N247,+L247-P247,L247*N247)),2)</f>
        <v>2237.7800000000002</v>
      </c>
      <c r="S247" s="30"/>
      <c r="T247" s="30"/>
      <c r="U247" s="30"/>
      <c r="V247" s="34">
        <f t="shared" si="24"/>
        <v>29091.14</v>
      </c>
      <c r="W247" s="30"/>
      <c r="X247" s="34">
        <f t="shared" si="23"/>
        <v>38109.379999999997</v>
      </c>
    </row>
    <row r="248" spans="1:24" ht="12.9" customHeight="1">
      <c r="A248" s="30"/>
      <c r="B248" s="38" t="s">
        <v>474</v>
      </c>
      <c r="C248" s="30"/>
      <c r="D248" s="31">
        <v>2003</v>
      </c>
      <c r="E248" s="30"/>
      <c r="F248" s="34">
        <v>4353.05</v>
      </c>
      <c r="G248" s="30"/>
      <c r="H248" s="34"/>
      <c r="I248" s="30"/>
      <c r="J248" s="34"/>
      <c r="K248" s="30"/>
      <c r="L248" s="34">
        <f t="shared" si="22"/>
        <v>4353.05</v>
      </c>
      <c r="M248" s="30"/>
      <c r="N248" s="35">
        <v>3.3300000000000003E-2</v>
      </c>
      <c r="O248" s="30"/>
      <c r="P248" s="34">
        <v>1448.29</v>
      </c>
      <c r="Q248" s="30"/>
      <c r="R248" s="34">
        <f t="shared" si="25"/>
        <v>144.96</v>
      </c>
      <c r="S248" s="30"/>
      <c r="T248" s="30"/>
      <c r="U248" s="30"/>
      <c r="V248" s="34">
        <f t="shared" si="24"/>
        <v>1593.25</v>
      </c>
      <c r="W248" s="30"/>
      <c r="X248" s="34">
        <f t="shared" si="23"/>
        <v>2759.8</v>
      </c>
    </row>
    <row r="249" spans="1:24" ht="12.9" customHeight="1">
      <c r="A249" s="30"/>
      <c r="B249" s="38" t="s">
        <v>474</v>
      </c>
      <c r="C249" s="30"/>
      <c r="D249" s="31">
        <v>2004</v>
      </c>
      <c r="E249" s="30"/>
      <c r="F249" s="34">
        <v>19371.32</v>
      </c>
      <c r="G249" s="30"/>
      <c r="H249" s="34"/>
      <c r="I249" s="30"/>
      <c r="J249" s="34"/>
      <c r="K249" s="30"/>
      <c r="L249" s="34">
        <f t="shared" si="22"/>
        <v>19371.32</v>
      </c>
      <c r="M249" s="30"/>
      <c r="N249" s="35">
        <v>3.3300000000000003E-2</v>
      </c>
      <c r="O249" s="30"/>
      <c r="P249" s="34">
        <v>5805.54</v>
      </c>
      <c r="Q249" s="30"/>
      <c r="R249" s="34">
        <f t="shared" si="25"/>
        <v>645.05999999999995</v>
      </c>
      <c r="S249" s="30"/>
      <c r="T249" s="30"/>
      <c r="U249" s="30"/>
      <c r="V249" s="34">
        <f t="shared" si="24"/>
        <v>6450.6</v>
      </c>
      <c r="W249" s="30"/>
      <c r="X249" s="34">
        <f t="shared" si="23"/>
        <v>12920.72</v>
      </c>
    </row>
    <row r="250" spans="1:24" ht="12.9" customHeight="1">
      <c r="A250" s="30"/>
      <c r="B250" s="38" t="s">
        <v>474</v>
      </c>
      <c r="C250" s="30"/>
      <c r="D250" s="31">
        <v>2005</v>
      </c>
      <c r="E250" s="30"/>
      <c r="F250" s="34">
        <v>23413.040000000001</v>
      </c>
      <c r="G250" s="30"/>
      <c r="H250" s="34"/>
      <c r="I250" s="30"/>
      <c r="J250" s="34"/>
      <c r="K250" s="30"/>
      <c r="L250" s="34">
        <f t="shared" si="22"/>
        <v>23413.040000000001</v>
      </c>
      <c r="M250" s="30"/>
      <c r="N250" s="35">
        <v>3.3300000000000003E-2</v>
      </c>
      <c r="O250" s="30"/>
      <c r="P250" s="34">
        <v>6237.2</v>
      </c>
      <c r="Q250" s="30"/>
      <c r="R250" s="34">
        <f t="shared" si="25"/>
        <v>779.65</v>
      </c>
      <c r="S250" s="30"/>
      <c r="T250" s="30"/>
      <c r="U250" s="30"/>
      <c r="V250" s="34">
        <f t="shared" si="24"/>
        <v>7016.85</v>
      </c>
      <c r="W250" s="30"/>
      <c r="X250" s="34">
        <f t="shared" si="23"/>
        <v>16396.189999999999</v>
      </c>
    </row>
    <row r="251" spans="1:24" ht="12.9" customHeight="1">
      <c r="A251" s="30"/>
      <c r="B251" s="38" t="s">
        <v>474</v>
      </c>
      <c r="C251" s="30"/>
      <c r="D251" s="31">
        <v>2006</v>
      </c>
      <c r="E251" s="30"/>
      <c r="F251" s="34">
        <v>44967.64</v>
      </c>
      <c r="G251" s="30"/>
      <c r="H251" s="34"/>
      <c r="I251" s="30"/>
      <c r="J251" s="34"/>
      <c r="K251" s="30"/>
      <c r="L251" s="34">
        <f t="shared" si="22"/>
        <v>44967.64</v>
      </c>
      <c r="M251" s="30"/>
      <c r="N251" s="35">
        <v>3.3300000000000003E-2</v>
      </c>
      <c r="O251" s="30"/>
      <c r="P251" s="34">
        <v>10481.94</v>
      </c>
      <c r="Q251" s="30"/>
      <c r="R251" s="34">
        <f t="shared" si="25"/>
        <v>1497.42</v>
      </c>
      <c r="S251" s="30"/>
      <c r="T251" s="30"/>
      <c r="U251" s="30"/>
      <c r="V251" s="34">
        <f t="shared" si="24"/>
        <v>11979.36</v>
      </c>
      <c r="W251" s="30"/>
      <c r="X251" s="34">
        <f t="shared" si="23"/>
        <v>32988.28</v>
      </c>
    </row>
    <row r="252" spans="1:24" ht="12.9" customHeight="1">
      <c r="A252" s="30"/>
      <c r="B252" s="38" t="s">
        <v>474</v>
      </c>
      <c r="C252" s="30"/>
      <c r="D252" s="31">
        <v>2007</v>
      </c>
      <c r="E252" s="30"/>
      <c r="F252" s="34">
        <v>52950.39</v>
      </c>
      <c r="G252" s="30"/>
      <c r="H252" s="34"/>
      <c r="I252" s="30"/>
      <c r="J252" s="34"/>
      <c r="K252" s="30"/>
      <c r="L252" s="34">
        <f t="shared" si="22"/>
        <v>52950.39</v>
      </c>
      <c r="M252" s="30"/>
      <c r="N252" s="35">
        <v>3.3000000000000002E-2</v>
      </c>
      <c r="O252" s="30"/>
      <c r="P252" s="34">
        <v>10484.16</v>
      </c>
      <c r="Q252" s="30"/>
      <c r="R252" s="34">
        <f t="shared" si="25"/>
        <v>1747.36</v>
      </c>
      <c r="S252" s="30"/>
      <c r="T252" s="30"/>
      <c r="U252" s="30"/>
      <c r="V252" s="34">
        <f t="shared" si="24"/>
        <v>12231.52</v>
      </c>
      <c r="W252" s="30"/>
      <c r="X252" s="34">
        <f t="shared" si="23"/>
        <v>40718.870000000003</v>
      </c>
    </row>
    <row r="253" spans="1:24" ht="12.9" customHeight="1">
      <c r="A253" s="30"/>
      <c r="B253" s="38" t="s">
        <v>474</v>
      </c>
      <c r="C253" s="30"/>
      <c r="D253" s="31">
        <v>2008</v>
      </c>
      <c r="E253" s="30"/>
      <c r="F253" s="34">
        <v>73112.639999999999</v>
      </c>
      <c r="G253" s="30"/>
      <c r="H253" s="34"/>
      <c r="I253" s="30"/>
      <c r="J253" s="34"/>
      <c r="K253" s="30"/>
      <c r="L253" s="34">
        <f t="shared" si="22"/>
        <v>73112.639999999999</v>
      </c>
      <c r="M253" s="30"/>
      <c r="N253" s="35">
        <v>3.3300000000000003E-2</v>
      </c>
      <c r="O253" s="30"/>
      <c r="P253" s="34">
        <v>12173.25</v>
      </c>
      <c r="Q253" s="30"/>
      <c r="R253" s="34">
        <f t="shared" si="25"/>
        <v>2434.65</v>
      </c>
      <c r="S253" s="30"/>
      <c r="T253" s="30"/>
      <c r="U253" s="30"/>
      <c r="V253" s="34">
        <f t="shared" si="24"/>
        <v>14607.9</v>
      </c>
      <c r="W253" s="30"/>
      <c r="X253" s="34">
        <f t="shared" si="23"/>
        <v>58504.74</v>
      </c>
    </row>
    <row r="254" spans="1:24" ht="12.9" customHeight="1">
      <c r="A254" s="30"/>
      <c r="B254" s="38" t="s">
        <v>713</v>
      </c>
      <c r="C254" s="30"/>
      <c r="D254" s="31">
        <v>2008</v>
      </c>
      <c r="E254" s="30"/>
      <c r="F254" s="34">
        <v>219159.25</v>
      </c>
      <c r="G254" s="30"/>
      <c r="H254" s="34"/>
      <c r="I254" s="30"/>
      <c r="J254" s="34"/>
      <c r="K254" s="30"/>
      <c r="L254" s="34">
        <f t="shared" si="22"/>
        <v>219159.25</v>
      </c>
      <c r="M254" s="30"/>
      <c r="N254" s="35">
        <v>3.3300000000000003E-2</v>
      </c>
      <c r="O254" s="30"/>
      <c r="P254" s="34">
        <v>36490</v>
      </c>
      <c r="Q254" s="30"/>
      <c r="R254" s="34">
        <f>ROUND(IF(L254-P254=0,0,IF(L254-P254&lt;L254*N254,+L254-P254,L254*N254)),2)</f>
        <v>7298</v>
      </c>
      <c r="S254" s="30"/>
      <c r="T254" s="30"/>
      <c r="U254" s="30"/>
      <c r="V254" s="34">
        <f>ROUND(+P254+R254-T254,2)</f>
        <v>43788</v>
      </c>
      <c r="W254" s="30"/>
      <c r="X254" s="34">
        <f>ROUND(+L254-V254,2)</f>
        <v>175371.25</v>
      </c>
    </row>
    <row r="255" spans="1:24" ht="12.9" customHeight="1">
      <c r="A255" s="30"/>
      <c r="B255" s="38" t="s">
        <v>474</v>
      </c>
      <c r="C255" s="30"/>
      <c r="D255" s="31">
        <v>2009</v>
      </c>
      <c r="E255" s="30"/>
      <c r="F255" s="34">
        <v>26451.47</v>
      </c>
      <c r="G255" s="30"/>
      <c r="H255" s="34"/>
      <c r="I255" s="30"/>
      <c r="J255" s="34"/>
      <c r="K255" s="30"/>
      <c r="L255" s="34">
        <f t="shared" si="22"/>
        <v>26451.47</v>
      </c>
      <c r="M255" s="30"/>
      <c r="N255" s="35">
        <v>3.3300000000000003E-2</v>
      </c>
      <c r="O255" s="30"/>
      <c r="P255" s="34">
        <v>2642.49</v>
      </c>
      <c r="Q255" s="30"/>
      <c r="R255" s="34">
        <f t="shared" si="25"/>
        <v>880.83</v>
      </c>
      <c r="S255" s="30"/>
      <c r="T255" s="30"/>
      <c r="U255" s="30"/>
      <c r="V255" s="34">
        <f t="shared" si="24"/>
        <v>3523.32</v>
      </c>
      <c r="W255" s="30"/>
      <c r="X255" s="34">
        <f t="shared" si="23"/>
        <v>22928.15</v>
      </c>
    </row>
    <row r="256" spans="1:24" ht="12.9" customHeight="1">
      <c r="A256" s="30"/>
      <c r="B256" s="38" t="s">
        <v>474</v>
      </c>
      <c r="C256" s="30"/>
      <c r="D256" s="31">
        <v>2010</v>
      </c>
      <c r="E256" s="30"/>
      <c r="F256" s="34">
        <v>25769.51</v>
      </c>
      <c r="G256" s="30"/>
      <c r="H256" s="34"/>
      <c r="I256" s="30"/>
      <c r="J256" s="34"/>
      <c r="K256" s="30"/>
      <c r="L256" s="34">
        <f t="shared" si="22"/>
        <v>25769.51</v>
      </c>
      <c r="M256" s="30"/>
      <c r="N256" s="35">
        <v>3.3300000000000003E-2</v>
      </c>
      <c r="O256" s="30"/>
      <c r="P256" s="34">
        <v>2574.36</v>
      </c>
      <c r="Q256" s="30"/>
      <c r="R256" s="34">
        <f t="shared" si="25"/>
        <v>858.12</v>
      </c>
      <c r="S256" s="30"/>
      <c r="T256" s="30"/>
      <c r="U256" s="30"/>
      <c r="V256" s="34">
        <f t="shared" si="24"/>
        <v>3432.48</v>
      </c>
      <c r="W256" s="30"/>
      <c r="X256" s="34">
        <f t="shared" si="23"/>
        <v>22337.03</v>
      </c>
    </row>
    <row r="257" spans="1:26" ht="12.9" customHeight="1">
      <c r="A257" s="30"/>
      <c r="B257" s="38" t="s">
        <v>474</v>
      </c>
      <c r="C257" s="30"/>
      <c r="D257" s="31">
        <v>2011</v>
      </c>
      <c r="E257" s="30"/>
      <c r="F257" s="95">
        <v>75758.77</v>
      </c>
      <c r="G257" s="30"/>
      <c r="H257" s="95"/>
      <c r="I257" s="30"/>
      <c r="J257" s="95"/>
      <c r="K257" s="30"/>
      <c r="L257" s="95">
        <f t="shared" si="22"/>
        <v>75758.77</v>
      </c>
      <c r="M257" s="34"/>
      <c r="N257" s="35">
        <v>3.3300000000000003E-2</v>
      </c>
      <c r="O257" s="30"/>
      <c r="P257" s="95">
        <v>5045.54</v>
      </c>
      <c r="Q257" s="30"/>
      <c r="R257" s="95">
        <f t="shared" si="25"/>
        <v>2522.77</v>
      </c>
      <c r="S257" s="30"/>
      <c r="T257" s="95"/>
      <c r="U257" s="30"/>
      <c r="V257" s="95">
        <f t="shared" si="24"/>
        <v>7568.31</v>
      </c>
      <c r="W257" s="34"/>
      <c r="X257" s="95">
        <f t="shared" si="23"/>
        <v>68190.460000000006</v>
      </c>
    </row>
    <row r="258" spans="1:26" ht="21.75" customHeight="1">
      <c r="A258" s="30"/>
      <c r="B258" s="30" t="s">
        <v>715</v>
      </c>
      <c r="C258" s="30"/>
      <c r="D258" s="30"/>
      <c r="E258" s="30"/>
      <c r="F258" s="95">
        <f>SUM(F155:F257)</f>
        <v>19983393.370000001</v>
      </c>
      <c r="G258" s="30"/>
      <c r="H258" s="95">
        <f>SUM(H155:H257)</f>
        <v>2064740.03</v>
      </c>
      <c r="I258" s="30"/>
      <c r="J258" s="95">
        <f>SUM(J155:J257)</f>
        <v>127275</v>
      </c>
      <c r="K258" s="30"/>
      <c r="L258" s="95">
        <f>SUM(L155:L257)</f>
        <v>21920858.400000006</v>
      </c>
      <c r="M258" s="34"/>
      <c r="N258" s="34"/>
      <c r="O258" s="30"/>
      <c r="P258" s="95">
        <f>SUM(P155:P257)</f>
        <v>9283377.1799999923</v>
      </c>
      <c r="Q258" s="30"/>
      <c r="R258" s="95">
        <f>SUM(R155:R257)</f>
        <v>1339314.3685340004</v>
      </c>
      <c r="S258" s="30"/>
      <c r="T258" s="95">
        <f>SUM(T155:T257)</f>
        <v>127275</v>
      </c>
      <c r="U258" s="30"/>
      <c r="V258" s="95">
        <f>SUM(V155:V257)</f>
        <v>10495416.426134005</v>
      </c>
      <c r="W258" s="34"/>
      <c r="X258" s="95">
        <f>SUM(X155:X257)</f>
        <v>11425441.970000001</v>
      </c>
    </row>
    <row r="259" spans="1:26" ht="12.9" customHeight="1">
      <c r="A259" s="30"/>
      <c r="B259" s="30"/>
      <c r="C259" s="30"/>
      <c r="D259" s="30"/>
      <c r="E259" s="30"/>
      <c r="F259" s="34"/>
      <c r="G259" s="30"/>
      <c r="H259" s="34"/>
      <c r="I259" s="30"/>
      <c r="J259" s="34"/>
      <c r="K259" s="30"/>
      <c r="L259" s="34"/>
      <c r="M259" s="34"/>
      <c r="N259" s="34"/>
      <c r="O259" s="30"/>
      <c r="P259" s="34"/>
      <c r="Q259" s="30"/>
      <c r="R259" s="34"/>
      <c r="S259" s="30"/>
      <c r="T259" s="34"/>
      <c r="U259" s="30"/>
      <c r="V259" s="34"/>
      <c r="W259" s="34"/>
      <c r="X259" s="34"/>
    </row>
    <row r="260" spans="1:26" ht="12.9" customHeight="1">
      <c r="A260" s="30"/>
      <c r="B260" s="30"/>
      <c r="C260" s="30"/>
      <c r="D260" s="30"/>
      <c r="E260" s="30"/>
      <c r="F260" s="34"/>
      <c r="G260" s="30"/>
      <c r="H260" s="34"/>
      <c r="I260" s="30"/>
      <c r="J260" s="34"/>
      <c r="K260" s="30"/>
      <c r="L260" s="34"/>
      <c r="M260" s="34"/>
      <c r="N260" s="34"/>
      <c r="O260" s="30"/>
      <c r="P260" s="34"/>
      <c r="Q260" s="30"/>
      <c r="R260" s="34"/>
      <c r="S260" s="30"/>
      <c r="T260" s="34"/>
      <c r="U260" s="30"/>
      <c r="V260" s="34"/>
      <c r="W260" s="34"/>
      <c r="X260" s="34"/>
    </row>
    <row r="261" spans="1:26" ht="12.9" customHeight="1" thickBot="1">
      <c r="A261" s="30"/>
      <c r="B261" s="30" t="s">
        <v>716</v>
      </c>
      <c r="C261" s="30"/>
      <c r="D261" s="30"/>
      <c r="E261" s="30"/>
      <c r="F261" s="97">
        <v>27098627.170000002</v>
      </c>
      <c r="G261" s="34"/>
      <c r="H261" s="97">
        <f>H25+H54+H146+H258</f>
        <v>2248910.5099999998</v>
      </c>
      <c r="I261" s="34"/>
      <c r="J261" s="97">
        <f>J25+J54+J146+J258</f>
        <v>197599.5</v>
      </c>
      <c r="K261" s="34"/>
      <c r="L261" s="97">
        <f>L25+L54+L146+L258</f>
        <v>29149938.180000003</v>
      </c>
      <c r="M261" s="34"/>
      <c r="N261" s="34"/>
      <c r="O261" s="34"/>
      <c r="P261" s="97">
        <v>12810676.249999993</v>
      </c>
      <c r="Q261" s="34"/>
      <c r="R261" s="97">
        <f>R25+R54+R146+R258</f>
        <v>1623393.2810340002</v>
      </c>
      <c r="S261" s="34"/>
      <c r="T261" s="97">
        <f>T25+T54+T146+T258</f>
        <v>169469.76</v>
      </c>
      <c r="U261" s="34"/>
      <c r="V261" s="97">
        <f>V25+V54+V146+V258</f>
        <v>14264599.646134004</v>
      </c>
      <c r="W261" s="34"/>
      <c r="X261" s="97">
        <f>X25+X54+X146+X258</f>
        <v>14885338.530000001</v>
      </c>
    </row>
    <row r="262" spans="1:26" ht="12.9" customHeight="1" thickTop="1"/>
    <row r="263" spans="1:26" ht="12.9" customHeight="1">
      <c r="F263" s="64"/>
      <c r="G263" s="64"/>
      <c r="H263" s="64"/>
      <c r="I263" s="64"/>
      <c r="J263" s="64"/>
      <c r="K263" s="64"/>
      <c r="L263" s="64"/>
      <c r="P263" s="64"/>
      <c r="Q263" s="64"/>
      <c r="R263" s="64"/>
      <c r="S263" s="64"/>
      <c r="T263" s="64"/>
      <c r="U263" s="64"/>
      <c r="V263" s="64"/>
      <c r="W263" s="64"/>
      <c r="X263" s="64"/>
    </row>
    <row r="264" spans="1:26" ht="12" customHeight="1">
      <c r="A264" s="59" t="s">
        <v>737</v>
      </c>
      <c r="F264" s="501"/>
      <c r="G264" s="501"/>
      <c r="H264" s="501"/>
      <c r="I264" s="501"/>
      <c r="J264" s="501"/>
      <c r="K264" s="501"/>
      <c r="L264" s="501"/>
      <c r="P264" s="64"/>
      <c r="Q264" s="64"/>
      <c r="R264" s="64"/>
      <c r="S264" s="64"/>
      <c r="T264" s="64"/>
      <c r="U264" s="64"/>
      <c r="V264" s="64"/>
      <c r="W264" s="64"/>
      <c r="X264" s="64"/>
    </row>
    <row r="265" spans="1:26">
      <c r="B265" s="45" t="s">
        <v>718</v>
      </c>
      <c r="F265" s="492">
        <v>52920.22</v>
      </c>
      <c r="G265" s="492"/>
      <c r="H265" s="502">
        <f>SUM(H15:H17,H21)</f>
        <v>0</v>
      </c>
      <c r="I265" s="492"/>
      <c r="J265" s="492">
        <f>SUM(J15:J17,J21)</f>
        <v>0</v>
      </c>
      <c r="K265" s="492"/>
      <c r="L265" s="492">
        <f>+L15+L17+L18+L22</f>
        <v>52920.22</v>
      </c>
      <c r="M265" s="72"/>
      <c r="N265" s="72"/>
      <c r="O265" s="72"/>
      <c r="P265" s="72">
        <v>0</v>
      </c>
      <c r="Q265" s="72"/>
      <c r="R265" s="72">
        <f>SUM(R15:R17,R21)</f>
        <v>0</v>
      </c>
      <c r="S265" s="72"/>
      <c r="T265" s="72">
        <f>SUM(T15:T17,T21)</f>
        <v>0</v>
      </c>
      <c r="U265" s="72"/>
      <c r="V265" s="72">
        <f>SUM(V15:V17,V21)</f>
        <v>0</v>
      </c>
      <c r="W265" s="72"/>
      <c r="X265" s="72">
        <f>SUM(X15:X17,X21)</f>
        <v>41834.32</v>
      </c>
      <c r="Y265" s="60"/>
      <c r="Z265" s="60"/>
    </row>
    <row r="266" spans="1:26">
      <c r="B266" s="44" t="s">
        <v>719</v>
      </c>
      <c r="F266" s="492">
        <v>0</v>
      </c>
      <c r="G266" s="492"/>
      <c r="H266" s="502">
        <v>0</v>
      </c>
      <c r="I266" s="492"/>
      <c r="J266" s="492">
        <v>0</v>
      </c>
      <c r="K266" s="492"/>
      <c r="L266" s="492">
        <v>0</v>
      </c>
      <c r="M266" s="72"/>
      <c r="N266" s="72"/>
      <c r="O266" s="72"/>
      <c r="P266" s="72">
        <v>0</v>
      </c>
      <c r="Q266" s="72"/>
      <c r="R266" s="72">
        <v>0</v>
      </c>
      <c r="S266" s="72"/>
      <c r="T266" s="72">
        <v>0</v>
      </c>
      <c r="U266" s="72"/>
      <c r="V266" s="72">
        <v>0</v>
      </c>
      <c r="W266" s="72"/>
      <c r="X266" s="72">
        <v>0</v>
      </c>
      <c r="Y266" s="60"/>
      <c r="Z266" s="60"/>
    </row>
    <row r="267" spans="1:26">
      <c r="B267" s="40" t="s">
        <v>717</v>
      </c>
      <c r="F267" s="492">
        <v>31331.15</v>
      </c>
      <c r="G267" s="492"/>
      <c r="H267" s="502">
        <v>0</v>
      </c>
      <c r="I267" s="492"/>
      <c r="J267" s="492">
        <f>SUM(J18:J19,J22,J24)</f>
        <v>0</v>
      </c>
      <c r="K267" s="492"/>
      <c r="L267" s="492">
        <f>+L16+L19+L20+L23</f>
        <v>31331.15</v>
      </c>
      <c r="M267" s="72"/>
      <c r="N267" s="72"/>
      <c r="O267" s="72"/>
      <c r="P267" s="72">
        <v>0</v>
      </c>
      <c r="Q267" s="72"/>
      <c r="R267" s="72">
        <f>SUM(R18:R19,R22,R24)</f>
        <v>0</v>
      </c>
      <c r="S267" s="72"/>
      <c r="T267" s="72">
        <f>SUM(T18:T19,T22,T24)</f>
        <v>0</v>
      </c>
      <c r="U267" s="72"/>
      <c r="V267" s="72">
        <f>SUM(V18:V19,V22,V24)</f>
        <v>0</v>
      </c>
      <c r="W267" s="72"/>
      <c r="X267" s="72">
        <f>SUM(X18:X19,X22,X24)</f>
        <v>115704.91</v>
      </c>
      <c r="Y267" s="60"/>
      <c r="Z267" s="60"/>
    </row>
    <row r="268" spans="1:26">
      <c r="B268" s="41" t="s">
        <v>720</v>
      </c>
      <c r="F268" s="492">
        <v>97692.86</v>
      </c>
      <c r="G268" s="492"/>
      <c r="H268" s="502">
        <v>0</v>
      </c>
      <c r="I268" s="492"/>
      <c r="J268" s="492">
        <f>+J20+J23</f>
        <v>0</v>
      </c>
      <c r="K268" s="492"/>
      <c r="L268" s="492">
        <f>+L21+L24</f>
        <v>97692.86</v>
      </c>
      <c r="M268" s="72"/>
      <c r="N268" s="72"/>
      <c r="O268" s="72"/>
      <c r="P268" s="72">
        <v>0</v>
      </c>
      <c r="Q268" s="72"/>
      <c r="R268" s="72">
        <f>+R20+R23</f>
        <v>0</v>
      </c>
      <c r="S268" s="72"/>
      <c r="T268" s="72">
        <f>+T20+T23</f>
        <v>0</v>
      </c>
      <c r="U268" s="72"/>
      <c r="V268" s="72">
        <f>+V20+V23</f>
        <v>0</v>
      </c>
      <c r="W268" s="72"/>
      <c r="X268" s="72">
        <f>+X20+X23</f>
        <v>24405</v>
      </c>
      <c r="Y268" s="60"/>
      <c r="Z268" s="60"/>
    </row>
    <row r="269" spans="1:26">
      <c r="B269" s="327" t="s">
        <v>741</v>
      </c>
      <c r="F269" s="503">
        <v>181944.22999999998</v>
      </c>
      <c r="G269" s="503"/>
      <c r="H269" s="503">
        <f>SUM(H265:H268)</f>
        <v>0</v>
      </c>
      <c r="I269" s="503"/>
      <c r="J269" s="503">
        <f>SUM(J265:J268)</f>
        <v>0</v>
      </c>
      <c r="K269" s="503"/>
      <c r="L269" s="503">
        <f>SUM(L265:L268)</f>
        <v>181944.22999999998</v>
      </c>
      <c r="M269" s="72"/>
      <c r="N269" s="72"/>
      <c r="O269" s="72"/>
      <c r="P269" s="73">
        <v>0</v>
      </c>
      <c r="Q269" s="72"/>
      <c r="R269" s="73">
        <f>SUM(R265:R268)</f>
        <v>0</v>
      </c>
      <c r="S269" s="72"/>
      <c r="T269" s="73">
        <f>SUM(T265:T268)</f>
        <v>0</v>
      </c>
      <c r="U269" s="72"/>
      <c r="V269" s="73">
        <f>SUM(V265:V268)</f>
        <v>0</v>
      </c>
      <c r="W269" s="72"/>
      <c r="X269" s="73">
        <f>SUM(X265:X268)</f>
        <v>181944.23</v>
      </c>
      <c r="Y269" s="60"/>
      <c r="Z269" s="60"/>
    </row>
    <row r="270" spans="1:26" ht="12" customHeight="1">
      <c r="F270" s="492"/>
      <c r="G270" s="492"/>
      <c r="H270" s="492"/>
      <c r="I270" s="492"/>
      <c r="J270" s="492"/>
      <c r="K270" s="492"/>
      <c r="L270" s="492"/>
      <c r="M270" s="72"/>
      <c r="N270" s="72"/>
      <c r="O270" s="72"/>
      <c r="P270" s="72"/>
      <c r="Q270" s="72"/>
      <c r="R270" s="72"/>
      <c r="S270" s="72"/>
      <c r="T270" s="72"/>
      <c r="U270" s="72"/>
      <c r="V270" s="72"/>
      <c r="W270" s="72"/>
      <c r="X270" s="72"/>
      <c r="Y270" s="60"/>
      <c r="Z270" s="60"/>
    </row>
    <row r="271" spans="1:26" ht="12" customHeight="1">
      <c r="A271" s="59" t="s">
        <v>855</v>
      </c>
      <c r="F271" s="492"/>
      <c r="G271" s="492"/>
      <c r="H271" s="492"/>
      <c r="I271" s="492"/>
      <c r="J271" s="492"/>
      <c r="K271" s="492"/>
      <c r="L271" s="492"/>
      <c r="M271" s="72"/>
      <c r="N271" s="72"/>
      <c r="O271" s="72"/>
      <c r="P271" s="72"/>
      <c r="Q271" s="72"/>
      <c r="R271" s="72"/>
      <c r="S271" s="72"/>
      <c r="T271" s="72"/>
      <c r="U271" s="72"/>
      <c r="V271" s="72"/>
      <c r="W271" s="72"/>
      <c r="X271" s="72"/>
      <c r="Y271" s="60"/>
      <c r="Z271" s="60"/>
    </row>
    <row r="272" spans="1:26">
      <c r="B272" s="45" t="s">
        <v>718</v>
      </c>
      <c r="F272" s="492">
        <v>1952725.56</v>
      </c>
      <c r="G272" s="492"/>
      <c r="H272" s="492">
        <f>+SUM(H28:H37,H47:H47,H64:H67)</f>
        <v>0</v>
      </c>
      <c r="I272" s="492"/>
      <c r="J272" s="492">
        <f>+SUM(J28:J37,J47:J47,J64:J67)</f>
        <v>0</v>
      </c>
      <c r="K272" s="492"/>
      <c r="L272" s="492">
        <f>+L28+L30+L35+L36+L37+L38+L41+L44+L50+L51+L53+L64+L65+L66+L67</f>
        <v>1952725.56</v>
      </c>
      <c r="M272" s="72"/>
      <c r="N272" s="72"/>
      <c r="O272" s="72"/>
      <c r="P272" s="72">
        <v>1594822.1800000002</v>
      </c>
      <c r="Q272" s="72">
        <f>+SUM(Q28:Q37,Q47:Q47,Q64:Q67)</f>
        <v>0</v>
      </c>
      <c r="R272" s="72">
        <f>+R28+R30+SUM(R35:R38)+R41+R44+R50+R51+R53+SUM(R64:R67)</f>
        <v>30676.739999999998</v>
      </c>
      <c r="S272" s="72"/>
      <c r="T272" s="72">
        <f>+SUM(T28:T37,T47:T47,T64:T67)</f>
        <v>0</v>
      </c>
      <c r="U272" s="72"/>
      <c r="V272" s="72">
        <f>+V28+V30+V35+V36+V37+V38+V41+V44+V50+V51+V53+V64+V65+V66+V67</f>
        <v>1625498.92</v>
      </c>
      <c r="W272" s="72">
        <f>+SUM(W28:W37,W47:W47,W64:W67)</f>
        <v>0</v>
      </c>
      <c r="X272" s="72">
        <f>+SUM(X28:X37,X47:X47,X64:X67)</f>
        <v>109336.46</v>
      </c>
      <c r="Y272" s="60"/>
    </row>
    <row r="273" spans="1:27">
      <c r="B273" s="44" t="s">
        <v>719</v>
      </c>
      <c r="F273" s="492">
        <f>+F189+F171+F216+F217</f>
        <v>1539477.3</v>
      </c>
      <c r="G273" s="492"/>
      <c r="H273" s="492">
        <f>+H189+H171+H216+H217</f>
        <v>519050.37</v>
      </c>
      <c r="I273" s="492"/>
      <c r="J273" s="492">
        <f>+J189+J171+J216+J217</f>
        <v>0</v>
      </c>
      <c r="K273" s="492"/>
      <c r="L273" s="492">
        <f>+L189+L171+L216+L217</f>
        <v>2058527.67</v>
      </c>
      <c r="M273" s="72"/>
      <c r="N273" s="72"/>
      <c r="O273" s="72"/>
      <c r="P273" s="72">
        <v>470326.37</v>
      </c>
      <c r="Q273" s="72">
        <f>SUM(Q189:Q217)+Q171</f>
        <v>0</v>
      </c>
      <c r="R273" s="72">
        <f>+R189+R171+R216+R217</f>
        <v>67597.223100000003</v>
      </c>
      <c r="S273" s="72"/>
      <c r="T273" s="72">
        <f>+T189+T171+T216+T217</f>
        <v>0</v>
      </c>
      <c r="U273" s="72"/>
      <c r="V273" s="72">
        <f>+V189+V171+V216+V217</f>
        <v>537923.59</v>
      </c>
      <c r="W273" s="72">
        <f>SUM(W189:W217)+W171</f>
        <v>0</v>
      </c>
      <c r="X273" s="72">
        <f>SUM(X189:X217)+X171</f>
        <v>1881326.0900000003</v>
      </c>
      <c r="Y273" s="60"/>
    </row>
    <row r="274" spans="1:27">
      <c r="B274" s="40" t="s">
        <v>717</v>
      </c>
      <c r="F274" s="492">
        <v>21355614</v>
      </c>
      <c r="G274" s="492"/>
      <c r="H274" s="492">
        <f>+H29+H32+H34+H39+H40+H43+SUM(H45:H48)+H52+SUM(H157:H169)+SUM(H172:H188)+SUM(H190:H207)+SUM(H218:H257)</f>
        <v>311869.03000000003</v>
      </c>
      <c r="I274" s="492"/>
      <c r="J274" s="492">
        <f>+J29+J32+J34+J39+J40+J43+SUM(J45:J48)+J52+SUM(J157:J169)+SUM(J172:J188)+SUM(J190:J207)+SUM(J218:J257)</f>
        <v>127275</v>
      </c>
      <c r="K274" s="492"/>
      <c r="L274" s="492">
        <f>+L29+L32+L34+L39+L40+L43+SUM(L45:L48)+L52+SUM(L157:L169)+SUM(L172:L188)+SUM(L190:L207)+SUM(L218:L257)</f>
        <v>21540207.539999995</v>
      </c>
      <c r="M274" s="72"/>
      <c r="N274" s="72"/>
      <c r="O274" s="72"/>
      <c r="P274" s="72">
        <v>9536063.0899999943</v>
      </c>
      <c r="Q274" s="72">
        <f>SUM(Q38:Q44,Q50:Q50,Q49:Q52,Q155:Q169,Q172:Q185,Q218:Q257)</f>
        <v>0</v>
      </c>
      <c r="R274" s="72">
        <f>+R29+R32+R34+R39+R40+R43+SUM(R45:R48)+R52+SUM(R157:R169)+SUM(R172:R188)+SUM(R190:R207)+SUM(R218:R257)</f>
        <v>528709.12930000003</v>
      </c>
      <c r="S274" s="72"/>
      <c r="T274" s="72">
        <f>+T29+T32+T34+T39+T40+T43+SUM(T45:T48)+T52+SUM(T157:T169)+SUM(T172:T188)+SUM(T190:T207)+SUM(T218:T257)</f>
        <v>127275</v>
      </c>
      <c r="U274" s="72"/>
      <c r="V274" s="72">
        <f>+V29+V32+V34+V39+V40+V43+SUM(V45:V48)+V52+SUM(V157:V169)+SUM(V172:V188)+SUM(V190:V207)+SUM(V218:V257)</f>
        <v>9937497.0999999978</v>
      </c>
      <c r="W274" s="72">
        <f>SUM(W38:W44,W50:W50,W49:W52,W155:W169,W172:W185,W218:W257)</f>
        <v>0</v>
      </c>
      <c r="X274" s="72">
        <f>SUM(X38:X44,X50:X50,X49:X52,X155:X169,X172:X188,X218:X257)</f>
        <v>12020750.530000003</v>
      </c>
      <c r="Y274" s="60"/>
    </row>
    <row r="275" spans="1:27">
      <c r="B275" s="41" t="s">
        <v>720</v>
      </c>
      <c r="F275" s="492">
        <v>2068867</v>
      </c>
      <c r="G275" s="492"/>
      <c r="H275" s="492">
        <f>+H31+H33+H42+H49+SUM(H68:H145)+H155+H156</f>
        <v>1417991.1099999999</v>
      </c>
      <c r="I275" s="492"/>
      <c r="J275" s="492">
        <f>+J31+J33+J42+J49+SUM(J68:J145)+J155+J156</f>
        <v>70324.5</v>
      </c>
      <c r="K275" s="492"/>
      <c r="L275" s="492">
        <f>+L31+L33+L42+L49+SUM(L68:L145)+L155+L156</f>
        <v>3416533.1799999997</v>
      </c>
      <c r="M275" s="72"/>
      <c r="N275" s="72"/>
      <c r="O275" s="72"/>
      <c r="P275" s="72">
        <v>1209464.6100000001</v>
      </c>
      <c r="Q275" s="72">
        <f>+SUM(Q45:Q48,Q53,Q68:Q123,Q84:Q137)</f>
        <v>0</v>
      </c>
      <c r="R275" s="72">
        <f>+R31+R33+R42+R49+SUM(R68:R145)+R155+R156</f>
        <v>996410.18863400002</v>
      </c>
      <c r="S275" s="72"/>
      <c r="T275" s="72">
        <f>+T31+T33+T42+T49+SUM(T68:T145)+T155+T156</f>
        <v>42194.76</v>
      </c>
      <c r="U275" s="72"/>
      <c r="V275" s="72">
        <f>+V31+V33+V42+V49+SUM(V68:V145)+V155+V156</f>
        <v>2163680.0361340004</v>
      </c>
      <c r="W275" s="72">
        <f>+SUM(W45:W48,W53,W68:W123,W84:W137)</f>
        <v>0</v>
      </c>
      <c r="X275" s="72">
        <f>+SUM(X45:X48,X53,X68:X123,X84:X137)</f>
        <v>737802.75999999989</v>
      </c>
      <c r="Y275" s="60"/>
    </row>
    <row r="276" spans="1:27">
      <c r="B276" s="327" t="s">
        <v>742</v>
      </c>
      <c r="F276" s="503">
        <f>SUM(F272:F275)</f>
        <v>26916683.859999999</v>
      </c>
      <c r="G276" s="492"/>
      <c r="H276" s="503">
        <f>SUM(H272:H275)</f>
        <v>2248910.5099999998</v>
      </c>
      <c r="I276" s="492"/>
      <c r="J276" s="503">
        <f>SUM(J272:J275)</f>
        <v>197599.5</v>
      </c>
      <c r="K276" s="492"/>
      <c r="L276" s="503">
        <f>SUM(L272:L275)</f>
        <v>28967993.949999996</v>
      </c>
      <c r="M276" s="72"/>
      <c r="N276" s="72"/>
      <c r="O276" s="72"/>
      <c r="P276" s="73">
        <v>12810676.249999994</v>
      </c>
      <c r="Q276" s="72"/>
      <c r="R276" s="73">
        <f>SUM(R272:R275)</f>
        <v>1623393.281034</v>
      </c>
      <c r="S276" s="72"/>
      <c r="T276" s="73">
        <f>SUM(T272:T275)</f>
        <v>169469.76</v>
      </c>
      <c r="U276" s="72"/>
      <c r="V276" s="73">
        <f>SUM(V272:V275)</f>
        <v>14264599.646133998</v>
      </c>
      <c r="W276" s="72"/>
      <c r="X276" s="73">
        <f>SUM(X272:X275)</f>
        <v>14749215.840000004</v>
      </c>
      <c r="Y276" s="60"/>
    </row>
    <row r="277" spans="1:27">
      <c r="F277" s="492"/>
      <c r="G277" s="492"/>
      <c r="H277" s="492"/>
      <c r="I277" s="492"/>
      <c r="J277" s="492"/>
      <c r="K277" s="492"/>
      <c r="L277" s="492"/>
      <c r="M277" s="72"/>
      <c r="N277" s="72"/>
      <c r="O277" s="72"/>
      <c r="P277" s="72"/>
      <c r="Q277" s="72"/>
      <c r="R277" s="72"/>
      <c r="S277" s="72"/>
      <c r="T277" s="72"/>
      <c r="U277" s="72"/>
      <c r="V277" s="72"/>
      <c r="W277" s="72"/>
      <c r="X277" s="72"/>
      <c r="Y277" s="60"/>
      <c r="Z277" s="60"/>
    </row>
    <row r="278" spans="1:27">
      <c r="A278" s="59" t="s">
        <v>743</v>
      </c>
      <c r="F278" s="492"/>
      <c r="G278" s="492"/>
      <c r="H278" s="492"/>
      <c r="I278" s="492"/>
      <c r="J278" s="492"/>
      <c r="K278" s="492"/>
      <c r="L278" s="492"/>
      <c r="M278" s="72"/>
      <c r="N278" s="72"/>
      <c r="O278" s="72"/>
      <c r="P278" s="72"/>
      <c r="Q278" s="72"/>
      <c r="R278" s="72"/>
      <c r="S278" s="72"/>
      <c r="T278" s="72"/>
      <c r="U278" s="72"/>
      <c r="V278" s="72"/>
      <c r="W278" s="72"/>
      <c r="X278" s="72"/>
      <c r="Y278" s="60"/>
      <c r="Z278" s="60"/>
    </row>
    <row r="279" spans="1:27">
      <c r="B279" s="45" t="s">
        <v>718</v>
      </c>
      <c r="F279" s="492">
        <v>2005645.78</v>
      </c>
      <c r="G279" s="492"/>
      <c r="H279" s="492">
        <f>+H265+H272</f>
        <v>0</v>
      </c>
      <c r="I279" s="492"/>
      <c r="J279" s="492">
        <f>+J265+J272</f>
        <v>0</v>
      </c>
      <c r="K279" s="492"/>
      <c r="L279" s="492">
        <f>+L265+L272</f>
        <v>2005645.78</v>
      </c>
      <c r="M279" s="72"/>
      <c r="N279" s="72"/>
      <c r="O279" s="72"/>
      <c r="P279" s="72">
        <v>1594822.1800000002</v>
      </c>
      <c r="Q279" s="72"/>
      <c r="R279" s="72">
        <f>+R265+R272</f>
        <v>30676.739999999998</v>
      </c>
      <c r="S279" s="72"/>
      <c r="T279" s="72">
        <f>+T265+T272</f>
        <v>0</v>
      </c>
      <c r="U279" s="72"/>
      <c r="V279" s="72">
        <f>+V265+V272</f>
        <v>1625498.92</v>
      </c>
      <c r="W279" s="72"/>
      <c r="X279" s="74">
        <f>ROUND(+L279-V279,2)</f>
        <v>380146.86</v>
      </c>
      <c r="Y279" s="60"/>
      <c r="Z279" s="60"/>
    </row>
    <row r="280" spans="1:27">
      <c r="B280" s="44" t="s">
        <v>719</v>
      </c>
      <c r="F280" s="72">
        <v>1539477.3</v>
      </c>
      <c r="G280" s="72"/>
      <c r="H280" s="72">
        <f>+H266+H273</f>
        <v>519050.37</v>
      </c>
      <c r="I280" s="72"/>
      <c r="J280" s="72">
        <f>+J266+J273</f>
        <v>0</v>
      </c>
      <c r="K280" s="72"/>
      <c r="L280" s="72">
        <f>+L266+L273</f>
        <v>2058527.67</v>
      </c>
      <c r="M280" s="72"/>
      <c r="N280" s="72">
        <f>+L280-'Schedule 4'!G17</f>
        <v>0.66999999992549419</v>
      </c>
      <c r="O280" s="72"/>
      <c r="P280" s="72">
        <v>470326.37</v>
      </c>
      <c r="Q280" s="72"/>
      <c r="R280" s="72">
        <f>+R266+R273</f>
        <v>67597.223100000003</v>
      </c>
      <c r="S280" s="72"/>
      <c r="T280" s="72">
        <f>+T266+T273</f>
        <v>0</v>
      </c>
      <c r="U280" s="72"/>
      <c r="V280" s="72">
        <f>+V266+V273</f>
        <v>537923.59</v>
      </c>
      <c r="W280" s="72"/>
      <c r="X280" s="74">
        <f>ROUND(+L280-V280,2)</f>
        <v>1520604.08</v>
      </c>
      <c r="Y280" s="60"/>
      <c r="Z280" s="60"/>
    </row>
    <row r="281" spans="1:27" ht="12.9" customHeight="1">
      <c r="B281" s="40" t="s">
        <v>717</v>
      </c>
      <c r="F281" s="72">
        <v>21386944.659999996</v>
      </c>
      <c r="G281" s="72"/>
      <c r="H281" s="72">
        <f>+H267+H274</f>
        <v>311869.03000000003</v>
      </c>
      <c r="I281" s="72"/>
      <c r="J281" s="72">
        <f>+J267+J274</f>
        <v>127275</v>
      </c>
      <c r="K281" s="72"/>
      <c r="L281" s="72">
        <f>+L267+L274</f>
        <v>21571538.689999994</v>
      </c>
      <c r="M281" s="72"/>
      <c r="N281" s="72">
        <f>+L281-'Schedule 4'!G18</f>
        <v>-0.31000000610947609</v>
      </c>
      <c r="O281" s="72"/>
      <c r="P281" s="72">
        <v>9536063.0899999943</v>
      </c>
      <c r="Q281" s="72"/>
      <c r="R281" s="72">
        <f>+R267+R274</f>
        <v>528709.12930000003</v>
      </c>
      <c r="S281" s="72"/>
      <c r="T281" s="72">
        <f>+T267+T274</f>
        <v>127275</v>
      </c>
      <c r="U281" s="72"/>
      <c r="V281" s="72">
        <f>+V267+V274</f>
        <v>9937497.0999999978</v>
      </c>
      <c r="W281" s="72"/>
      <c r="X281" s="74">
        <f>ROUND(+L281-V281,2)</f>
        <v>11634041.59</v>
      </c>
      <c r="Y281" s="60"/>
      <c r="Z281" s="60"/>
    </row>
    <row r="282" spans="1:27" ht="12.9" customHeight="1">
      <c r="B282" s="41" t="s">
        <v>720</v>
      </c>
      <c r="F282" s="72">
        <v>2166559.4299999997</v>
      </c>
      <c r="G282" s="72"/>
      <c r="H282" s="72">
        <f>+H268+H275</f>
        <v>1417991.1099999999</v>
      </c>
      <c r="I282" s="72"/>
      <c r="J282" s="72">
        <f>+J268+J275</f>
        <v>70324.5</v>
      </c>
      <c r="K282" s="72"/>
      <c r="L282" s="72">
        <f>+L268+L275</f>
        <v>3514226.0399999996</v>
      </c>
      <c r="M282" s="72"/>
      <c r="N282" s="72">
        <f>+L282-'Schedule 4'!G19</f>
        <v>1.0399999995715916</v>
      </c>
      <c r="O282" s="72"/>
      <c r="P282" s="72">
        <v>1209464.6100000001</v>
      </c>
      <c r="Q282" s="72"/>
      <c r="R282" s="72">
        <f>+R268+R275</f>
        <v>996410.18863400002</v>
      </c>
      <c r="S282" s="72"/>
      <c r="T282" s="72">
        <f>+T268+T275</f>
        <v>42194.76</v>
      </c>
      <c r="U282" s="72"/>
      <c r="V282" s="72">
        <f>+V268+V275</f>
        <v>2163680.0361340004</v>
      </c>
      <c r="W282" s="72"/>
      <c r="X282" s="74">
        <f>ROUND(+L282-V282,2)</f>
        <v>1350546</v>
      </c>
      <c r="Y282" s="60"/>
      <c r="Z282" s="60"/>
    </row>
    <row r="283" spans="1:27" ht="12.9" customHeight="1" thickBot="1">
      <c r="B283" s="59" t="s">
        <v>738</v>
      </c>
      <c r="F283" s="268">
        <v>27098627.169999994</v>
      </c>
      <c r="G283" s="269"/>
      <c r="H283" s="268">
        <f>SUM(H279:H282)</f>
        <v>2248910.5099999998</v>
      </c>
      <c r="I283" s="269"/>
      <c r="J283" s="268">
        <f>SUM(J279:J282)</f>
        <v>197599.5</v>
      </c>
      <c r="K283" s="269"/>
      <c r="L283" s="268">
        <f>SUM(L279:L282)</f>
        <v>29149938.179999992</v>
      </c>
      <c r="M283" s="269"/>
      <c r="N283" s="269"/>
      <c r="O283" s="269"/>
      <c r="P283" s="268">
        <v>12810676.249999994</v>
      </c>
      <c r="Q283" s="269"/>
      <c r="R283" s="268">
        <f>SUM(R279:R282)</f>
        <v>1623393.281034</v>
      </c>
      <c r="S283" s="269"/>
      <c r="T283" s="268">
        <f>SUM(T279:T282)</f>
        <v>169469.76</v>
      </c>
      <c r="U283" s="269"/>
      <c r="V283" s="268">
        <f>SUM(V279:V282)</f>
        <v>14264599.646133998</v>
      </c>
      <c r="W283" s="269"/>
      <c r="X283" s="268">
        <f>SUM(X279:X282)</f>
        <v>14885338.529999999</v>
      </c>
      <c r="Y283" s="60"/>
      <c r="Z283" s="60"/>
      <c r="AA283" s="100"/>
    </row>
    <row r="284" spans="1:27" ht="12.9" customHeight="1" thickTop="1" thickBot="1">
      <c r="A284" s="61"/>
      <c r="B284" s="62"/>
      <c r="C284" s="61"/>
      <c r="D284" s="61"/>
      <c r="E284" s="61"/>
      <c r="F284" s="71"/>
      <c r="G284" s="71"/>
      <c r="H284" s="71"/>
      <c r="I284" s="71"/>
      <c r="J284" s="71"/>
      <c r="K284" s="71"/>
      <c r="L284" s="71"/>
      <c r="M284" s="63"/>
      <c r="N284" s="63"/>
      <c r="O284" s="63"/>
      <c r="P284" s="71"/>
      <c r="Q284" s="71"/>
      <c r="R284" s="71"/>
      <c r="S284" s="71"/>
      <c r="T284" s="71"/>
      <c r="U284" s="71"/>
      <c r="V284" s="71"/>
      <c r="W284" s="71"/>
      <c r="X284" s="71"/>
      <c r="Y284" s="60"/>
      <c r="Z284" s="60"/>
    </row>
    <row r="285" spans="1:27" ht="12.9" customHeight="1"/>
    <row r="286" spans="1:27" ht="12.9" customHeight="1">
      <c r="F286" s="106">
        <v>0</v>
      </c>
      <c r="H286" s="106">
        <f>+H283-H261</f>
        <v>0</v>
      </c>
      <c r="J286" s="106">
        <f>+J283-J261</f>
        <v>0</v>
      </c>
      <c r="L286" s="106">
        <f>+L283-L261</f>
        <v>0</v>
      </c>
      <c r="P286" s="106">
        <v>0</v>
      </c>
      <c r="R286" s="106">
        <f>+R283-R261</f>
        <v>0</v>
      </c>
      <c r="T286" s="106">
        <f>+T283-T261</f>
        <v>0</v>
      </c>
      <c r="V286" s="106">
        <f>+V283-V261</f>
        <v>0</v>
      </c>
      <c r="X286" s="106">
        <f>+X283-X261</f>
        <v>0</v>
      </c>
    </row>
    <row r="287" spans="1:27" ht="12.9" customHeight="1"/>
    <row r="288" spans="1:27">
      <c r="F288" s="100">
        <f>+F272+F265-F279</f>
        <v>0</v>
      </c>
      <c r="L288" s="100">
        <f>+L272+L265-L279</f>
        <v>0</v>
      </c>
      <c r="R288" s="68"/>
    </row>
    <row r="289" spans="6:18">
      <c r="F289" s="100">
        <f t="shared" ref="F289:F292" si="26">+F273+F266-F280</f>
        <v>0</v>
      </c>
      <c r="L289" s="100">
        <f>+L273+L266-L280</f>
        <v>0</v>
      </c>
      <c r="R289" s="491"/>
    </row>
    <row r="290" spans="6:18">
      <c r="F290" s="100">
        <f t="shared" si="26"/>
        <v>0.49000000208616257</v>
      </c>
      <c r="L290" s="100">
        <f t="shared" ref="L290:L292" si="27">+L274+L267-L281</f>
        <v>0</v>
      </c>
      <c r="P290" s="483" t="s">
        <v>974</v>
      </c>
      <c r="R290" s="492">
        <f>-R155</f>
        <v>-758344.02</v>
      </c>
    </row>
    <row r="291" spans="6:18">
      <c r="F291" s="100">
        <f t="shared" si="26"/>
        <v>0.43000000016763806</v>
      </c>
      <c r="L291" s="100">
        <f t="shared" si="27"/>
        <v>0</v>
      </c>
      <c r="P291" s="483" t="s">
        <v>974</v>
      </c>
      <c r="R291" s="492">
        <f>-R138</f>
        <v>-37692.36</v>
      </c>
    </row>
    <row r="292" spans="6:18">
      <c r="F292" s="100">
        <f t="shared" si="26"/>
        <v>0.92000000551342964</v>
      </c>
      <c r="L292" s="100">
        <f t="shared" si="27"/>
        <v>0</v>
      </c>
      <c r="P292" s="28" t="s">
        <v>9</v>
      </c>
      <c r="R292" s="494">
        <f>+R290+R291</f>
        <v>-796036.38</v>
      </c>
    </row>
    <row r="293" spans="6:18">
      <c r="R293" s="492"/>
    </row>
    <row r="294" spans="6:18">
      <c r="R294" s="492">
        <f>+R283</f>
        <v>1623393.281034</v>
      </c>
    </row>
    <row r="295" spans="6:18">
      <c r="P295" s="483" t="s">
        <v>975</v>
      </c>
      <c r="R295" s="493">
        <f>+R294+R292</f>
        <v>827356.90103399998</v>
      </c>
    </row>
    <row r="296" spans="6:18">
      <c r="R296" s="492"/>
    </row>
    <row r="297" spans="6:18">
      <c r="R297" s="492"/>
    </row>
    <row r="298" spans="6:18">
      <c r="P298" s="495" t="s">
        <v>976</v>
      </c>
      <c r="R298" s="493">
        <v>827357</v>
      </c>
    </row>
    <row r="299" spans="6:18">
      <c r="R299" s="492"/>
    </row>
    <row r="300" spans="6:18">
      <c r="P300" s="28" t="s">
        <v>957</v>
      </c>
      <c r="R300" s="493">
        <f>+R298-R295</f>
        <v>9.8966000019572675E-2</v>
      </c>
    </row>
    <row r="301" spans="6:18">
      <c r="R301" s="492"/>
    </row>
    <row r="302" spans="6:18">
      <c r="R302" s="492"/>
    </row>
    <row r="303" spans="6:18">
      <c r="R303" s="72"/>
    </row>
  </sheetData>
  <pageMargins left="0.20699999999999999" right="0.20699999999999999" top="0.25" bottom="0.25" header="0.5" footer="0.5"/>
  <pageSetup scale="70" fitToHeight="0" orientation="landscape" r:id="rId1"/>
  <headerFooter alignWithMargins="0">
    <oddFooter>&amp;Z&amp;F&amp;RPage &amp;P</oddFooter>
  </headerFooter>
  <rowBreaks count="6" manualBreakCount="6">
    <brk id="54" max="16383" man="1"/>
    <brk id="102" max="16383" man="1"/>
    <brk id="147" max="23" man="1"/>
    <brk id="207" max="16383" man="1"/>
    <brk id="262" max="23" man="1"/>
    <brk id="286"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H36"/>
  <sheetViews>
    <sheetView topLeftCell="A4" zoomScale="90" zoomScaleNormal="90" workbookViewId="0">
      <selection activeCell="D29" sqref="D29"/>
    </sheetView>
  </sheetViews>
  <sheetFormatPr defaultRowHeight="15.6"/>
  <cols>
    <col min="1" max="1" width="5.1796875" style="334" customWidth="1"/>
    <col min="2" max="2" width="26.6328125" style="334" customWidth="1"/>
    <col min="3" max="6" width="12.1796875" style="334" customWidth="1"/>
    <col min="7" max="7" width="8.90625" style="331"/>
    <col min="8" max="8" width="11.54296875" style="333" bestFit="1" customWidth="1"/>
    <col min="9" max="9" width="9" style="334" bestFit="1" customWidth="1"/>
    <col min="10" max="247" width="8.90625" style="334"/>
    <col min="248" max="248" width="5.1796875" style="334" customWidth="1"/>
    <col min="249" max="249" width="23" style="334" customWidth="1"/>
    <col min="250" max="253" width="12.1796875" style="334" customWidth="1"/>
    <col min="254" max="503" width="8.90625" style="334"/>
    <col min="504" max="504" width="5.1796875" style="334" customWidth="1"/>
    <col min="505" max="505" width="23" style="334" customWidth="1"/>
    <col min="506" max="509" width="12.1796875" style="334" customWidth="1"/>
    <col min="510" max="759" width="8.90625" style="334"/>
    <col min="760" max="760" width="5.1796875" style="334" customWidth="1"/>
    <col min="761" max="761" width="23" style="334" customWidth="1"/>
    <col min="762" max="765" width="12.1796875" style="334" customWidth="1"/>
    <col min="766" max="1015" width="8.90625" style="334"/>
    <col min="1016" max="1016" width="5.1796875" style="334" customWidth="1"/>
    <col min="1017" max="1017" width="23" style="334" customWidth="1"/>
    <col min="1018" max="1021" width="12.1796875" style="334" customWidth="1"/>
    <col min="1022" max="1271" width="8.90625" style="334"/>
    <col min="1272" max="1272" width="5.1796875" style="334" customWidth="1"/>
    <col min="1273" max="1273" width="23" style="334" customWidth="1"/>
    <col min="1274" max="1277" width="12.1796875" style="334" customWidth="1"/>
    <col min="1278" max="1527" width="8.90625" style="334"/>
    <col min="1528" max="1528" width="5.1796875" style="334" customWidth="1"/>
    <col min="1529" max="1529" width="23" style="334" customWidth="1"/>
    <col min="1530" max="1533" width="12.1796875" style="334" customWidth="1"/>
    <col min="1534" max="1783" width="8.90625" style="334"/>
    <col min="1784" max="1784" width="5.1796875" style="334" customWidth="1"/>
    <col min="1785" max="1785" width="23" style="334" customWidth="1"/>
    <col min="1786" max="1789" width="12.1796875" style="334" customWidth="1"/>
    <col min="1790" max="2039" width="8.90625" style="334"/>
    <col min="2040" max="2040" width="5.1796875" style="334" customWidth="1"/>
    <col min="2041" max="2041" width="23" style="334" customWidth="1"/>
    <col min="2042" max="2045" width="12.1796875" style="334" customWidth="1"/>
    <col min="2046" max="2295" width="8.90625" style="334"/>
    <col min="2296" max="2296" width="5.1796875" style="334" customWidth="1"/>
    <col min="2297" max="2297" width="23" style="334" customWidth="1"/>
    <col min="2298" max="2301" width="12.1796875" style="334" customWidth="1"/>
    <col min="2302" max="2551" width="8.90625" style="334"/>
    <col min="2552" max="2552" width="5.1796875" style="334" customWidth="1"/>
    <col min="2553" max="2553" width="23" style="334" customWidth="1"/>
    <col min="2554" max="2557" width="12.1796875" style="334" customWidth="1"/>
    <col min="2558" max="2807" width="8.90625" style="334"/>
    <col min="2808" max="2808" width="5.1796875" style="334" customWidth="1"/>
    <col min="2809" max="2809" width="23" style="334" customWidth="1"/>
    <col min="2810" max="2813" width="12.1796875" style="334" customWidth="1"/>
    <col min="2814" max="3063" width="8.90625" style="334"/>
    <col min="3064" max="3064" width="5.1796875" style="334" customWidth="1"/>
    <col min="3065" max="3065" width="23" style="334" customWidth="1"/>
    <col min="3066" max="3069" width="12.1796875" style="334" customWidth="1"/>
    <col min="3070" max="3319" width="8.90625" style="334"/>
    <col min="3320" max="3320" width="5.1796875" style="334" customWidth="1"/>
    <col min="3321" max="3321" width="23" style="334" customWidth="1"/>
    <col min="3322" max="3325" width="12.1796875" style="334" customWidth="1"/>
    <col min="3326" max="3575" width="8.90625" style="334"/>
    <col min="3576" max="3576" width="5.1796875" style="334" customWidth="1"/>
    <col min="3577" max="3577" width="23" style="334" customWidth="1"/>
    <col min="3578" max="3581" width="12.1796875" style="334" customWidth="1"/>
    <col min="3582" max="3831" width="8.90625" style="334"/>
    <col min="3832" max="3832" width="5.1796875" style="334" customWidth="1"/>
    <col min="3833" max="3833" width="23" style="334" customWidth="1"/>
    <col min="3834" max="3837" width="12.1796875" style="334" customWidth="1"/>
    <col min="3838" max="4087" width="8.90625" style="334"/>
    <col min="4088" max="4088" width="5.1796875" style="334" customWidth="1"/>
    <col min="4089" max="4089" width="23" style="334" customWidth="1"/>
    <col min="4090" max="4093" width="12.1796875" style="334" customWidth="1"/>
    <col min="4094" max="4343" width="8.90625" style="334"/>
    <col min="4344" max="4344" width="5.1796875" style="334" customWidth="1"/>
    <col min="4345" max="4345" width="23" style="334" customWidth="1"/>
    <col min="4346" max="4349" width="12.1796875" style="334" customWidth="1"/>
    <col min="4350" max="4599" width="8.90625" style="334"/>
    <col min="4600" max="4600" width="5.1796875" style="334" customWidth="1"/>
    <col min="4601" max="4601" width="23" style="334" customWidth="1"/>
    <col min="4602" max="4605" width="12.1796875" style="334" customWidth="1"/>
    <col min="4606" max="4855" width="8.90625" style="334"/>
    <col min="4856" max="4856" width="5.1796875" style="334" customWidth="1"/>
    <col min="4857" max="4857" width="23" style="334" customWidth="1"/>
    <col min="4858" max="4861" width="12.1796875" style="334" customWidth="1"/>
    <col min="4862" max="5111" width="8.90625" style="334"/>
    <col min="5112" max="5112" width="5.1796875" style="334" customWidth="1"/>
    <col min="5113" max="5113" width="23" style="334" customWidth="1"/>
    <col min="5114" max="5117" width="12.1796875" style="334" customWidth="1"/>
    <col min="5118" max="5367" width="8.90625" style="334"/>
    <col min="5368" max="5368" width="5.1796875" style="334" customWidth="1"/>
    <col min="5369" max="5369" width="23" style="334" customWidth="1"/>
    <col min="5370" max="5373" width="12.1796875" style="334" customWidth="1"/>
    <col min="5374" max="5623" width="8.90625" style="334"/>
    <col min="5624" max="5624" width="5.1796875" style="334" customWidth="1"/>
    <col min="5625" max="5625" width="23" style="334" customWidth="1"/>
    <col min="5626" max="5629" width="12.1796875" style="334" customWidth="1"/>
    <col min="5630" max="5879" width="8.90625" style="334"/>
    <col min="5880" max="5880" width="5.1796875" style="334" customWidth="1"/>
    <col min="5881" max="5881" width="23" style="334" customWidth="1"/>
    <col min="5882" max="5885" width="12.1796875" style="334" customWidth="1"/>
    <col min="5886" max="6135" width="8.90625" style="334"/>
    <col min="6136" max="6136" width="5.1796875" style="334" customWidth="1"/>
    <col min="6137" max="6137" width="23" style="334" customWidth="1"/>
    <col min="6138" max="6141" width="12.1796875" style="334" customWidth="1"/>
    <col min="6142" max="6391" width="8.90625" style="334"/>
    <col min="6392" max="6392" width="5.1796875" style="334" customWidth="1"/>
    <col min="6393" max="6393" width="23" style="334" customWidth="1"/>
    <col min="6394" max="6397" width="12.1796875" style="334" customWidth="1"/>
    <col min="6398" max="6647" width="8.90625" style="334"/>
    <col min="6648" max="6648" width="5.1796875" style="334" customWidth="1"/>
    <col min="6649" max="6649" width="23" style="334" customWidth="1"/>
    <col min="6650" max="6653" width="12.1796875" style="334" customWidth="1"/>
    <col min="6654" max="6903" width="8.90625" style="334"/>
    <col min="6904" max="6904" width="5.1796875" style="334" customWidth="1"/>
    <col min="6905" max="6905" width="23" style="334" customWidth="1"/>
    <col min="6906" max="6909" width="12.1796875" style="334" customWidth="1"/>
    <col min="6910" max="7159" width="8.90625" style="334"/>
    <col min="7160" max="7160" width="5.1796875" style="334" customWidth="1"/>
    <col min="7161" max="7161" width="23" style="334" customWidth="1"/>
    <col min="7162" max="7165" width="12.1796875" style="334" customWidth="1"/>
    <col min="7166" max="7415" width="8.90625" style="334"/>
    <col min="7416" max="7416" width="5.1796875" style="334" customWidth="1"/>
    <col min="7417" max="7417" width="23" style="334" customWidth="1"/>
    <col min="7418" max="7421" width="12.1796875" style="334" customWidth="1"/>
    <col min="7422" max="7671" width="8.90625" style="334"/>
    <col min="7672" max="7672" width="5.1796875" style="334" customWidth="1"/>
    <col min="7673" max="7673" width="23" style="334" customWidth="1"/>
    <col min="7674" max="7677" width="12.1796875" style="334" customWidth="1"/>
    <col min="7678" max="7927" width="8.90625" style="334"/>
    <col min="7928" max="7928" width="5.1796875" style="334" customWidth="1"/>
    <col min="7929" max="7929" width="23" style="334" customWidth="1"/>
    <col min="7930" max="7933" width="12.1796875" style="334" customWidth="1"/>
    <col min="7934" max="8183" width="8.90625" style="334"/>
    <col min="8184" max="8184" width="5.1796875" style="334" customWidth="1"/>
    <col min="8185" max="8185" width="23" style="334" customWidth="1"/>
    <col min="8186" max="8189" width="12.1796875" style="334" customWidth="1"/>
    <col min="8190" max="8439" width="8.90625" style="334"/>
    <col min="8440" max="8440" width="5.1796875" style="334" customWidth="1"/>
    <col min="8441" max="8441" width="23" style="334" customWidth="1"/>
    <col min="8442" max="8445" width="12.1796875" style="334" customWidth="1"/>
    <col min="8446" max="8695" width="8.90625" style="334"/>
    <col min="8696" max="8696" width="5.1796875" style="334" customWidth="1"/>
    <col min="8697" max="8697" width="23" style="334" customWidth="1"/>
    <col min="8698" max="8701" width="12.1796875" style="334" customWidth="1"/>
    <col min="8702" max="8951" width="8.90625" style="334"/>
    <col min="8952" max="8952" width="5.1796875" style="334" customWidth="1"/>
    <col min="8953" max="8953" width="23" style="334" customWidth="1"/>
    <col min="8954" max="8957" width="12.1796875" style="334" customWidth="1"/>
    <col min="8958" max="9207" width="8.90625" style="334"/>
    <col min="9208" max="9208" width="5.1796875" style="334" customWidth="1"/>
    <col min="9209" max="9209" width="23" style="334" customWidth="1"/>
    <col min="9210" max="9213" width="12.1796875" style="334" customWidth="1"/>
    <col min="9214" max="9463" width="8.90625" style="334"/>
    <col min="9464" max="9464" width="5.1796875" style="334" customWidth="1"/>
    <col min="9465" max="9465" width="23" style="334" customWidth="1"/>
    <col min="9466" max="9469" width="12.1796875" style="334" customWidth="1"/>
    <col min="9470" max="9719" width="8.90625" style="334"/>
    <col min="9720" max="9720" width="5.1796875" style="334" customWidth="1"/>
    <col min="9721" max="9721" width="23" style="334" customWidth="1"/>
    <col min="9722" max="9725" width="12.1796875" style="334" customWidth="1"/>
    <col min="9726" max="9975" width="8.90625" style="334"/>
    <col min="9976" max="9976" width="5.1796875" style="334" customWidth="1"/>
    <col min="9977" max="9977" width="23" style="334" customWidth="1"/>
    <col min="9978" max="9981" width="12.1796875" style="334" customWidth="1"/>
    <col min="9982" max="10231" width="8.90625" style="334"/>
    <col min="10232" max="10232" width="5.1796875" style="334" customWidth="1"/>
    <col min="10233" max="10233" width="23" style="334" customWidth="1"/>
    <col min="10234" max="10237" width="12.1796875" style="334" customWidth="1"/>
    <col min="10238" max="10487" width="8.90625" style="334"/>
    <col min="10488" max="10488" width="5.1796875" style="334" customWidth="1"/>
    <col min="10489" max="10489" width="23" style="334" customWidth="1"/>
    <col min="10490" max="10493" width="12.1796875" style="334" customWidth="1"/>
    <col min="10494" max="10743" width="8.90625" style="334"/>
    <col min="10744" max="10744" width="5.1796875" style="334" customWidth="1"/>
    <col min="10745" max="10745" width="23" style="334" customWidth="1"/>
    <col min="10746" max="10749" width="12.1796875" style="334" customWidth="1"/>
    <col min="10750" max="10999" width="8.90625" style="334"/>
    <col min="11000" max="11000" width="5.1796875" style="334" customWidth="1"/>
    <col min="11001" max="11001" width="23" style="334" customWidth="1"/>
    <col min="11002" max="11005" width="12.1796875" style="334" customWidth="1"/>
    <col min="11006" max="11255" width="8.90625" style="334"/>
    <col min="11256" max="11256" width="5.1796875" style="334" customWidth="1"/>
    <col min="11257" max="11257" width="23" style="334" customWidth="1"/>
    <col min="11258" max="11261" width="12.1796875" style="334" customWidth="1"/>
    <col min="11262" max="11511" width="8.90625" style="334"/>
    <col min="11512" max="11512" width="5.1796875" style="334" customWidth="1"/>
    <col min="11513" max="11513" width="23" style="334" customWidth="1"/>
    <col min="11514" max="11517" width="12.1796875" style="334" customWidth="1"/>
    <col min="11518" max="11767" width="8.90625" style="334"/>
    <col min="11768" max="11768" width="5.1796875" style="334" customWidth="1"/>
    <col min="11769" max="11769" width="23" style="334" customWidth="1"/>
    <col min="11770" max="11773" width="12.1796875" style="334" customWidth="1"/>
    <col min="11774" max="12023" width="8.90625" style="334"/>
    <col min="12024" max="12024" width="5.1796875" style="334" customWidth="1"/>
    <col min="12025" max="12025" width="23" style="334" customWidth="1"/>
    <col min="12026" max="12029" width="12.1796875" style="334" customWidth="1"/>
    <col min="12030" max="12279" width="8.90625" style="334"/>
    <col min="12280" max="12280" width="5.1796875" style="334" customWidth="1"/>
    <col min="12281" max="12281" width="23" style="334" customWidth="1"/>
    <col min="12282" max="12285" width="12.1796875" style="334" customWidth="1"/>
    <col min="12286" max="12535" width="8.90625" style="334"/>
    <col min="12536" max="12536" width="5.1796875" style="334" customWidth="1"/>
    <col min="12537" max="12537" width="23" style="334" customWidth="1"/>
    <col min="12538" max="12541" width="12.1796875" style="334" customWidth="1"/>
    <col min="12542" max="12791" width="8.90625" style="334"/>
    <col min="12792" max="12792" width="5.1796875" style="334" customWidth="1"/>
    <col min="12793" max="12793" width="23" style="334" customWidth="1"/>
    <col min="12794" max="12797" width="12.1796875" style="334" customWidth="1"/>
    <col min="12798" max="13047" width="8.90625" style="334"/>
    <col min="13048" max="13048" width="5.1796875" style="334" customWidth="1"/>
    <col min="13049" max="13049" width="23" style="334" customWidth="1"/>
    <col min="13050" max="13053" width="12.1796875" style="334" customWidth="1"/>
    <col min="13054" max="13303" width="8.90625" style="334"/>
    <col min="13304" max="13304" width="5.1796875" style="334" customWidth="1"/>
    <col min="13305" max="13305" width="23" style="334" customWidth="1"/>
    <col min="13306" max="13309" width="12.1796875" style="334" customWidth="1"/>
    <col min="13310" max="13559" width="8.90625" style="334"/>
    <col min="13560" max="13560" width="5.1796875" style="334" customWidth="1"/>
    <col min="13561" max="13561" width="23" style="334" customWidth="1"/>
    <col min="13562" max="13565" width="12.1796875" style="334" customWidth="1"/>
    <col min="13566" max="13815" width="8.90625" style="334"/>
    <col min="13816" max="13816" width="5.1796875" style="334" customWidth="1"/>
    <col min="13817" max="13817" width="23" style="334" customWidth="1"/>
    <col min="13818" max="13821" width="12.1796875" style="334" customWidth="1"/>
    <col min="13822" max="14071" width="8.90625" style="334"/>
    <col min="14072" max="14072" width="5.1796875" style="334" customWidth="1"/>
    <col min="14073" max="14073" width="23" style="334" customWidth="1"/>
    <col min="14074" max="14077" width="12.1796875" style="334" customWidth="1"/>
    <col min="14078" max="14327" width="8.90625" style="334"/>
    <col min="14328" max="14328" width="5.1796875" style="334" customWidth="1"/>
    <col min="14329" max="14329" width="23" style="334" customWidth="1"/>
    <col min="14330" max="14333" width="12.1796875" style="334" customWidth="1"/>
    <col min="14334" max="14583" width="8.90625" style="334"/>
    <col min="14584" max="14584" width="5.1796875" style="334" customWidth="1"/>
    <col min="14585" max="14585" width="23" style="334" customWidth="1"/>
    <col min="14586" max="14589" width="12.1796875" style="334" customWidth="1"/>
    <col min="14590" max="14839" width="8.90625" style="334"/>
    <col min="14840" max="14840" width="5.1796875" style="334" customWidth="1"/>
    <col min="14841" max="14841" width="23" style="334" customWidth="1"/>
    <col min="14842" max="14845" width="12.1796875" style="334" customWidth="1"/>
    <col min="14846" max="15095" width="8.90625" style="334"/>
    <col min="15096" max="15096" width="5.1796875" style="334" customWidth="1"/>
    <col min="15097" max="15097" width="23" style="334" customWidth="1"/>
    <col min="15098" max="15101" width="12.1796875" style="334" customWidth="1"/>
    <col min="15102" max="15351" width="8.90625" style="334"/>
    <col min="15352" max="15352" width="5.1796875" style="334" customWidth="1"/>
    <col min="15353" max="15353" width="23" style="334" customWidth="1"/>
    <col min="15354" max="15357" width="12.1796875" style="334" customWidth="1"/>
    <col min="15358" max="15607" width="8.90625" style="334"/>
    <col min="15608" max="15608" width="5.1796875" style="334" customWidth="1"/>
    <col min="15609" max="15609" width="23" style="334" customWidth="1"/>
    <col min="15610" max="15613" width="12.1796875" style="334" customWidth="1"/>
    <col min="15614" max="15863" width="8.90625" style="334"/>
    <col min="15864" max="15864" width="5.1796875" style="334" customWidth="1"/>
    <col min="15865" max="15865" width="23" style="334" customWidth="1"/>
    <col min="15866" max="15869" width="12.1796875" style="334" customWidth="1"/>
    <col min="15870" max="16119" width="8.90625" style="334"/>
    <col min="16120" max="16120" width="5.1796875" style="334" customWidth="1"/>
    <col min="16121" max="16121" width="23" style="334" customWidth="1"/>
    <col min="16122" max="16125" width="12.1796875" style="334" customWidth="1"/>
    <col min="16126" max="16384" width="8.90625" style="334"/>
  </cols>
  <sheetData>
    <row r="1" spans="1:7">
      <c r="A1" s="514" t="str">
        <f>+'Schedule 2'!A1:F1</f>
        <v>Detroit Lakes (Minnesota) Public Utilities</v>
      </c>
      <c r="B1" s="514"/>
      <c r="C1" s="514"/>
      <c r="D1" s="514"/>
      <c r="E1" s="514"/>
      <c r="F1" s="514"/>
    </row>
    <row r="2" spans="1:7">
      <c r="A2" s="514" t="s">
        <v>281</v>
      </c>
      <c r="B2" s="514"/>
      <c r="C2" s="514"/>
      <c r="D2" s="514"/>
      <c r="E2" s="514"/>
      <c r="F2" s="514"/>
    </row>
    <row r="3" spans="1:7">
      <c r="A3" s="514" t="s">
        <v>422</v>
      </c>
      <c r="B3" s="514"/>
      <c r="C3" s="514"/>
      <c r="D3" s="514"/>
      <c r="E3" s="514"/>
      <c r="F3" s="514"/>
    </row>
    <row r="4" spans="1:7">
      <c r="A4" s="515" t="str">
        <f>+'Schedule 2'!A4:F4</f>
        <v>For the Year Ended December 31, 2014</v>
      </c>
      <c r="B4" s="515"/>
      <c r="C4" s="515"/>
      <c r="D4" s="515"/>
      <c r="E4" s="515"/>
      <c r="F4" s="515"/>
      <c r="G4" s="332"/>
    </row>
    <row r="6" spans="1:7">
      <c r="A6" s="516" t="s">
        <v>423</v>
      </c>
      <c r="B6" s="516"/>
      <c r="C6" s="516"/>
      <c r="D6" s="516"/>
      <c r="E6" s="516"/>
      <c r="F6" s="516"/>
    </row>
    <row r="7" spans="1:7">
      <c r="A7" s="335" t="s">
        <v>4</v>
      </c>
      <c r="B7" s="336"/>
      <c r="C7" s="336" t="s">
        <v>144</v>
      </c>
      <c r="D7" s="336" t="s">
        <v>145</v>
      </c>
      <c r="E7" s="336" t="s">
        <v>146</v>
      </c>
      <c r="F7" s="336" t="s">
        <v>147</v>
      </c>
    </row>
    <row r="8" spans="1:7">
      <c r="A8" s="337" t="s">
        <v>287</v>
      </c>
      <c r="B8" s="338"/>
      <c r="C8" s="336" t="s">
        <v>424</v>
      </c>
      <c r="D8" s="338" t="s">
        <v>425</v>
      </c>
      <c r="E8" s="338" t="s">
        <v>426</v>
      </c>
      <c r="F8" s="338" t="s">
        <v>9</v>
      </c>
    </row>
    <row r="9" spans="1:7">
      <c r="A9" s="339">
        <v>1</v>
      </c>
      <c r="B9" s="340" t="s">
        <v>427</v>
      </c>
      <c r="C9" s="341"/>
      <c r="D9" s="342"/>
      <c r="E9" s="342"/>
      <c r="F9" s="342"/>
    </row>
    <row r="10" spans="1:7">
      <c r="A10" s="343"/>
      <c r="B10" s="344" t="s">
        <v>428</v>
      </c>
      <c r="C10" s="345">
        <v>0</v>
      </c>
      <c r="D10" s="346">
        <v>0</v>
      </c>
      <c r="E10" s="346">
        <v>0</v>
      </c>
      <c r="F10" s="346">
        <f>SUM(C10:E10)</f>
        <v>0</v>
      </c>
    </row>
    <row r="11" spans="1:7">
      <c r="A11" s="343">
        <v>2</v>
      </c>
      <c r="B11" s="344" t="s">
        <v>429</v>
      </c>
      <c r="C11" s="347">
        <v>0</v>
      </c>
      <c r="D11" s="348">
        <v>0</v>
      </c>
      <c r="E11" s="348">
        <v>0</v>
      </c>
      <c r="F11" s="348">
        <f>SUM(C11:E11)</f>
        <v>0</v>
      </c>
    </row>
    <row r="12" spans="1:7">
      <c r="A12" s="339">
        <v>3</v>
      </c>
      <c r="B12" s="349" t="s">
        <v>430</v>
      </c>
      <c r="C12" s="350"/>
      <c r="D12" s="351"/>
      <c r="E12" s="351"/>
      <c r="F12" s="351"/>
      <c r="G12" s="352"/>
    </row>
    <row r="13" spans="1:7">
      <c r="A13" s="343"/>
      <c r="B13" s="353" t="s">
        <v>431</v>
      </c>
      <c r="C13" s="354">
        <v>0</v>
      </c>
      <c r="D13" s="355">
        <v>0</v>
      </c>
      <c r="E13" s="355">
        <v>0</v>
      </c>
      <c r="F13" s="355">
        <f>SUM(C13:E13)</f>
        <v>0</v>
      </c>
      <c r="G13" s="352"/>
    </row>
    <row r="14" spans="1:7">
      <c r="A14" s="356">
        <v>4</v>
      </c>
      <c r="B14" s="349" t="s">
        <v>432</v>
      </c>
      <c r="C14" s="350"/>
      <c r="D14" s="351"/>
      <c r="E14" s="351"/>
      <c r="F14" s="351"/>
      <c r="G14" s="352"/>
    </row>
    <row r="15" spans="1:7">
      <c r="A15" s="343"/>
      <c r="B15" s="353" t="s">
        <v>433</v>
      </c>
      <c r="C15" s="354">
        <v>16464</v>
      </c>
      <c r="D15" s="355">
        <f>63511-C15</f>
        <v>47047</v>
      </c>
      <c r="E15" s="355">
        <v>0</v>
      </c>
      <c r="F15" s="355">
        <f>SUM(C15:E15)</f>
        <v>63511</v>
      </c>
      <c r="G15" s="352"/>
    </row>
    <row r="16" spans="1:7">
      <c r="A16" s="357">
        <v>5</v>
      </c>
      <c r="B16" s="358" t="s">
        <v>434</v>
      </c>
      <c r="C16" s="359">
        <v>0</v>
      </c>
      <c r="D16" s="360">
        <f>11454153-1330752-695548</f>
        <v>9427853</v>
      </c>
      <c r="E16" s="360">
        <v>0</v>
      </c>
      <c r="F16" s="360">
        <f>SUM(C16:E16)</f>
        <v>9427853</v>
      </c>
      <c r="G16" s="352"/>
    </row>
    <row r="17" spans="1:7">
      <c r="A17" s="339">
        <v>6</v>
      </c>
      <c r="B17" s="349" t="s">
        <v>435</v>
      </c>
      <c r="C17" s="350"/>
      <c r="D17" s="351"/>
      <c r="E17" s="351"/>
      <c r="F17" s="351"/>
      <c r="G17" s="352"/>
    </row>
    <row r="18" spans="1:7" ht="16.2" thickBot="1">
      <c r="A18" s="343"/>
      <c r="B18" s="353" t="s">
        <v>436</v>
      </c>
      <c r="C18" s="350">
        <v>0</v>
      </c>
      <c r="D18" s="351">
        <v>0</v>
      </c>
      <c r="E18" s="351">
        <v>0</v>
      </c>
      <c r="F18" s="351">
        <f>SUM(C18:E18)</f>
        <v>0</v>
      </c>
      <c r="G18" s="352"/>
    </row>
    <row r="19" spans="1:7" ht="16.2" thickBot="1">
      <c r="A19" s="361">
        <v>7</v>
      </c>
      <c r="B19" s="358" t="s">
        <v>437</v>
      </c>
      <c r="C19" s="362">
        <f>SUM(C10:C18)</f>
        <v>16464</v>
      </c>
      <c r="D19" s="363">
        <f>SUM(D10:D18)</f>
        <v>9474900</v>
      </c>
      <c r="E19" s="363">
        <f>SUM(E10:E18)</f>
        <v>0</v>
      </c>
      <c r="F19" s="364">
        <f>SUM(C19:E19)</f>
        <v>9491364</v>
      </c>
      <c r="G19" s="352"/>
    </row>
    <row r="20" spans="1:7">
      <c r="A20" s="339">
        <v>8</v>
      </c>
      <c r="B20" s="365" t="s">
        <v>438</v>
      </c>
      <c r="C20" s="366"/>
      <c r="D20" s="366"/>
      <c r="E20" s="366"/>
      <c r="F20" s="366"/>
      <c r="G20" s="352"/>
    </row>
    <row r="21" spans="1:7">
      <c r="A21" s="343"/>
      <c r="B21" s="367" t="s">
        <v>439</v>
      </c>
      <c r="C21" s="368" t="s">
        <v>440</v>
      </c>
      <c r="D21" s="355">
        <f>1330752+695548</f>
        <v>2026300</v>
      </c>
      <c r="E21" s="355">
        <v>42480</v>
      </c>
      <c r="F21" s="355">
        <f>SUM(D21:E21)</f>
        <v>2068780</v>
      </c>
      <c r="G21" s="352"/>
    </row>
    <row r="22" spans="1:7">
      <c r="A22" s="339">
        <v>9</v>
      </c>
      <c r="B22" s="365" t="s">
        <v>441</v>
      </c>
      <c r="C22" s="369"/>
      <c r="D22" s="351"/>
      <c r="E22" s="351"/>
      <c r="F22" s="351"/>
      <c r="G22" s="352"/>
    </row>
    <row r="23" spans="1:7">
      <c r="A23" s="343"/>
      <c r="B23" s="367" t="s">
        <v>442</v>
      </c>
      <c r="C23" s="368" t="s">
        <v>440</v>
      </c>
      <c r="D23" s="355">
        <f>830233+27885+72864+49192+9422+66886+19887+123023</f>
        <v>1199392</v>
      </c>
      <c r="E23" s="355">
        <f>55529+166795</f>
        <v>222324</v>
      </c>
      <c r="F23" s="355">
        <f>+D23+E23</f>
        <v>1421716</v>
      </c>
      <c r="G23" s="352"/>
    </row>
    <row r="24" spans="1:7">
      <c r="A24" s="339">
        <v>10</v>
      </c>
      <c r="B24" s="365" t="s">
        <v>443</v>
      </c>
      <c r="C24" s="369"/>
      <c r="D24" s="351"/>
      <c r="E24" s="351"/>
      <c r="F24" s="351"/>
      <c r="G24" s="352"/>
    </row>
    <row r="25" spans="1:7">
      <c r="A25" s="343"/>
      <c r="B25" s="367" t="s">
        <v>444</v>
      </c>
      <c r="C25" s="368" t="s">
        <v>440</v>
      </c>
      <c r="D25" s="355">
        <f>41747+360247+13972</f>
        <v>415966</v>
      </c>
      <c r="E25" s="355">
        <v>0</v>
      </c>
      <c r="F25" s="355">
        <f>+D25+E25</f>
        <v>415966</v>
      </c>
      <c r="G25" s="352"/>
    </row>
    <row r="26" spans="1:7">
      <c r="A26" s="339">
        <v>11</v>
      </c>
      <c r="B26" s="365" t="s">
        <v>445</v>
      </c>
      <c r="C26" s="369"/>
      <c r="D26" s="351"/>
      <c r="E26" s="351"/>
      <c r="F26" s="351"/>
      <c r="G26" s="352"/>
    </row>
    <row r="27" spans="1:7">
      <c r="A27" s="343"/>
      <c r="B27" s="367" t="s">
        <v>446</v>
      </c>
      <c r="C27" s="368" t="s">
        <v>440</v>
      </c>
      <c r="D27" s="355">
        <v>850</v>
      </c>
      <c r="E27" s="355">
        <v>0</v>
      </c>
      <c r="F27" s="355">
        <f>+D27+E27</f>
        <v>850</v>
      </c>
      <c r="G27" s="352"/>
    </row>
    <row r="28" spans="1:7">
      <c r="A28" s="361">
        <v>12</v>
      </c>
      <c r="B28" s="370" t="s">
        <v>447</v>
      </c>
      <c r="C28" s="371" t="s">
        <v>440</v>
      </c>
      <c r="D28" s="360">
        <v>118433</v>
      </c>
      <c r="E28" s="360">
        <v>0</v>
      </c>
      <c r="F28" s="355">
        <f>+D28+E28</f>
        <v>118433</v>
      </c>
      <c r="G28" s="352"/>
    </row>
    <row r="29" spans="1:7">
      <c r="A29" s="361">
        <v>13</v>
      </c>
      <c r="B29" s="370" t="s">
        <v>448</v>
      </c>
      <c r="C29" s="371" t="s">
        <v>440</v>
      </c>
      <c r="D29" s="360">
        <f>269347+13923+20047+565242+160461</f>
        <v>1029020</v>
      </c>
      <c r="E29" s="360">
        <v>0</v>
      </c>
      <c r="F29" s="355">
        <f>+D29+E29</f>
        <v>1029020</v>
      </c>
      <c r="G29" s="352"/>
    </row>
    <row r="30" spans="1:7" ht="16.2" thickBot="1">
      <c r="A30" s="339">
        <v>14</v>
      </c>
      <c r="B30" s="365" t="s">
        <v>449</v>
      </c>
      <c r="C30" s="372"/>
      <c r="D30" s="366"/>
      <c r="E30" s="366"/>
      <c r="F30" s="366"/>
      <c r="G30" s="352"/>
    </row>
    <row r="31" spans="1:7" ht="16.2" thickBot="1">
      <c r="A31" s="343"/>
      <c r="B31" s="353" t="s">
        <v>450</v>
      </c>
      <c r="C31" s="362" t="s">
        <v>771</v>
      </c>
      <c r="D31" s="363">
        <f>SUM(D19:D29)</f>
        <v>14264861</v>
      </c>
      <c r="E31" s="363">
        <f>SUM(E19:E29)</f>
        <v>264804</v>
      </c>
      <c r="F31" s="364">
        <f>SUM(F19:F30)</f>
        <v>14546129</v>
      </c>
      <c r="G31" s="352"/>
    </row>
    <row r="32" spans="1:7">
      <c r="B32" s="373"/>
      <c r="C32" s="374"/>
      <c r="D32" s="374"/>
      <c r="E32" s="374"/>
      <c r="F32" s="374"/>
      <c r="G32" s="352"/>
    </row>
    <row r="33" spans="2:7">
      <c r="B33" s="517" t="s">
        <v>451</v>
      </c>
      <c r="C33" s="518"/>
      <c r="D33" s="375">
        <v>24</v>
      </c>
      <c r="E33" s="374"/>
      <c r="F33" s="374"/>
      <c r="G33" s="352"/>
    </row>
    <row r="34" spans="2:7">
      <c r="B34" s="376" t="s">
        <v>452</v>
      </c>
      <c r="C34" s="377"/>
      <c r="D34" s="378">
        <v>0</v>
      </c>
      <c r="E34" s="374"/>
      <c r="F34" s="374"/>
      <c r="G34" s="352"/>
    </row>
    <row r="35" spans="2:7">
      <c r="C35" s="379"/>
      <c r="D35" s="379"/>
      <c r="E35" s="379"/>
      <c r="F35" s="379"/>
    </row>
    <row r="36" spans="2:7">
      <c r="B36" s="334" t="s">
        <v>772</v>
      </c>
    </row>
  </sheetData>
  <mergeCells count="6">
    <mergeCell ref="B33:C33"/>
    <mergeCell ref="A1:F1"/>
    <mergeCell ref="A2:F2"/>
    <mergeCell ref="A3:F3"/>
    <mergeCell ref="A4:F4"/>
    <mergeCell ref="A6:F6"/>
  </mergeCells>
  <pageMargins left="0.75" right="0.75" top="1" bottom="1" header="0.5" footer="0.5"/>
  <pageSetup scale="9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17"/>
  <sheetViews>
    <sheetView zoomScale="80" workbookViewId="0">
      <selection activeCell="E13" sqref="E13"/>
    </sheetView>
  </sheetViews>
  <sheetFormatPr defaultRowHeight="15.6"/>
  <cols>
    <col min="1" max="1" width="3.81640625" style="330" customWidth="1"/>
    <col min="2" max="2" width="39.6328125" style="334" bestFit="1" customWidth="1"/>
    <col min="3" max="3" width="9.453125" style="334" customWidth="1"/>
    <col min="4" max="4" width="2.1796875" style="334" customWidth="1"/>
    <col min="5" max="257" width="8.90625" style="334"/>
    <col min="258" max="258" width="35" style="334" customWidth="1"/>
    <col min="259" max="259" width="9.453125" style="334" customWidth="1"/>
    <col min="260" max="513" width="8.90625" style="334"/>
    <col min="514" max="514" width="35" style="334" customWidth="1"/>
    <col min="515" max="515" width="9.453125" style="334" customWidth="1"/>
    <col min="516" max="769" width="8.90625" style="334"/>
    <col min="770" max="770" width="35" style="334" customWidth="1"/>
    <col min="771" max="771" width="9.453125" style="334" customWidth="1"/>
    <col min="772" max="1025" width="8.90625" style="334"/>
    <col min="1026" max="1026" width="35" style="334" customWidth="1"/>
    <col min="1027" max="1027" width="9.453125" style="334" customWidth="1"/>
    <col min="1028" max="1281" width="8.90625" style="334"/>
    <col min="1282" max="1282" width="35" style="334" customWidth="1"/>
    <col min="1283" max="1283" width="9.453125" style="334" customWidth="1"/>
    <col min="1284" max="1537" width="8.90625" style="334"/>
    <col min="1538" max="1538" width="35" style="334" customWidth="1"/>
    <col min="1539" max="1539" width="9.453125" style="334" customWidth="1"/>
    <col min="1540" max="1793" width="8.90625" style="334"/>
    <col min="1794" max="1794" width="35" style="334" customWidth="1"/>
    <col min="1795" max="1795" width="9.453125" style="334" customWidth="1"/>
    <col min="1796" max="2049" width="8.90625" style="334"/>
    <col min="2050" max="2050" width="35" style="334" customWidth="1"/>
    <col min="2051" max="2051" width="9.453125" style="334" customWidth="1"/>
    <col min="2052" max="2305" width="8.90625" style="334"/>
    <col min="2306" max="2306" width="35" style="334" customWidth="1"/>
    <col min="2307" max="2307" width="9.453125" style="334" customWidth="1"/>
    <col min="2308" max="2561" width="8.90625" style="334"/>
    <col min="2562" max="2562" width="35" style="334" customWidth="1"/>
    <col min="2563" max="2563" width="9.453125" style="334" customWidth="1"/>
    <col min="2564" max="2817" width="8.90625" style="334"/>
    <col min="2818" max="2818" width="35" style="334" customWidth="1"/>
    <col min="2819" max="2819" width="9.453125" style="334" customWidth="1"/>
    <col min="2820" max="3073" width="8.90625" style="334"/>
    <col min="3074" max="3074" width="35" style="334" customWidth="1"/>
    <col min="3075" max="3075" width="9.453125" style="334" customWidth="1"/>
    <col min="3076" max="3329" width="8.90625" style="334"/>
    <col min="3330" max="3330" width="35" style="334" customWidth="1"/>
    <col min="3331" max="3331" width="9.453125" style="334" customWidth="1"/>
    <col min="3332" max="3585" width="8.90625" style="334"/>
    <col min="3586" max="3586" width="35" style="334" customWidth="1"/>
    <col min="3587" max="3587" width="9.453125" style="334" customWidth="1"/>
    <col min="3588" max="3841" width="8.90625" style="334"/>
    <col min="3842" max="3842" width="35" style="334" customWidth="1"/>
    <col min="3843" max="3843" width="9.453125" style="334" customWidth="1"/>
    <col min="3844" max="4097" width="8.90625" style="334"/>
    <col min="4098" max="4098" width="35" style="334" customWidth="1"/>
    <col min="4099" max="4099" width="9.453125" style="334" customWidth="1"/>
    <col min="4100" max="4353" width="8.90625" style="334"/>
    <col min="4354" max="4354" width="35" style="334" customWidth="1"/>
    <col min="4355" max="4355" width="9.453125" style="334" customWidth="1"/>
    <col min="4356" max="4609" width="8.90625" style="334"/>
    <col min="4610" max="4610" width="35" style="334" customWidth="1"/>
    <col min="4611" max="4611" width="9.453125" style="334" customWidth="1"/>
    <col min="4612" max="4865" width="8.90625" style="334"/>
    <col min="4866" max="4866" width="35" style="334" customWidth="1"/>
    <col min="4867" max="4867" width="9.453125" style="334" customWidth="1"/>
    <col min="4868" max="5121" width="8.90625" style="334"/>
    <col min="5122" max="5122" width="35" style="334" customWidth="1"/>
    <col min="5123" max="5123" width="9.453125" style="334" customWidth="1"/>
    <col min="5124" max="5377" width="8.90625" style="334"/>
    <col min="5378" max="5378" width="35" style="334" customWidth="1"/>
    <col min="5379" max="5379" width="9.453125" style="334" customWidth="1"/>
    <col min="5380" max="5633" width="8.90625" style="334"/>
    <col min="5634" max="5634" width="35" style="334" customWidth="1"/>
    <col min="5635" max="5635" width="9.453125" style="334" customWidth="1"/>
    <col min="5636" max="5889" width="8.90625" style="334"/>
    <col min="5890" max="5890" width="35" style="334" customWidth="1"/>
    <col min="5891" max="5891" width="9.453125" style="334" customWidth="1"/>
    <col min="5892" max="6145" width="8.90625" style="334"/>
    <col min="6146" max="6146" width="35" style="334" customWidth="1"/>
    <col min="6147" max="6147" width="9.453125" style="334" customWidth="1"/>
    <col min="6148" max="6401" width="8.90625" style="334"/>
    <col min="6402" max="6402" width="35" style="334" customWidth="1"/>
    <col min="6403" max="6403" width="9.453125" style="334" customWidth="1"/>
    <col min="6404" max="6657" width="8.90625" style="334"/>
    <col min="6658" max="6658" width="35" style="334" customWidth="1"/>
    <col min="6659" max="6659" width="9.453125" style="334" customWidth="1"/>
    <col min="6660" max="6913" width="8.90625" style="334"/>
    <col min="6914" max="6914" width="35" style="334" customWidth="1"/>
    <col min="6915" max="6915" width="9.453125" style="334" customWidth="1"/>
    <col min="6916" max="7169" width="8.90625" style="334"/>
    <col min="7170" max="7170" width="35" style="334" customWidth="1"/>
    <col min="7171" max="7171" width="9.453125" style="334" customWidth="1"/>
    <col min="7172" max="7425" width="8.90625" style="334"/>
    <col min="7426" max="7426" width="35" style="334" customWidth="1"/>
    <col min="7427" max="7427" width="9.453125" style="334" customWidth="1"/>
    <col min="7428" max="7681" width="8.90625" style="334"/>
    <col min="7682" max="7682" width="35" style="334" customWidth="1"/>
    <col min="7683" max="7683" width="9.453125" style="334" customWidth="1"/>
    <col min="7684" max="7937" width="8.90625" style="334"/>
    <col min="7938" max="7938" width="35" style="334" customWidth="1"/>
    <col min="7939" max="7939" width="9.453125" style="334" customWidth="1"/>
    <col min="7940" max="8193" width="8.90625" style="334"/>
    <col min="8194" max="8194" width="35" style="334" customWidth="1"/>
    <col min="8195" max="8195" width="9.453125" style="334" customWidth="1"/>
    <col min="8196" max="8449" width="8.90625" style="334"/>
    <col min="8450" max="8450" width="35" style="334" customWidth="1"/>
    <col min="8451" max="8451" width="9.453125" style="334" customWidth="1"/>
    <col min="8452" max="8705" width="8.90625" style="334"/>
    <col min="8706" max="8706" width="35" style="334" customWidth="1"/>
    <col min="8707" max="8707" width="9.453125" style="334" customWidth="1"/>
    <col min="8708" max="8961" width="8.90625" style="334"/>
    <col min="8962" max="8962" width="35" style="334" customWidth="1"/>
    <col min="8963" max="8963" width="9.453125" style="334" customWidth="1"/>
    <col min="8964" max="9217" width="8.90625" style="334"/>
    <col min="9218" max="9218" width="35" style="334" customWidth="1"/>
    <col min="9219" max="9219" width="9.453125" style="334" customWidth="1"/>
    <col min="9220" max="9473" width="8.90625" style="334"/>
    <col min="9474" max="9474" width="35" style="334" customWidth="1"/>
    <col min="9475" max="9475" width="9.453125" style="334" customWidth="1"/>
    <col min="9476" max="9729" width="8.90625" style="334"/>
    <col min="9730" max="9730" width="35" style="334" customWidth="1"/>
    <col min="9731" max="9731" width="9.453125" style="334" customWidth="1"/>
    <col min="9732" max="9985" width="8.90625" style="334"/>
    <col min="9986" max="9986" width="35" style="334" customWidth="1"/>
    <col min="9987" max="9987" width="9.453125" style="334" customWidth="1"/>
    <col min="9988" max="10241" width="8.90625" style="334"/>
    <col min="10242" max="10242" width="35" style="334" customWidth="1"/>
    <col min="10243" max="10243" width="9.453125" style="334" customWidth="1"/>
    <col min="10244" max="10497" width="8.90625" style="334"/>
    <col min="10498" max="10498" width="35" style="334" customWidth="1"/>
    <col min="10499" max="10499" width="9.453125" style="334" customWidth="1"/>
    <col min="10500" max="10753" width="8.90625" style="334"/>
    <col min="10754" max="10754" width="35" style="334" customWidth="1"/>
    <col min="10755" max="10755" width="9.453125" style="334" customWidth="1"/>
    <col min="10756" max="11009" width="8.90625" style="334"/>
    <col min="11010" max="11010" width="35" style="334" customWidth="1"/>
    <col min="11011" max="11011" width="9.453125" style="334" customWidth="1"/>
    <col min="11012" max="11265" width="8.90625" style="334"/>
    <col min="11266" max="11266" width="35" style="334" customWidth="1"/>
    <col min="11267" max="11267" width="9.453125" style="334" customWidth="1"/>
    <col min="11268" max="11521" width="8.90625" style="334"/>
    <col min="11522" max="11522" width="35" style="334" customWidth="1"/>
    <col min="11523" max="11523" width="9.453125" style="334" customWidth="1"/>
    <col min="11524" max="11777" width="8.90625" style="334"/>
    <col min="11778" max="11778" width="35" style="334" customWidth="1"/>
    <col min="11779" max="11779" width="9.453125" style="334" customWidth="1"/>
    <col min="11780" max="12033" width="8.90625" style="334"/>
    <col min="12034" max="12034" width="35" style="334" customWidth="1"/>
    <col min="12035" max="12035" width="9.453125" style="334" customWidth="1"/>
    <col min="12036" max="12289" width="8.90625" style="334"/>
    <col min="12290" max="12290" width="35" style="334" customWidth="1"/>
    <col min="12291" max="12291" width="9.453125" style="334" customWidth="1"/>
    <col min="12292" max="12545" width="8.90625" style="334"/>
    <col min="12546" max="12546" width="35" style="334" customWidth="1"/>
    <col min="12547" max="12547" width="9.453125" style="334" customWidth="1"/>
    <col min="12548" max="12801" width="8.90625" style="334"/>
    <col min="12802" max="12802" width="35" style="334" customWidth="1"/>
    <col min="12803" max="12803" width="9.453125" style="334" customWidth="1"/>
    <col min="12804" max="13057" width="8.90625" style="334"/>
    <col min="13058" max="13058" width="35" style="334" customWidth="1"/>
    <col min="13059" max="13059" width="9.453125" style="334" customWidth="1"/>
    <col min="13060" max="13313" width="8.90625" style="334"/>
    <col min="13314" max="13314" width="35" style="334" customWidth="1"/>
    <col min="13315" max="13315" width="9.453125" style="334" customWidth="1"/>
    <col min="13316" max="13569" width="8.90625" style="334"/>
    <col min="13570" max="13570" width="35" style="334" customWidth="1"/>
    <col min="13571" max="13571" width="9.453125" style="334" customWidth="1"/>
    <col min="13572" max="13825" width="8.90625" style="334"/>
    <col min="13826" max="13826" width="35" style="334" customWidth="1"/>
    <col min="13827" max="13827" width="9.453125" style="334" customWidth="1"/>
    <col min="13828" max="14081" width="8.90625" style="334"/>
    <col min="14082" max="14082" width="35" style="334" customWidth="1"/>
    <col min="14083" max="14083" width="9.453125" style="334" customWidth="1"/>
    <col min="14084" max="14337" width="8.90625" style="334"/>
    <col min="14338" max="14338" width="35" style="334" customWidth="1"/>
    <col min="14339" max="14339" width="9.453125" style="334" customWidth="1"/>
    <col min="14340" max="14593" width="8.90625" style="334"/>
    <col min="14594" max="14594" width="35" style="334" customWidth="1"/>
    <col min="14595" max="14595" width="9.453125" style="334" customWidth="1"/>
    <col min="14596" max="14849" width="8.90625" style="334"/>
    <col min="14850" max="14850" width="35" style="334" customWidth="1"/>
    <col min="14851" max="14851" width="9.453125" style="334" customWidth="1"/>
    <col min="14852" max="15105" width="8.90625" style="334"/>
    <col min="15106" max="15106" width="35" style="334" customWidth="1"/>
    <col min="15107" max="15107" width="9.453125" style="334" customWidth="1"/>
    <col min="15108" max="15361" width="8.90625" style="334"/>
    <col min="15362" max="15362" width="35" style="334" customWidth="1"/>
    <col min="15363" max="15363" width="9.453125" style="334" customWidth="1"/>
    <col min="15364" max="15617" width="8.90625" style="334"/>
    <col min="15618" max="15618" width="35" style="334" customWidth="1"/>
    <col min="15619" max="15619" width="9.453125" style="334" customWidth="1"/>
    <col min="15620" max="15873" width="8.90625" style="334"/>
    <col min="15874" max="15874" width="35" style="334" customWidth="1"/>
    <col min="15875" max="15875" width="9.453125" style="334" customWidth="1"/>
    <col min="15876" max="16129" width="8.90625" style="334"/>
    <col min="16130" max="16130" width="35" style="334" customWidth="1"/>
    <col min="16131" max="16131" width="9.453125" style="334" customWidth="1"/>
    <col min="16132" max="16384" width="8.90625" style="334"/>
  </cols>
  <sheetData>
    <row r="1" spans="1:7">
      <c r="A1" s="514" t="str">
        <f>+'Schedule 2'!A1:F1</f>
        <v>Detroit Lakes (Minnesota) Public Utilities</v>
      </c>
      <c r="B1" s="514"/>
      <c r="C1" s="514"/>
      <c r="D1" s="514"/>
      <c r="E1" s="514"/>
      <c r="F1" s="514"/>
      <c r="G1" s="514"/>
    </row>
    <row r="2" spans="1:7">
      <c r="A2" s="519" t="s">
        <v>281</v>
      </c>
      <c r="B2" s="519"/>
      <c r="C2" s="519"/>
      <c r="D2" s="519"/>
      <c r="E2" s="519"/>
      <c r="F2" s="519"/>
      <c r="G2" s="519"/>
    </row>
    <row r="3" spans="1:7">
      <c r="A3" s="519" t="s">
        <v>484</v>
      </c>
      <c r="B3" s="519"/>
      <c r="C3" s="519"/>
      <c r="D3" s="519"/>
      <c r="E3" s="519"/>
      <c r="F3" s="519"/>
      <c r="G3" s="519"/>
    </row>
    <row r="4" spans="1:7">
      <c r="A4" s="515" t="str">
        <f>+'Schedule 2'!A4:F4</f>
        <v>For the Year Ended December 31, 2014</v>
      </c>
      <c r="B4" s="515"/>
      <c r="C4" s="515"/>
      <c r="D4" s="515"/>
      <c r="E4" s="515"/>
      <c r="F4" s="515"/>
      <c r="G4" s="515"/>
    </row>
    <row r="5" spans="1:7">
      <c r="B5" s="331"/>
      <c r="C5" s="331"/>
    </row>
    <row r="6" spans="1:7">
      <c r="A6" s="330" t="s">
        <v>485</v>
      </c>
    </row>
    <row r="7" spans="1:7">
      <c r="A7" s="330" t="s">
        <v>287</v>
      </c>
    </row>
    <row r="8" spans="1:7">
      <c r="A8" s="330">
        <v>1</v>
      </c>
      <c r="B8" s="334" t="s">
        <v>486</v>
      </c>
      <c r="C8" s="374">
        <v>0</v>
      </c>
    </row>
    <row r="9" spans="1:7">
      <c r="C9" s="373"/>
    </row>
    <row r="10" spans="1:7">
      <c r="A10" s="330">
        <v>2</v>
      </c>
      <c r="B10" s="334" t="s">
        <v>487</v>
      </c>
      <c r="C10" s="400">
        <v>588788</v>
      </c>
    </row>
    <row r="11" spans="1:7">
      <c r="C11" s="373"/>
    </row>
    <row r="12" spans="1:7">
      <c r="A12" s="330">
        <v>3</v>
      </c>
      <c r="C12" s="472">
        <f>84948+475000</f>
        <v>559948</v>
      </c>
      <c r="E12" s="334" t="s">
        <v>810</v>
      </c>
    </row>
    <row r="13" spans="1:7">
      <c r="A13" s="330">
        <v>4</v>
      </c>
      <c r="C13" s="472">
        <v>28840</v>
      </c>
      <c r="E13" s="334" t="s">
        <v>935</v>
      </c>
    </row>
    <row r="14" spans="1:7" ht="16.2" thickBot="1">
      <c r="A14" s="330">
        <v>5</v>
      </c>
      <c r="C14" s="459">
        <f>+C12+C13</f>
        <v>588788</v>
      </c>
    </row>
    <row r="15" spans="1:7" ht="16.2" thickTop="1">
      <c r="C15" s="373"/>
    </row>
    <row r="16" spans="1:7">
      <c r="C16" s="373"/>
    </row>
    <row r="17" spans="3:3">
      <c r="C17" s="373"/>
    </row>
  </sheetData>
  <mergeCells count="4">
    <mergeCell ref="A1:G1"/>
    <mergeCell ref="A2:G2"/>
    <mergeCell ref="A3:G3"/>
    <mergeCell ref="A4:G4"/>
  </mergeCells>
  <pageMargins left="0.75" right="0.75" top="1" bottom="1" header="0.5" footer="0.5"/>
  <pageSetup scale="5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251"/>
  <sheetViews>
    <sheetView topLeftCell="A34" zoomScale="90" zoomScaleNormal="90" workbookViewId="0">
      <selection activeCell="B47" sqref="B47"/>
    </sheetView>
  </sheetViews>
  <sheetFormatPr defaultColWidth="7.1796875" defaultRowHeight="13.2" customHeight="1"/>
  <cols>
    <col min="1" max="1" width="44.08984375" style="9" customWidth="1"/>
    <col min="2" max="2" width="11.453125" style="9" customWidth="1"/>
    <col min="3" max="3" width="10.1796875" style="9" customWidth="1"/>
    <col min="4" max="4" width="7.1796875" style="9"/>
    <col min="5" max="5" width="53.08984375" style="14" customWidth="1"/>
    <col min="6" max="6" width="12.453125" style="75" bestFit="1" customWidth="1"/>
    <col min="7" max="7" width="7.1796875" style="9"/>
    <col min="8" max="8" width="11.08984375" style="9" bestFit="1" customWidth="1"/>
    <col min="9" max="9" width="9.1796875" style="9" customWidth="1"/>
    <col min="10" max="10" width="13.1796875" style="9" customWidth="1"/>
    <col min="11" max="16384" width="7.1796875" style="9"/>
  </cols>
  <sheetData>
    <row r="1" spans="1:6" ht="13.2" customHeight="1">
      <c r="A1" s="7"/>
      <c r="B1" s="7"/>
      <c r="E1" s="15"/>
    </row>
    <row r="2" spans="1:6" ht="13.2" customHeight="1">
      <c r="A2" s="8" t="s">
        <v>488</v>
      </c>
      <c r="B2" s="8"/>
      <c r="E2" s="16" t="s">
        <v>488</v>
      </c>
      <c r="F2" s="76"/>
    </row>
    <row r="3" spans="1:6" ht="13.2" customHeight="1">
      <c r="A3" s="8" t="s">
        <v>489</v>
      </c>
      <c r="B3" s="8"/>
      <c r="E3" s="16" t="s">
        <v>489</v>
      </c>
      <c r="F3" s="76"/>
    </row>
    <row r="4" spans="1:6" ht="13.2" customHeight="1">
      <c r="A4" s="8" t="s">
        <v>752</v>
      </c>
      <c r="B4" s="8"/>
      <c r="E4" s="16" t="s">
        <v>751</v>
      </c>
      <c r="F4" s="76"/>
    </row>
    <row r="5" spans="1:6" ht="13.2" customHeight="1">
      <c r="A5" s="8" t="s">
        <v>919</v>
      </c>
      <c r="B5" s="8"/>
      <c r="E5" s="16" t="str">
        <f>+A5</f>
        <v>Years Ended December 31, 2014</v>
      </c>
      <c r="F5" s="76"/>
    </row>
    <row r="6" spans="1:6" ht="13.2" customHeight="1" thickBot="1">
      <c r="A6" s="10"/>
      <c r="B6" s="11"/>
      <c r="E6" s="17"/>
      <c r="F6" s="77"/>
    </row>
    <row r="7" spans="1:6" ht="15" customHeight="1" thickTop="1">
      <c r="A7" s="12"/>
      <c r="B7" s="12"/>
      <c r="E7" s="18"/>
      <c r="F7" s="78"/>
    </row>
    <row r="8" spans="1:6" ht="15" customHeight="1">
      <c r="A8" s="12"/>
      <c r="B8" s="13">
        <v>2014</v>
      </c>
      <c r="E8" s="18"/>
      <c r="F8" s="283">
        <f>+B8</f>
        <v>2014</v>
      </c>
    </row>
    <row r="9" spans="1:6" ht="15" customHeight="1">
      <c r="A9" s="12" t="s">
        <v>490</v>
      </c>
      <c r="B9" s="12"/>
      <c r="E9" s="18" t="s">
        <v>508</v>
      </c>
      <c r="F9" s="78"/>
    </row>
    <row r="10" spans="1:6" ht="15" customHeight="1">
      <c r="A10" s="7" t="s">
        <v>491</v>
      </c>
      <c r="E10" s="18" t="s">
        <v>526</v>
      </c>
      <c r="F10" s="78"/>
    </row>
    <row r="11" spans="1:6" ht="15" customHeight="1">
      <c r="A11" s="7" t="s">
        <v>492</v>
      </c>
      <c r="B11" s="89">
        <v>6606069</v>
      </c>
      <c r="E11" s="18" t="s">
        <v>527</v>
      </c>
      <c r="F11" s="79"/>
    </row>
    <row r="12" spans="1:6" ht="15" customHeight="1">
      <c r="A12" s="7" t="s">
        <v>493</v>
      </c>
      <c r="B12" s="87">
        <v>9682495</v>
      </c>
      <c r="E12" s="15" t="s">
        <v>528</v>
      </c>
      <c r="F12" s="80">
        <v>3526</v>
      </c>
    </row>
    <row r="13" spans="1:6" ht="15" customHeight="1">
      <c r="A13" s="7" t="s">
        <v>494</v>
      </c>
      <c r="B13" s="87">
        <v>5908</v>
      </c>
      <c r="E13" s="15" t="s">
        <v>529</v>
      </c>
      <c r="F13" s="80">
        <v>241</v>
      </c>
    </row>
    <row r="14" spans="1:6" ht="15" customHeight="1">
      <c r="A14" s="7" t="s">
        <v>495</v>
      </c>
      <c r="B14" s="87">
        <v>213133</v>
      </c>
      <c r="E14" s="15" t="s">
        <v>530</v>
      </c>
      <c r="F14" s="80">
        <v>256</v>
      </c>
    </row>
    <row r="15" spans="1:6" ht="15" customHeight="1">
      <c r="A15" s="7" t="s">
        <v>496</v>
      </c>
      <c r="B15" s="88">
        <v>158438</v>
      </c>
      <c r="E15" s="15" t="s">
        <v>531</v>
      </c>
      <c r="F15" s="80">
        <v>16464</v>
      </c>
    </row>
    <row r="16" spans="1:6" ht="15" customHeight="1">
      <c r="A16" s="12" t="s">
        <v>497</v>
      </c>
      <c r="B16" s="88">
        <f>SUM(B11:B15)</f>
        <v>16666043</v>
      </c>
      <c r="E16" s="15" t="s">
        <v>532</v>
      </c>
      <c r="F16" s="80">
        <v>825</v>
      </c>
    </row>
    <row r="17" spans="1:6" ht="15" customHeight="1">
      <c r="A17" s="7"/>
      <c r="B17" s="89"/>
      <c r="E17" s="15" t="s">
        <v>793</v>
      </c>
      <c r="F17" s="80">
        <v>30199</v>
      </c>
    </row>
    <row r="18" spans="1:6" ht="15" customHeight="1">
      <c r="A18" s="7" t="s">
        <v>498</v>
      </c>
      <c r="B18" s="89"/>
      <c r="E18" s="15" t="s">
        <v>533</v>
      </c>
      <c r="F18" s="80">
        <v>0</v>
      </c>
    </row>
    <row r="19" spans="1:6" ht="15" customHeight="1">
      <c r="A19" s="7" t="s">
        <v>499</v>
      </c>
      <c r="B19" s="87">
        <v>54618</v>
      </c>
      <c r="E19" s="15" t="s">
        <v>534</v>
      </c>
      <c r="F19" s="80">
        <v>10279</v>
      </c>
    </row>
    <row r="20" spans="1:6" ht="15" customHeight="1">
      <c r="A20" s="7" t="s">
        <v>500</v>
      </c>
      <c r="B20" s="87">
        <v>119576</v>
      </c>
      <c r="E20" s="15" t="s">
        <v>535</v>
      </c>
      <c r="F20" s="81">
        <v>1721</v>
      </c>
    </row>
    <row r="21" spans="1:6" ht="15" customHeight="1">
      <c r="A21" s="7" t="s">
        <v>501</v>
      </c>
      <c r="B21" s="87">
        <v>88183</v>
      </c>
      <c r="E21" s="18" t="s">
        <v>536</v>
      </c>
      <c r="F21" s="81">
        <f>SUM(F12:F20)</f>
        <v>63511</v>
      </c>
    </row>
    <row r="22" spans="1:6" ht="15" customHeight="1">
      <c r="A22" s="7" t="s">
        <v>502</v>
      </c>
      <c r="B22" s="87">
        <v>206497</v>
      </c>
      <c r="E22" s="18"/>
      <c r="F22" s="82"/>
    </row>
    <row r="23" spans="1:6" ht="15" customHeight="1">
      <c r="A23" s="7" t="s">
        <v>503</v>
      </c>
      <c r="B23" s="87">
        <v>13512</v>
      </c>
      <c r="E23" s="18" t="s">
        <v>537</v>
      </c>
      <c r="F23" s="78"/>
    </row>
    <row r="24" spans="1:6" ht="15" customHeight="1">
      <c r="A24" s="7" t="s">
        <v>915</v>
      </c>
      <c r="B24" s="87">
        <v>172072</v>
      </c>
      <c r="E24" s="18" t="s">
        <v>467</v>
      </c>
      <c r="F24" s="78"/>
    </row>
    <row r="25" spans="1:6" ht="15" customHeight="1">
      <c r="A25" s="284" t="s">
        <v>504</v>
      </c>
      <c r="B25" s="84">
        <v>59753</v>
      </c>
      <c r="E25" s="15" t="s">
        <v>533</v>
      </c>
      <c r="F25" s="80">
        <v>0</v>
      </c>
    </row>
    <row r="26" spans="1:6" ht="15" customHeight="1">
      <c r="A26" s="284" t="s">
        <v>792</v>
      </c>
      <c r="B26" s="84">
        <v>9896</v>
      </c>
      <c r="E26" s="15" t="s">
        <v>532</v>
      </c>
      <c r="F26" s="80">
        <v>0</v>
      </c>
    </row>
    <row r="27" spans="1:6" ht="15" customHeight="1">
      <c r="A27" s="284" t="s">
        <v>953</v>
      </c>
      <c r="B27" s="84">
        <v>12962</v>
      </c>
      <c r="E27" s="15" t="s">
        <v>538</v>
      </c>
      <c r="F27" s="80">
        <v>0</v>
      </c>
    </row>
    <row r="28" spans="1:6" ht="15" customHeight="1">
      <c r="A28" s="7" t="s">
        <v>505</v>
      </c>
      <c r="B28" s="88">
        <v>1405</v>
      </c>
      <c r="E28" s="15" t="s">
        <v>534</v>
      </c>
      <c r="F28" s="80">
        <v>0</v>
      </c>
    </row>
    <row r="29" spans="1:6" ht="15" customHeight="1">
      <c r="A29" s="12" t="s">
        <v>506</v>
      </c>
      <c r="B29" s="88">
        <f>SUM(B19:B28)</f>
        <v>738474</v>
      </c>
      <c r="E29" s="15" t="s">
        <v>535</v>
      </c>
      <c r="F29" s="83">
        <v>0</v>
      </c>
    </row>
    <row r="30" spans="1:6" ht="15" customHeight="1">
      <c r="A30" s="7"/>
      <c r="B30" s="89"/>
      <c r="E30" s="18" t="s">
        <v>539</v>
      </c>
      <c r="F30" s="83">
        <f>SUM(F25:F29)</f>
        <v>0</v>
      </c>
    </row>
    <row r="31" spans="1:6" ht="15" customHeight="1">
      <c r="A31" s="12" t="s">
        <v>507</v>
      </c>
      <c r="B31" s="88">
        <f>SUM(B16+B29)</f>
        <v>17404517</v>
      </c>
      <c r="E31" s="18"/>
      <c r="F31" s="82"/>
    </row>
    <row r="32" spans="1:6" ht="15" customHeight="1">
      <c r="A32" s="7"/>
      <c r="B32" s="89"/>
      <c r="E32" s="18" t="s">
        <v>756</v>
      </c>
    </row>
    <row r="33" spans="1:6" ht="15" customHeight="1">
      <c r="A33" s="12" t="s">
        <v>508</v>
      </c>
      <c r="B33" s="89"/>
      <c r="E33" s="15" t="s">
        <v>528</v>
      </c>
      <c r="F33" s="80">
        <v>96365</v>
      </c>
    </row>
    <row r="34" spans="1:6" ht="15" customHeight="1">
      <c r="A34" s="7" t="s">
        <v>509</v>
      </c>
      <c r="B34" s="84">
        <v>63511</v>
      </c>
      <c r="C34" s="9" t="s">
        <v>509</v>
      </c>
      <c r="E34" s="15" t="s">
        <v>540</v>
      </c>
      <c r="F34" s="80">
        <v>300</v>
      </c>
    </row>
    <row r="35" spans="1:6" ht="15" customHeight="1">
      <c r="A35" s="7" t="s">
        <v>757</v>
      </c>
      <c r="B35" s="84">
        <v>166795</v>
      </c>
      <c r="C35" s="9" t="s">
        <v>859</v>
      </c>
      <c r="E35" s="15" t="s">
        <v>529</v>
      </c>
      <c r="F35" s="80">
        <v>6406</v>
      </c>
    </row>
    <row r="36" spans="1:6" ht="15" customHeight="1">
      <c r="A36" s="7" t="s">
        <v>510</v>
      </c>
      <c r="B36" s="84">
        <v>11454153</v>
      </c>
      <c r="C36" s="9" t="s">
        <v>860</v>
      </c>
      <c r="E36" s="15" t="s">
        <v>530</v>
      </c>
      <c r="F36" s="80">
        <v>6944</v>
      </c>
    </row>
    <row r="37" spans="1:6" ht="15" customHeight="1">
      <c r="A37" s="7" t="s">
        <v>45</v>
      </c>
      <c r="B37" s="84">
        <v>42480</v>
      </c>
      <c r="C37" s="9" t="s">
        <v>861</v>
      </c>
      <c r="E37" s="15" t="s">
        <v>532</v>
      </c>
      <c r="F37" s="84">
        <v>13059</v>
      </c>
    </row>
    <row r="38" spans="1:6" ht="15" customHeight="1">
      <c r="A38" s="7" t="s">
        <v>511</v>
      </c>
      <c r="B38" s="84">
        <v>1131898</v>
      </c>
      <c r="E38" s="15" t="s">
        <v>533</v>
      </c>
      <c r="F38" s="84">
        <v>0</v>
      </c>
    </row>
    <row r="39" spans="1:6" ht="15" customHeight="1">
      <c r="A39" s="7" t="s">
        <v>512</v>
      </c>
      <c r="B39" s="84">
        <v>535249</v>
      </c>
      <c r="C39" s="9" t="s">
        <v>864</v>
      </c>
      <c r="E39" s="15" t="s">
        <v>538</v>
      </c>
      <c r="F39" s="84">
        <v>822</v>
      </c>
    </row>
    <row r="40" spans="1:6" ht="15" customHeight="1">
      <c r="A40" s="9" t="s">
        <v>753</v>
      </c>
      <c r="B40" s="75">
        <v>269347</v>
      </c>
      <c r="C40" s="9" t="s">
        <v>862</v>
      </c>
      <c r="E40" s="15" t="s">
        <v>541</v>
      </c>
      <c r="F40" s="84">
        <v>0</v>
      </c>
    </row>
    <row r="41" spans="1:6" ht="15" customHeight="1">
      <c r="A41" s="9" t="s">
        <v>754</v>
      </c>
      <c r="B41" s="75">
        <v>0</v>
      </c>
      <c r="C41" s="9" t="s">
        <v>863</v>
      </c>
      <c r="E41" s="15" t="s">
        <v>534</v>
      </c>
      <c r="F41" s="84">
        <v>34962</v>
      </c>
    </row>
    <row r="42" spans="1:6" ht="15" customHeight="1">
      <c r="A42" s="7" t="s">
        <v>481</v>
      </c>
      <c r="B42" s="84">
        <v>0</v>
      </c>
      <c r="C42" s="9" t="s">
        <v>858</v>
      </c>
      <c r="E42" s="15" t="s">
        <v>535</v>
      </c>
      <c r="F42" s="84">
        <v>5216</v>
      </c>
    </row>
    <row r="43" spans="1:6" ht="15" customHeight="1">
      <c r="A43" s="7" t="s">
        <v>482</v>
      </c>
      <c r="B43" s="84">
        <v>13923</v>
      </c>
      <c r="C43" s="9" t="s">
        <v>858</v>
      </c>
      <c r="E43" s="15" t="s">
        <v>542</v>
      </c>
      <c r="F43" s="81">
        <v>2721</v>
      </c>
    </row>
    <row r="44" spans="1:6" ht="15" customHeight="1">
      <c r="A44" s="7" t="s">
        <v>483</v>
      </c>
      <c r="B44" s="84">
        <v>20047</v>
      </c>
      <c r="C44" s="9" t="s">
        <v>858</v>
      </c>
      <c r="E44" s="18" t="s">
        <v>543</v>
      </c>
      <c r="F44" s="81">
        <f>SUM(F33:F43)</f>
        <v>166795</v>
      </c>
    </row>
    <row r="45" spans="1:6" ht="15" customHeight="1">
      <c r="A45" s="7" t="s">
        <v>513</v>
      </c>
      <c r="B45" s="84">
        <v>123023</v>
      </c>
      <c r="E45" s="15"/>
      <c r="F45" s="84"/>
    </row>
    <row r="46" spans="1:6" ht="15" customHeight="1">
      <c r="A46" s="7" t="s">
        <v>916</v>
      </c>
      <c r="B46" s="84">
        <v>160461</v>
      </c>
      <c r="E46" s="18" t="s">
        <v>544</v>
      </c>
      <c r="F46" s="81">
        <f>+F30+F44</f>
        <v>166795</v>
      </c>
    </row>
    <row r="47" spans="1:6" ht="15" customHeight="1">
      <c r="A47" s="7" t="s">
        <v>514</v>
      </c>
      <c r="B47" s="84">
        <v>565242</v>
      </c>
      <c r="C47" s="9" t="s">
        <v>858</v>
      </c>
      <c r="E47" s="15"/>
      <c r="F47" s="84"/>
    </row>
    <row r="48" spans="1:6" ht="15" customHeight="1">
      <c r="A48" s="7" t="s">
        <v>515</v>
      </c>
      <c r="B48" s="92">
        <v>827357</v>
      </c>
      <c r="E48" s="18" t="s">
        <v>545</v>
      </c>
      <c r="F48" s="84"/>
    </row>
    <row r="49" spans="1:8" ht="15" customHeight="1">
      <c r="A49" s="12" t="s">
        <v>516</v>
      </c>
      <c r="B49" s="88">
        <f>SUM(B34:B48)</f>
        <v>15373486</v>
      </c>
      <c r="E49" s="15" t="s">
        <v>546</v>
      </c>
      <c r="F49" s="84">
        <v>2187178</v>
      </c>
    </row>
    <row r="50" spans="1:8" ht="15" customHeight="1">
      <c r="A50" s="7"/>
      <c r="B50" s="89"/>
      <c r="E50" s="15" t="s">
        <v>547</v>
      </c>
      <c r="F50" s="84">
        <v>7932865</v>
      </c>
      <c r="H50" s="89"/>
    </row>
    <row r="51" spans="1:8" ht="15" customHeight="1">
      <c r="A51" s="12" t="s">
        <v>517</v>
      </c>
      <c r="B51" s="87">
        <f>SUM(B31-B49)</f>
        <v>2031031</v>
      </c>
      <c r="E51" s="15" t="s">
        <v>548</v>
      </c>
      <c r="F51" s="84">
        <v>3358</v>
      </c>
      <c r="H51" s="277"/>
    </row>
    <row r="52" spans="1:8" ht="15" customHeight="1">
      <c r="A52" s="7"/>
      <c r="B52" s="89"/>
      <c r="E52" s="15" t="s">
        <v>549</v>
      </c>
      <c r="F52" s="84">
        <v>0</v>
      </c>
    </row>
    <row r="53" spans="1:8" ht="15" customHeight="1">
      <c r="A53" s="7" t="s">
        <v>518</v>
      </c>
      <c r="B53" s="89"/>
      <c r="E53" s="15" t="s">
        <v>550</v>
      </c>
      <c r="F53" s="81">
        <v>1330752</v>
      </c>
      <c r="H53" s="277"/>
    </row>
    <row r="54" spans="1:8" ht="15" customHeight="1">
      <c r="A54" s="7" t="s">
        <v>519</v>
      </c>
      <c r="B54" s="87">
        <v>196642</v>
      </c>
      <c r="E54" s="18" t="s">
        <v>551</v>
      </c>
      <c r="F54" s="81">
        <f>SUM(F49:F53)</f>
        <v>11454153</v>
      </c>
    </row>
    <row r="55" spans="1:8" ht="15" customHeight="1">
      <c r="A55" s="7" t="s">
        <v>520</v>
      </c>
      <c r="B55" s="87">
        <v>11145</v>
      </c>
      <c r="E55" s="15"/>
    </row>
    <row r="56" spans="1:8" ht="15" customHeight="1">
      <c r="A56" s="7" t="s">
        <v>521</v>
      </c>
      <c r="B56" s="87">
        <v>18302</v>
      </c>
      <c r="E56" s="18" t="s">
        <v>45</v>
      </c>
    </row>
    <row r="57" spans="1:8" ht="15" customHeight="1">
      <c r="A57" s="7" t="s">
        <v>522</v>
      </c>
      <c r="B57" s="84">
        <v>-37510</v>
      </c>
      <c r="E57" s="15" t="s">
        <v>528</v>
      </c>
      <c r="F57" s="84">
        <v>3475</v>
      </c>
    </row>
    <row r="58" spans="1:8" ht="15" customHeight="1">
      <c r="A58" s="7" t="s">
        <v>523</v>
      </c>
      <c r="B58" s="81">
        <v>-210815</v>
      </c>
      <c r="E58" s="15" t="s">
        <v>529</v>
      </c>
      <c r="F58" s="84">
        <v>241</v>
      </c>
    </row>
    <row r="59" spans="1:8" ht="15" customHeight="1">
      <c r="A59" s="7"/>
      <c r="B59" s="89"/>
      <c r="E59" s="15" t="s">
        <v>530</v>
      </c>
      <c r="F59" s="84">
        <v>256</v>
      </c>
    </row>
    <row r="60" spans="1:8" ht="15" customHeight="1">
      <c r="A60" s="12" t="s">
        <v>524</v>
      </c>
      <c r="B60" s="87">
        <f>SUM(B51:B58)</f>
        <v>2008795</v>
      </c>
      <c r="D60" s="14"/>
      <c r="E60" s="15" t="s">
        <v>920</v>
      </c>
      <c r="F60" s="84">
        <v>13750</v>
      </c>
    </row>
    <row r="61" spans="1:8" ht="15" customHeight="1">
      <c r="A61" s="7"/>
      <c r="B61" s="89"/>
      <c r="D61" s="14"/>
      <c r="E61" s="15" t="s">
        <v>793</v>
      </c>
      <c r="F61" s="84">
        <v>520</v>
      </c>
    </row>
    <row r="62" spans="1:8" ht="15" customHeight="1">
      <c r="A62" s="7" t="s">
        <v>918</v>
      </c>
      <c r="B62" s="89">
        <v>465431</v>
      </c>
      <c r="D62" s="14"/>
      <c r="E62" s="15" t="s">
        <v>535</v>
      </c>
      <c r="F62" s="81">
        <v>24238</v>
      </c>
    </row>
    <row r="63" spans="1:8" ht="15" customHeight="1">
      <c r="A63" s="7" t="s">
        <v>917</v>
      </c>
      <c r="B63" s="88">
        <v>-588788</v>
      </c>
      <c r="D63" s="14"/>
      <c r="E63" s="18" t="s">
        <v>552</v>
      </c>
      <c r="F63" s="81">
        <f>SUM(F57:F62)</f>
        <v>42480</v>
      </c>
    </row>
    <row r="64" spans="1:8" ht="15" customHeight="1">
      <c r="A64" s="7"/>
      <c r="B64" s="89"/>
      <c r="D64" s="14"/>
      <c r="E64" s="18"/>
      <c r="F64" s="82"/>
    </row>
    <row r="65" spans="1:6" ht="15" customHeight="1" thickBot="1">
      <c r="A65" s="12" t="s">
        <v>525</v>
      </c>
      <c r="B65" s="90">
        <f>SUM(B60:B63)</f>
        <v>1885438</v>
      </c>
      <c r="D65" s="14"/>
      <c r="E65" s="19" t="s">
        <v>553</v>
      </c>
      <c r="F65" s="84"/>
    </row>
    <row r="66" spans="1:6" ht="15" customHeight="1" thickTop="1">
      <c r="B66" s="89"/>
      <c r="D66" s="14"/>
      <c r="E66" s="20" t="s">
        <v>528</v>
      </c>
      <c r="F66" s="80">
        <v>33114</v>
      </c>
    </row>
    <row r="67" spans="1:6" ht="15" customHeight="1">
      <c r="B67" s="89"/>
      <c r="D67" s="14"/>
      <c r="E67" s="20" t="s">
        <v>529</v>
      </c>
      <c r="F67" s="84">
        <v>2286</v>
      </c>
    </row>
    <row r="68" spans="1:6" ht="15" customHeight="1">
      <c r="A68" s="48"/>
      <c r="B68" s="328"/>
      <c r="D68" s="14"/>
      <c r="E68" s="20" t="s">
        <v>530</v>
      </c>
      <c r="F68" s="84">
        <v>2405</v>
      </c>
    </row>
    <row r="69" spans="1:6" ht="15" customHeight="1">
      <c r="A69" s="48"/>
      <c r="B69" s="328"/>
      <c r="C69" s="89"/>
      <c r="D69" s="14"/>
      <c r="E69" s="20" t="s">
        <v>532</v>
      </c>
      <c r="F69" s="84">
        <v>4319</v>
      </c>
    </row>
    <row r="70" spans="1:6" ht="15" customHeight="1">
      <c r="A70" s="48"/>
      <c r="B70" s="328"/>
      <c r="C70" s="89"/>
      <c r="D70" s="14"/>
      <c r="E70" s="21" t="s">
        <v>554</v>
      </c>
      <c r="F70" s="84">
        <v>825</v>
      </c>
    </row>
    <row r="71" spans="1:6" ht="15" customHeight="1">
      <c r="A71" s="48"/>
      <c r="B71" s="328"/>
      <c r="C71" s="89"/>
      <c r="D71" s="14"/>
      <c r="E71" s="20" t="s">
        <v>535</v>
      </c>
      <c r="F71" s="84">
        <v>12061</v>
      </c>
    </row>
    <row r="72" spans="1:6" ht="15" customHeight="1">
      <c r="A72" s="48"/>
      <c r="B72" s="328"/>
      <c r="C72" s="89"/>
      <c r="D72" s="14"/>
      <c r="E72" s="20" t="s">
        <v>542</v>
      </c>
      <c r="F72" s="81">
        <v>519</v>
      </c>
    </row>
    <row r="73" spans="1:6" ht="15" customHeight="1">
      <c r="B73" s="89"/>
      <c r="D73" s="14"/>
      <c r="E73" s="19" t="s">
        <v>555</v>
      </c>
      <c r="F73" s="81">
        <f>SUM(F66:F72)</f>
        <v>55529</v>
      </c>
    </row>
    <row r="74" spans="1:6" ht="15" customHeight="1">
      <c r="B74" s="89"/>
      <c r="D74" s="14"/>
      <c r="E74" s="19"/>
      <c r="F74" s="78"/>
    </row>
    <row r="75" spans="1:6" ht="15" customHeight="1">
      <c r="B75" s="89"/>
      <c r="D75" s="14"/>
      <c r="E75" s="19" t="s">
        <v>471</v>
      </c>
      <c r="F75" s="84"/>
    </row>
    <row r="76" spans="1:6" ht="15" customHeight="1">
      <c r="B76" s="89"/>
      <c r="D76" s="14"/>
      <c r="E76" s="20" t="s">
        <v>528</v>
      </c>
      <c r="F76" s="80">
        <v>487125</v>
      </c>
    </row>
    <row r="77" spans="1:6" ht="15" customHeight="1">
      <c r="B77" s="89"/>
      <c r="D77" s="14"/>
      <c r="E77" s="20" t="s">
        <v>556</v>
      </c>
      <c r="F77" s="84">
        <v>9096</v>
      </c>
    </row>
    <row r="78" spans="1:6" ht="15" customHeight="1">
      <c r="B78" s="89"/>
      <c r="D78" s="14"/>
      <c r="E78" s="20" t="s">
        <v>540</v>
      </c>
      <c r="F78" s="84">
        <v>810</v>
      </c>
    </row>
    <row r="79" spans="1:6" ht="15" customHeight="1">
      <c r="B79" s="89"/>
      <c r="D79" s="14"/>
      <c r="E79" s="20" t="s">
        <v>529</v>
      </c>
      <c r="F79" s="84">
        <v>33896</v>
      </c>
    </row>
    <row r="80" spans="1:6" ht="15" customHeight="1">
      <c r="B80" s="89"/>
      <c r="D80" s="14"/>
      <c r="E80" s="20" t="s">
        <v>530</v>
      </c>
      <c r="F80" s="84">
        <v>35772</v>
      </c>
    </row>
    <row r="81" spans="2:6" ht="15" customHeight="1">
      <c r="B81" s="89"/>
      <c r="D81" s="14"/>
      <c r="E81" s="20" t="s">
        <v>532</v>
      </c>
      <c r="F81" s="84">
        <v>225995</v>
      </c>
    </row>
    <row r="82" spans="2:6" ht="15" customHeight="1">
      <c r="B82" s="89"/>
      <c r="D82" s="14"/>
      <c r="E82" s="20" t="s">
        <v>538</v>
      </c>
      <c r="F82" s="84">
        <v>6400</v>
      </c>
    </row>
    <row r="83" spans="2:6" ht="15" customHeight="1">
      <c r="B83" s="89"/>
      <c r="D83" s="14"/>
      <c r="E83" s="20" t="s">
        <v>535</v>
      </c>
      <c r="F83" s="84">
        <v>24058</v>
      </c>
    </row>
    <row r="84" spans="2:6" ht="15" customHeight="1">
      <c r="B84" s="89"/>
      <c r="D84" s="14"/>
      <c r="E84" s="20" t="s">
        <v>557</v>
      </c>
      <c r="F84" s="84">
        <v>392</v>
      </c>
    </row>
    <row r="85" spans="2:6" ht="15" customHeight="1">
      <c r="B85" s="89"/>
      <c r="D85" s="14"/>
      <c r="E85" s="20" t="s">
        <v>542</v>
      </c>
      <c r="F85" s="81">
        <v>6689</v>
      </c>
    </row>
    <row r="86" spans="2:6" ht="15" customHeight="1">
      <c r="B86" s="89"/>
      <c r="D86" s="14"/>
      <c r="E86" s="19" t="s">
        <v>558</v>
      </c>
      <c r="F86" s="81">
        <f>SUM(F76:F85)</f>
        <v>830233</v>
      </c>
    </row>
    <row r="87" spans="2:6" ht="15" customHeight="1">
      <c r="B87" s="89"/>
      <c r="D87" s="14"/>
      <c r="E87" s="20"/>
      <c r="F87" s="84"/>
    </row>
    <row r="88" spans="2:6" ht="15" customHeight="1">
      <c r="B88" s="89"/>
      <c r="D88" s="14"/>
      <c r="E88" s="19" t="s">
        <v>559</v>
      </c>
      <c r="F88" s="84"/>
    </row>
    <row r="89" spans="2:6" ht="15" customHeight="1">
      <c r="B89" s="89"/>
      <c r="D89" s="14"/>
      <c r="E89" s="20" t="s">
        <v>528</v>
      </c>
      <c r="F89" s="84">
        <v>796</v>
      </c>
    </row>
    <row r="90" spans="2:6" ht="15" customHeight="1">
      <c r="B90" s="89"/>
      <c r="D90" s="14"/>
      <c r="E90" s="20" t="s">
        <v>529</v>
      </c>
      <c r="F90" s="84">
        <v>68</v>
      </c>
    </row>
    <row r="91" spans="2:6" ht="15" customHeight="1">
      <c r="B91" s="89"/>
      <c r="D91" s="14"/>
      <c r="E91" s="20" t="s">
        <v>530</v>
      </c>
      <c r="F91" s="84">
        <v>73</v>
      </c>
    </row>
    <row r="92" spans="2:6" ht="15" customHeight="1">
      <c r="D92" s="14"/>
      <c r="E92" s="20" t="s">
        <v>532</v>
      </c>
      <c r="F92" s="84">
        <v>1684</v>
      </c>
    </row>
    <row r="93" spans="2:6" ht="15" customHeight="1">
      <c r="D93" s="14"/>
      <c r="E93" s="20" t="s">
        <v>538</v>
      </c>
      <c r="F93" s="84">
        <v>2415</v>
      </c>
    </row>
    <row r="94" spans="2:6" ht="15" customHeight="1">
      <c r="D94" s="14"/>
      <c r="E94" s="15" t="s">
        <v>793</v>
      </c>
      <c r="F94" s="84">
        <v>9955</v>
      </c>
    </row>
    <row r="95" spans="2:6" ht="15" customHeight="1">
      <c r="D95" s="14"/>
      <c r="E95" s="20" t="s">
        <v>534</v>
      </c>
      <c r="F95" s="84">
        <v>11195</v>
      </c>
    </row>
    <row r="96" spans="2:6" ht="15" customHeight="1">
      <c r="E96" s="20" t="s">
        <v>535</v>
      </c>
      <c r="F96" s="81">
        <v>1699</v>
      </c>
    </row>
    <row r="97" spans="5:6" ht="15" customHeight="1">
      <c r="E97" s="19" t="s">
        <v>560</v>
      </c>
      <c r="F97" s="81">
        <f>SUM(F89:F96)</f>
        <v>27885</v>
      </c>
    </row>
    <row r="98" spans="5:6" ht="15" customHeight="1">
      <c r="E98" s="20"/>
      <c r="F98" s="84"/>
    </row>
    <row r="99" spans="5:6" ht="15" customHeight="1">
      <c r="E99" s="19" t="s">
        <v>466</v>
      </c>
      <c r="F99" s="84"/>
    </row>
    <row r="100" spans="5:6" ht="15" customHeight="1">
      <c r="E100" s="20" t="s">
        <v>528</v>
      </c>
      <c r="F100" s="84">
        <v>61064</v>
      </c>
    </row>
    <row r="101" spans="5:6" ht="15" customHeight="1">
      <c r="E101" s="20" t="s">
        <v>540</v>
      </c>
      <c r="F101" s="84">
        <v>0</v>
      </c>
    </row>
    <row r="102" spans="5:6" ht="15" customHeight="1">
      <c r="E102" s="20" t="s">
        <v>529</v>
      </c>
      <c r="F102" s="84">
        <v>4489</v>
      </c>
    </row>
    <row r="103" spans="5:6" ht="15" customHeight="1">
      <c r="E103" s="20" t="s">
        <v>530</v>
      </c>
      <c r="F103" s="84">
        <v>4431</v>
      </c>
    </row>
    <row r="104" spans="5:6" ht="15" customHeight="1">
      <c r="E104" s="20" t="s">
        <v>532</v>
      </c>
      <c r="F104" s="84">
        <v>1599</v>
      </c>
    </row>
    <row r="105" spans="5:6" ht="15" customHeight="1">
      <c r="E105" s="20" t="s">
        <v>535</v>
      </c>
      <c r="F105" s="81">
        <v>1281</v>
      </c>
    </row>
    <row r="106" spans="5:6" ht="15" customHeight="1">
      <c r="E106" s="19" t="s">
        <v>561</v>
      </c>
      <c r="F106" s="81">
        <f>SUM(F100:F105)</f>
        <v>72864</v>
      </c>
    </row>
    <row r="107" spans="5:6" ht="15" customHeight="1">
      <c r="E107" s="19"/>
      <c r="F107" s="84"/>
    </row>
    <row r="108" spans="5:6" ht="15" customHeight="1">
      <c r="E108" s="22" t="s">
        <v>472</v>
      </c>
      <c r="F108" s="85"/>
    </row>
    <row r="109" spans="5:6" ht="15" customHeight="1">
      <c r="E109" s="23" t="s">
        <v>528</v>
      </c>
      <c r="F109" s="84">
        <v>39625</v>
      </c>
    </row>
    <row r="110" spans="5:6" ht="15" customHeight="1">
      <c r="E110" s="23" t="s">
        <v>529</v>
      </c>
      <c r="F110" s="84">
        <v>2696</v>
      </c>
    </row>
    <row r="111" spans="5:6" ht="15" customHeight="1">
      <c r="E111" s="23" t="s">
        <v>530</v>
      </c>
      <c r="F111" s="84">
        <v>2876</v>
      </c>
    </row>
    <row r="112" spans="5:6" ht="15" customHeight="1">
      <c r="E112" s="23" t="s">
        <v>532</v>
      </c>
      <c r="F112" s="84">
        <v>1400</v>
      </c>
    </row>
    <row r="113" spans="5:6" ht="15" customHeight="1">
      <c r="E113" s="23" t="s">
        <v>535</v>
      </c>
      <c r="F113" s="81">
        <v>2595</v>
      </c>
    </row>
    <row r="114" spans="5:6" ht="15" customHeight="1">
      <c r="E114" s="22" t="s">
        <v>562</v>
      </c>
      <c r="F114" s="81">
        <f>SUM(F109:F113)</f>
        <v>49192</v>
      </c>
    </row>
    <row r="115" spans="5:6" ht="15" customHeight="1">
      <c r="E115" s="22"/>
      <c r="F115" s="84"/>
    </row>
    <row r="116" spans="5:6" ht="15" customHeight="1">
      <c r="E116" s="22" t="s">
        <v>473</v>
      </c>
      <c r="F116" s="84"/>
    </row>
    <row r="117" spans="5:6" ht="15" customHeight="1">
      <c r="E117" s="23" t="s">
        <v>532</v>
      </c>
      <c r="F117" s="84">
        <v>3078</v>
      </c>
    </row>
    <row r="118" spans="5:6" ht="15" customHeight="1">
      <c r="E118" s="23" t="s">
        <v>535</v>
      </c>
      <c r="F118" s="81">
        <v>6344</v>
      </c>
    </row>
    <row r="119" spans="5:6" ht="15" customHeight="1">
      <c r="E119" s="22" t="s">
        <v>563</v>
      </c>
      <c r="F119" s="81">
        <f>SUM(F117:F118)</f>
        <v>9422</v>
      </c>
    </row>
    <row r="120" spans="5:6" ht="15" customHeight="1">
      <c r="E120" s="19"/>
      <c r="F120" s="84"/>
    </row>
    <row r="121" spans="5:6" ht="15" customHeight="1">
      <c r="E121" s="22" t="s">
        <v>474</v>
      </c>
      <c r="F121" s="84"/>
    </row>
    <row r="122" spans="5:6" ht="15" customHeight="1">
      <c r="E122" s="23" t="s">
        <v>528</v>
      </c>
      <c r="F122" s="80">
        <v>39797</v>
      </c>
    </row>
    <row r="123" spans="5:6" ht="15" customHeight="1">
      <c r="E123" s="23" t="s">
        <v>540</v>
      </c>
      <c r="F123" s="84">
        <v>80</v>
      </c>
    </row>
    <row r="124" spans="5:6" ht="15" customHeight="1">
      <c r="E124" s="23" t="s">
        <v>529</v>
      </c>
      <c r="F124" s="84">
        <v>2614</v>
      </c>
    </row>
    <row r="125" spans="5:6" ht="15" customHeight="1">
      <c r="E125" s="23" t="s">
        <v>530</v>
      </c>
      <c r="F125" s="84">
        <v>2904</v>
      </c>
    </row>
    <row r="126" spans="5:6" ht="15" customHeight="1">
      <c r="E126" s="23" t="s">
        <v>532</v>
      </c>
      <c r="F126" s="84">
        <v>7109</v>
      </c>
    </row>
    <row r="127" spans="5:6" ht="15" customHeight="1">
      <c r="E127" s="23" t="s">
        <v>535</v>
      </c>
      <c r="F127" s="81">
        <v>14382</v>
      </c>
    </row>
    <row r="128" spans="5:6" ht="15" customHeight="1">
      <c r="E128" s="22" t="s">
        <v>564</v>
      </c>
      <c r="F128" s="81">
        <f>SUM(F122:F127)</f>
        <v>66886</v>
      </c>
    </row>
    <row r="129" spans="5:6" ht="15" customHeight="1">
      <c r="E129" s="23"/>
      <c r="F129" s="84"/>
    </row>
    <row r="130" spans="5:6" ht="15" customHeight="1">
      <c r="E130" s="22" t="s">
        <v>475</v>
      </c>
      <c r="F130" s="84"/>
    </row>
    <row r="131" spans="5:6" ht="15" customHeight="1">
      <c r="E131" s="23" t="s">
        <v>528</v>
      </c>
      <c r="F131" s="84">
        <v>8084</v>
      </c>
    </row>
    <row r="132" spans="5:6" ht="15" customHeight="1">
      <c r="E132" s="23" t="s">
        <v>529</v>
      </c>
      <c r="F132" s="84">
        <v>552</v>
      </c>
    </row>
    <row r="133" spans="5:6" ht="15" customHeight="1">
      <c r="E133" s="23" t="s">
        <v>530</v>
      </c>
      <c r="F133" s="84">
        <v>578</v>
      </c>
    </row>
    <row r="134" spans="5:6" ht="15" customHeight="1">
      <c r="E134" s="23" t="s">
        <v>532</v>
      </c>
      <c r="F134" s="84">
        <v>10669</v>
      </c>
    </row>
    <row r="135" spans="5:6" ht="15" customHeight="1">
      <c r="E135" s="23" t="s">
        <v>535</v>
      </c>
      <c r="F135" s="81">
        <v>4</v>
      </c>
    </row>
    <row r="136" spans="5:6" ht="15" customHeight="1">
      <c r="E136" s="22" t="s">
        <v>565</v>
      </c>
      <c r="F136" s="81">
        <f>SUM(F131:F135)</f>
        <v>19887</v>
      </c>
    </row>
    <row r="137" spans="5:6" ht="15" customHeight="1">
      <c r="E137" s="22"/>
    </row>
    <row r="138" spans="5:6" ht="15" customHeight="1">
      <c r="E138" s="24" t="s">
        <v>513</v>
      </c>
      <c r="F138" s="84"/>
    </row>
    <row r="139" spans="5:6" ht="15" customHeight="1">
      <c r="E139" s="21" t="s">
        <v>528</v>
      </c>
      <c r="F139" s="84">
        <v>28935</v>
      </c>
    </row>
    <row r="140" spans="5:6" ht="15" customHeight="1">
      <c r="E140" s="21" t="s">
        <v>529</v>
      </c>
      <c r="F140" s="84">
        <v>1985</v>
      </c>
    </row>
    <row r="141" spans="5:6" ht="15" customHeight="1">
      <c r="E141" s="21" t="s">
        <v>530</v>
      </c>
      <c r="F141" s="84">
        <v>2072</v>
      </c>
    </row>
    <row r="142" spans="5:6" ht="15" customHeight="1">
      <c r="E142" s="21" t="s">
        <v>532</v>
      </c>
      <c r="F142" s="82">
        <v>25257</v>
      </c>
    </row>
    <row r="143" spans="5:6" ht="15" customHeight="1">
      <c r="E143" s="21" t="s">
        <v>580</v>
      </c>
      <c r="F143" s="82">
        <v>48678</v>
      </c>
    </row>
    <row r="144" spans="5:6" ht="15" customHeight="1">
      <c r="E144" s="21" t="s">
        <v>535</v>
      </c>
      <c r="F144" s="81">
        <v>16096</v>
      </c>
    </row>
    <row r="145" spans="5:6" ht="15" customHeight="1">
      <c r="E145" s="24" t="s">
        <v>581</v>
      </c>
      <c r="F145" s="81">
        <f>SUM(F139:F144)</f>
        <v>123023</v>
      </c>
    </row>
    <row r="146" spans="5:6" ht="15" customHeight="1">
      <c r="E146" s="21"/>
      <c r="F146" s="84"/>
    </row>
    <row r="147" spans="5:6" ht="15" customHeight="1">
      <c r="E147" s="22" t="s">
        <v>566</v>
      </c>
      <c r="F147" s="81">
        <f>SUM('Detailed Income Statement'!F73+'Detailed Income Statement'!F86+'Detailed Income Statement'!F97+'Detailed Income Statement'!F106+'Detailed Income Statement'!F114+'Detailed Income Statement'!F119+'Detailed Income Statement'!F128+'Detailed Income Statement'!F136,F145)</f>
        <v>1254921</v>
      </c>
    </row>
    <row r="148" spans="5:6" ht="15" customHeight="1">
      <c r="E148" s="22"/>
      <c r="F148" s="84"/>
    </row>
    <row r="149" spans="5:6" ht="15" customHeight="1">
      <c r="E149" s="22" t="s">
        <v>567</v>
      </c>
      <c r="F149" s="84"/>
    </row>
    <row r="150" spans="5:6" ht="15" customHeight="1">
      <c r="E150" s="22" t="s">
        <v>477</v>
      </c>
      <c r="F150" s="84"/>
    </row>
    <row r="151" spans="5:6" ht="15" customHeight="1">
      <c r="E151" s="23" t="s">
        <v>528</v>
      </c>
      <c r="F151" s="84">
        <v>35089</v>
      </c>
    </row>
    <row r="152" spans="5:6" ht="15" customHeight="1">
      <c r="E152" s="23" t="s">
        <v>529</v>
      </c>
      <c r="F152" s="84">
        <v>2537</v>
      </c>
    </row>
    <row r="153" spans="5:6" ht="15" customHeight="1">
      <c r="E153" s="23" t="s">
        <v>530</v>
      </c>
      <c r="F153" s="84">
        <v>2545</v>
      </c>
    </row>
    <row r="154" spans="5:6" ht="15" customHeight="1">
      <c r="E154" s="23" t="s">
        <v>532</v>
      </c>
      <c r="F154" s="84">
        <v>0</v>
      </c>
    </row>
    <row r="155" spans="5:6" ht="15" customHeight="1">
      <c r="E155" s="23" t="s">
        <v>535</v>
      </c>
      <c r="F155" s="81">
        <v>1576</v>
      </c>
    </row>
    <row r="156" spans="5:6" ht="15" customHeight="1">
      <c r="E156" s="22" t="s">
        <v>568</v>
      </c>
      <c r="F156" s="81">
        <f>SUM(F151:F155)</f>
        <v>41747</v>
      </c>
    </row>
    <row r="157" spans="5:6" ht="15" customHeight="1">
      <c r="E157" s="23"/>
      <c r="F157" s="84"/>
    </row>
    <row r="158" spans="5:6" ht="15" customHeight="1">
      <c r="E158" s="24" t="s">
        <v>478</v>
      </c>
      <c r="F158" s="85"/>
    </row>
    <row r="159" spans="5:6" ht="15" customHeight="1">
      <c r="E159" s="21" t="s">
        <v>528</v>
      </c>
      <c r="F159" s="84">
        <v>271147</v>
      </c>
    </row>
    <row r="160" spans="5:6" ht="15" customHeight="1">
      <c r="E160" s="21" t="s">
        <v>529</v>
      </c>
      <c r="F160" s="84">
        <v>18854</v>
      </c>
    </row>
    <row r="161" spans="5:6" ht="15" customHeight="1">
      <c r="E161" s="21" t="s">
        <v>530</v>
      </c>
      <c r="F161" s="84">
        <v>19511</v>
      </c>
    </row>
    <row r="162" spans="5:6" ht="15" customHeight="1">
      <c r="E162" s="21" t="s">
        <v>532</v>
      </c>
      <c r="F162" s="84">
        <v>7013</v>
      </c>
    </row>
    <row r="163" spans="5:6" ht="15" customHeight="1">
      <c r="E163" s="21" t="s">
        <v>569</v>
      </c>
      <c r="F163" s="84">
        <v>16405</v>
      </c>
    </row>
    <row r="164" spans="5:6" ht="15" customHeight="1">
      <c r="E164" s="21" t="s">
        <v>538</v>
      </c>
      <c r="F164" s="84">
        <v>635</v>
      </c>
    </row>
    <row r="165" spans="5:6" ht="15" customHeight="1">
      <c r="E165" s="21" t="s">
        <v>541</v>
      </c>
      <c r="F165" s="84">
        <v>0</v>
      </c>
    </row>
    <row r="166" spans="5:6" ht="15" customHeight="1">
      <c r="E166" s="21" t="s">
        <v>535</v>
      </c>
      <c r="F166" s="84">
        <v>25382</v>
      </c>
    </row>
    <row r="167" spans="5:6" ht="15" customHeight="1">
      <c r="E167" s="21" t="s">
        <v>542</v>
      </c>
      <c r="F167" s="81">
        <v>1300</v>
      </c>
    </row>
    <row r="168" spans="5:6" ht="15" customHeight="1">
      <c r="E168" s="24" t="s">
        <v>570</v>
      </c>
      <c r="F168" s="81">
        <f>SUM(F159:F167)</f>
        <v>360247</v>
      </c>
    </row>
    <row r="169" spans="5:6" ht="15" customHeight="1">
      <c r="E169" s="24"/>
      <c r="F169" s="84"/>
    </row>
    <row r="170" spans="5:6" ht="15" customHeight="1">
      <c r="E170" s="24" t="s">
        <v>571</v>
      </c>
      <c r="F170" s="81">
        <v>13972</v>
      </c>
    </row>
    <row r="171" spans="5:6" ht="15" customHeight="1"/>
    <row r="172" spans="5:6" ht="15" customHeight="1">
      <c r="E172" s="24" t="s">
        <v>574</v>
      </c>
      <c r="F172" s="81">
        <f>SUM('Detailed Income Statement'!F156+'Detailed Income Statement'!F168+'Detailed Income Statement'!F170)</f>
        <v>415966</v>
      </c>
    </row>
    <row r="173" spans="5:6" ht="15" customHeight="1">
      <c r="E173" s="24"/>
      <c r="F173" s="82"/>
    </row>
    <row r="174" spans="5:6" ht="15" customHeight="1">
      <c r="E174" s="24" t="s">
        <v>753</v>
      </c>
      <c r="F174" s="85"/>
    </row>
    <row r="175" spans="5:6" ht="15" customHeight="1">
      <c r="E175" s="21" t="s">
        <v>528</v>
      </c>
      <c r="F175" s="80">
        <v>738</v>
      </c>
    </row>
    <row r="176" spans="5:6" ht="15" customHeight="1">
      <c r="E176" s="21" t="s">
        <v>529</v>
      </c>
      <c r="F176" s="84">
        <v>51</v>
      </c>
    </row>
    <row r="177" spans="5:6" ht="15" customHeight="1">
      <c r="E177" s="21" t="s">
        <v>530</v>
      </c>
      <c r="F177" s="84">
        <v>54</v>
      </c>
    </row>
    <row r="178" spans="5:6" ht="15" customHeight="1">
      <c r="E178" s="21" t="s">
        <v>542</v>
      </c>
      <c r="F178" s="81">
        <v>7</v>
      </c>
    </row>
    <row r="179" spans="5:6" ht="15" customHeight="1">
      <c r="E179" s="24" t="s">
        <v>572</v>
      </c>
      <c r="F179" s="81">
        <f>SUM(F175:F178)</f>
        <v>850</v>
      </c>
    </row>
    <row r="180" spans="5:6" ht="15" customHeight="1">
      <c r="E180" s="23"/>
      <c r="F180" s="84"/>
    </row>
    <row r="181" spans="5:6" ht="15" customHeight="1">
      <c r="E181" s="24" t="s">
        <v>755</v>
      </c>
      <c r="F181" s="85"/>
    </row>
    <row r="182" spans="5:6" ht="15" customHeight="1">
      <c r="E182" s="21" t="s">
        <v>528</v>
      </c>
      <c r="F182" s="84">
        <v>29898</v>
      </c>
    </row>
    <row r="183" spans="5:6" ht="15" customHeight="1">
      <c r="E183" s="21" t="s">
        <v>529</v>
      </c>
      <c r="F183" s="84">
        <v>1943</v>
      </c>
    </row>
    <row r="184" spans="5:6" ht="15" customHeight="1">
      <c r="E184" s="21" t="s">
        <v>530</v>
      </c>
      <c r="F184" s="84">
        <v>2167</v>
      </c>
    </row>
    <row r="185" spans="5:6" ht="15" customHeight="1">
      <c r="E185" s="21" t="s">
        <v>532</v>
      </c>
      <c r="F185" s="84">
        <v>3078</v>
      </c>
    </row>
    <row r="186" spans="5:6" ht="15" customHeight="1">
      <c r="E186" s="21" t="s">
        <v>535</v>
      </c>
      <c r="F186" s="84">
        <v>77222</v>
      </c>
    </row>
    <row r="187" spans="5:6" ht="15" customHeight="1">
      <c r="E187" s="21" t="s">
        <v>542</v>
      </c>
      <c r="F187" s="81">
        <v>4125</v>
      </c>
    </row>
    <row r="188" spans="5:6" ht="15" customHeight="1">
      <c r="E188" s="24" t="s">
        <v>573</v>
      </c>
      <c r="F188" s="81">
        <f>SUM(F182:F187)</f>
        <v>118433</v>
      </c>
    </row>
    <row r="189" spans="5:6" ht="15" customHeight="1">
      <c r="E189" s="21"/>
      <c r="F189" s="84"/>
    </row>
    <row r="190" spans="5:6" ht="15" customHeight="1">
      <c r="E190" s="24" t="s">
        <v>481</v>
      </c>
      <c r="F190" s="84"/>
    </row>
    <row r="191" spans="5:6" ht="15" customHeight="1">
      <c r="E191" s="21" t="s">
        <v>528</v>
      </c>
      <c r="F191" s="84">
        <v>178710</v>
      </c>
    </row>
    <row r="192" spans="5:6" ht="15" customHeight="1">
      <c r="E192" s="21" t="s">
        <v>529</v>
      </c>
      <c r="F192" s="84">
        <v>12903</v>
      </c>
    </row>
    <row r="193" spans="5:7" ht="15" customHeight="1">
      <c r="E193" s="21" t="s">
        <v>530</v>
      </c>
      <c r="F193" s="84">
        <v>12905</v>
      </c>
    </row>
    <row r="194" spans="5:7" ht="15" customHeight="1">
      <c r="E194" s="21" t="s">
        <v>532</v>
      </c>
      <c r="F194" s="84">
        <v>9499</v>
      </c>
    </row>
    <row r="195" spans="5:7" ht="15" customHeight="1">
      <c r="E195" s="21" t="s">
        <v>538</v>
      </c>
      <c r="F195" s="84">
        <v>1244</v>
      </c>
    </row>
    <row r="196" spans="5:7" ht="15" customHeight="1">
      <c r="E196" s="21" t="s">
        <v>541</v>
      </c>
      <c r="F196" s="84">
        <v>0</v>
      </c>
    </row>
    <row r="197" spans="5:7" ht="15" customHeight="1">
      <c r="E197" s="21" t="s">
        <v>575</v>
      </c>
      <c r="F197" s="84">
        <v>9407</v>
      </c>
    </row>
    <row r="198" spans="5:7" ht="15" customHeight="1">
      <c r="E198" s="21" t="s">
        <v>576</v>
      </c>
      <c r="F198" s="84">
        <v>42366</v>
      </c>
      <c r="G198" s="9" t="s">
        <v>857</v>
      </c>
    </row>
    <row r="199" spans="5:7" ht="15" customHeight="1">
      <c r="E199" s="21" t="s">
        <v>535</v>
      </c>
      <c r="F199" s="81">
        <v>2313</v>
      </c>
    </row>
    <row r="200" spans="5:7" ht="15" customHeight="1">
      <c r="E200" s="24" t="s">
        <v>577</v>
      </c>
      <c r="F200" s="81">
        <f>SUM(F191:F199)</f>
        <v>269347</v>
      </c>
    </row>
    <row r="201" spans="5:7" ht="15" customHeight="1">
      <c r="E201" s="24"/>
      <c r="F201" s="84"/>
    </row>
    <row r="202" spans="5:7" ht="15" customHeight="1">
      <c r="E202" s="24" t="s">
        <v>482</v>
      </c>
      <c r="F202" s="84"/>
    </row>
    <row r="203" spans="5:7" ht="15" customHeight="1">
      <c r="E203" s="21" t="s">
        <v>528</v>
      </c>
      <c r="F203" s="84">
        <v>7680</v>
      </c>
    </row>
    <row r="204" spans="5:7" ht="15" customHeight="1">
      <c r="E204" s="21" t="s">
        <v>529</v>
      </c>
      <c r="F204" s="84">
        <v>588</v>
      </c>
    </row>
    <row r="205" spans="5:7" ht="15" customHeight="1">
      <c r="E205" s="21" t="s">
        <v>575</v>
      </c>
      <c r="F205" s="84">
        <v>5655</v>
      </c>
    </row>
    <row r="206" spans="5:7" ht="15" customHeight="1">
      <c r="E206" s="21" t="s">
        <v>535</v>
      </c>
      <c r="F206" s="81">
        <v>0</v>
      </c>
    </row>
    <row r="207" spans="5:7" ht="15" customHeight="1">
      <c r="E207" s="24" t="s">
        <v>578</v>
      </c>
      <c r="F207" s="81">
        <f>SUM(F203:F206)</f>
        <v>13923</v>
      </c>
    </row>
    <row r="208" spans="5:7" ht="15" customHeight="1">
      <c r="E208" s="24"/>
      <c r="F208" s="84"/>
    </row>
    <row r="209" spans="5:6" ht="15" customHeight="1">
      <c r="E209" s="24" t="s">
        <v>483</v>
      </c>
      <c r="F209" s="84"/>
    </row>
    <row r="210" spans="5:6" ht="15" customHeight="1">
      <c r="E210" s="21" t="s">
        <v>528</v>
      </c>
      <c r="F210" s="84">
        <v>14894</v>
      </c>
    </row>
    <row r="211" spans="5:6" ht="15" customHeight="1">
      <c r="E211" s="21" t="s">
        <v>540</v>
      </c>
      <c r="F211" s="84">
        <v>0</v>
      </c>
    </row>
    <row r="212" spans="5:6" ht="15" customHeight="1">
      <c r="E212" s="21" t="s">
        <v>529</v>
      </c>
      <c r="F212" s="84">
        <v>1027</v>
      </c>
    </row>
    <row r="213" spans="5:6" ht="15" customHeight="1">
      <c r="E213" s="21" t="s">
        <v>530</v>
      </c>
      <c r="F213" s="84">
        <v>1080</v>
      </c>
    </row>
    <row r="214" spans="5:6" ht="15" customHeight="1">
      <c r="E214" s="21" t="s">
        <v>532</v>
      </c>
      <c r="F214" s="84">
        <v>2759</v>
      </c>
    </row>
    <row r="215" spans="5:6" ht="15" customHeight="1">
      <c r="E215" s="21" t="s">
        <v>535</v>
      </c>
      <c r="F215" s="81">
        <v>287</v>
      </c>
    </row>
    <row r="216" spans="5:6" ht="15" customHeight="1">
      <c r="E216" s="24" t="s">
        <v>579</v>
      </c>
      <c r="F216" s="81">
        <f>SUM(F210:F215)</f>
        <v>20047</v>
      </c>
    </row>
    <row r="217" spans="5:6" ht="15" customHeight="1">
      <c r="E217" s="24"/>
      <c r="F217" s="82"/>
    </row>
    <row r="218" spans="5:6" ht="15" customHeight="1">
      <c r="E218" s="24" t="s">
        <v>916</v>
      </c>
      <c r="F218" s="82"/>
    </row>
    <row r="219" spans="5:6" ht="15" customHeight="1">
      <c r="E219" s="21" t="s">
        <v>528</v>
      </c>
      <c r="F219" s="82">
        <v>133424</v>
      </c>
    </row>
    <row r="220" spans="5:6" ht="15" customHeight="1">
      <c r="E220" s="21" t="s">
        <v>529</v>
      </c>
      <c r="F220" s="82">
        <v>8831</v>
      </c>
    </row>
    <row r="221" spans="5:6" ht="15" customHeight="1">
      <c r="E221" s="21" t="s">
        <v>530</v>
      </c>
      <c r="F221" s="82">
        <v>9646</v>
      </c>
    </row>
    <row r="222" spans="5:6" ht="15" customHeight="1">
      <c r="E222" s="21" t="s">
        <v>532</v>
      </c>
      <c r="F222" s="82">
        <v>7845</v>
      </c>
    </row>
    <row r="223" spans="5:6" ht="15" customHeight="1">
      <c r="E223" s="21" t="s">
        <v>921</v>
      </c>
      <c r="F223" s="82">
        <v>4462</v>
      </c>
    </row>
    <row r="224" spans="5:6" ht="15" customHeight="1">
      <c r="E224" s="21" t="s">
        <v>922</v>
      </c>
      <c r="F224" s="82">
        <v>-13750</v>
      </c>
    </row>
    <row r="225" spans="5:9" ht="15" customHeight="1">
      <c r="E225" s="21" t="s">
        <v>535</v>
      </c>
      <c r="F225" s="82">
        <v>8686</v>
      </c>
    </row>
    <row r="226" spans="5:9" ht="15" customHeight="1">
      <c r="E226" s="21" t="s">
        <v>542</v>
      </c>
      <c r="F226" s="82">
        <v>1317</v>
      </c>
    </row>
    <row r="227" spans="5:9" ht="15" customHeight="1">
      <c r="E227" s="21" t="s">
        <v>923</v>
      </c>
      <c r="F227" s="329">
        <f>SUM(F219:F226)</f>
        <v>160461</v>
      </c>
    </row>
    <row r="228" spans="5:9" ht="15" customHeight="1">
      <c r="E228" s="21"/>
      <c r="F228" s="82"/>
    </row>
    <row r="229" spans="5:9" ht="13.2" customHeight="1">
      <c r="E229" s="25" t="s">
        <v>514</v>
      </c>
      <c r="F229" s="84"/>
      <c r="I229" s="99"/>
    </row>
    <row r="230" spans="5:9" ht="13.2" customHeight="1">
      <c r="E230" s="26" t="s">
        <v>582</v>
      </c>
      <c r="F230" s="84">
        <v>16128</v>
      </c>
    </row>
    <row r="231" spans="5:9" ht="13.2" customHeight="1">
      <c r="E231" s="26" t="s">
        <v>583</v>
      </c>
      <c r="F231" s="84">
        <v>41775</v>
      </c>
    </row>
    <row r="232" spans="5:9" ht="13.2" customHeight="1">
      <c r="E232" s="26" t="s">
        <v>584</v>
      </c>
      <c r="F232" s="84">
        <v>30303</v>
      </c>
    </row>
    <row r="233" spans="5:9" ht="13.2" customHeight="1">
      <c r="E233" s="26" t="s">
        <v>585</v>
      </c>
      <c r="F233" s="84">
        <v>34243</v>
      </c>
    </row>
    <row r="234" spans="5:9" ht="13.2" customHeight="1">
      <c r="E234" s="26" t="s">
        <v>586</v>
      </c>
      <c r="F234" s="84">
        <v>308600</v>
      </c>
    </row>
    <row r="235" spans="5:9" ht="13.2" customHeight="1">
      <c r="E235" s="26" t="s">
        <v>587</v>
      </c>
      <c r="F235" s="84">
        <v>983</v>
      </c>
    </row>
    <row r="236" spans="5:9" ht="13.2" customHeight="1">
      <c r="E236" s="26" t="s">
        <v>588</v>
      </c>
      <c r="F236" s="84">
        <v>3838</v>
      </c>
    </row>
    <row r="237" spans="5:9" ht="13.2" customHeight="1">
      <c r="E237" s="26" t="s">
        <v>589</v>
      </c>
      <c r="F237" s="84">
        <v>18892</v>
      </c>
    </row>
    <row r="238" spans="5:9" ht="13.2" customHeight="1">
      <c r="E238" s="26" t="s">
        <v>590</v>
      </c>
      <c r="F238" s="84">
        <v>24379</v>
      </c>
    </row>
    <row r="239" spans="5:9" ht="13.2" customHeight="1">
      <c r="E239" s="26" t="s">
        <v>591</v>
      </c>
      <c r="F239" s="84">
        <v>13492</v>
      </c>
    </row>
    <row r="240" spans="5:9" ht="13.2" customHeight="1">
      <c r="E240" s="26" t="s">
        <v>592</v>
      </c>
      <c r="F240" s="84">
        <v>9596</v>
      </c>
    </row>
    <row r="241" spans="5:8" ht="13.2" customHeight="1">
      <c r="E241" s="26" t="s">
        <v>593</v>
      </c>
      <c r="F241" s="84">
        <v>15702</v>
      </c>
    </row>
    <row r="242" spans="5:8" ht="13.2" customHeight="1">
      <c r="E242" s="26" t="s">
        <v>575</v>
      </c>
      <c r="F242" s="84">
        <v>24237</v>
      </c>
    </row>
    <row r="243" spans="5:8" ht="13.2" customHeight="1">
      <c r="E243" s="26" t="s">
        <v>594</v>
      </c>
      <c r="F243" s="84">
        <v>595</v>
      </c>
    </row>
    <row r="244" spans="5:8" ht="13.2" customHeight="1">
      <c r="E244" s="26" t="s">
        <v>542</v>
      </c>
      <c r="F244" s="84">
        <v>1086</v>
      </c>
    </row>
    <row r="245" spans="5:8" ht="13.2" customHeight="1">
      <c r="E245" s="26" t="s">
        <v>595</v>
      </c>
      <c r="F245" s="81">
        <v>21393</v>
      </c>
      <c r="H245" s="299"/>
    </row>
    <row r="246" spans="5:8" ht="13.2" customHeight="1">
      <c r="E246" s="25" t="s">
        <v>596</v>
      </c>
      <c r="F246" s="81">
        <f>SUM(F230:F245)</f>
        <v>565242</v>
      </c>
    </row>
    <row r="247" spans="5:8" ht="13.2" customHeight="1">
      <c r="E247" s="25"/>
      <c r="F247" s="84"/>
    </row>
    <row r="248" spans="5:8" ht="13.2" customHeight="1">
      <c r="E248" s="25" t="s">
        <v>404</v>
      </c>
      <c r="F248" s="81">
        <v>827357</v>
      </c>
    </row>
    <row r="249" spans="5:8" ht="13.2" customHeight="1">
      <c r="E249" s="25"/>
      <c r="F249" s="84"/>
    </row>
    <row r="250" spans="5:8" ht="13.2" customHeight="1" thickBot="1">
      <c r="E250" s="25" t="s">
        <v>597</v>
      </c>
      <c r="F250" s="86">
        <f>SUM('Detailed Income Statement'!F21+'Detailed Income Statement'!F46+'Detailed Income Statement'!F54+'Detailed Income Statement'!F63+'Detailed Income Statement'!F147+'Detailed Income Statement'!F172+F179+F188+'Detailed Income Statement'!F200+'Detailed Income Statement'!F207+'Detailed Income Statement'!F216+'Detailed Income Statement'!F246+'Detailed Income Statement'!F248)+F227</f>
        <v>15373486</v>
      </c>
    </row>
    <row r="251" spans="5:8" ht="13.2" customHeight="1" thickTop="1"/>
  </sheetData>
  <pageMargins left="0.75" right="0.5" top="0" bottom="0" header="0" footer="0"/>
  <pageSetup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45"/>
  <sheetViews>
    <sheetView zoomScale="90" zoomScaleNormal="90" workbookViewId="0">
      <selection activeCell="N17" sqref="N17"/>
    </sheetView>
  </sheetViews>
  <sheetFormatPr defaultColWidth="8.90625" defaultRowHeight="14.4"/>
  <cols>
    <col min="1" max="1" width="2.6328125" style="9" customWidth="1"/>
    <col min="2" max="2" width="18.81640625" style="9" customWidth="1"/>
    <col min="3" max="3" width="1.81640625" style="9" customWidth="1"/>
    <col min="4" max="7" width="11.36328125" style="9" customWidth="1"/>
    <col min="8" max="8" width="2.08984375" style="9" customWidth="1"/>
    <col min="9" max="9" width="11.36328125" style="9" customWidth="1"/>
    <col min="10" max="13" width="8.90625" style="9"/>
    <col min="14" max="14" width="12.54296875" style="9" customWidth="1"/>
    <col min="15" max="16384" width="8.90625" style="9"/>
  </cols>
  <sheetData>
    <row r="1" spans="1:13">
      <c r="A1" s="522" t="str">
        <f>+'Schedule 2'!A1:F1</f>
        <v>Detroit Lakes (Minnesota) Public Utilities</v>
      </c>
      <c r="B1" s="523"/>
      <c r="C1" s="523"/>
      <c r="D1" s="523"/>
      <c r="E1" s="523"/>
      <c r="F1" s="523"/>
      <c r="G1" s="523"/>
      <c r="H1" s="523"/>
      <c r="I1" s="523"/>
    </row>
    <row r="2" spans="1:13">
      <c r="A2" s="524" t="str">
        <f>+'Schedule 2'!A4:F4</f>
        <v>For the Year Ended December 31, 2014</v>
      </c>
      <c r="B2" s="524"/>
      <c r="C2" s="524"/>
      <c r="D2" s="524"/>
      <c r="E2" s="524"/>
      <c r="F2" s="524"/>
      <c r="G2" s="524"/>
      <c r="H2" s="524"/>
      <c r="I2" s="524"/>
    </row>
    <row r="3" spans="1:13">
      <c r="A3" s="523" t="s">
        <v>454</v>
      </c>
      <c r="B3" s="523"/>
      <c r="C3" s="523"/>
      <c r="D3" s="523"/>
      <c r="E3" s="523"/>
      <c r="F3" s="523"/>
      <c r="G3" s="523"/>
      <c r="H3" s="523"/>
      <c r="I3" s="523"/>
    </row>
    <row r="4" spans="1:13">
      <c r="A4" s="523"/>
      <c r="B4" s="523"/>
      <c r="C4" s="523"/>
      <c r="D4" s="523"/>
      <c r="E4" s="523"/>
      <c r="F4" s="523"/>
      <c r="G4" s="523"/>
      <c r="H4" s="523"/>
      <c r="I4" s="523"/>
    </row>
    <row r="5" spans="1:13">
      <c r="A5" s="523" t="s">
        <v>455</v>
      </c>
      <c r="B5" s="523"/>
      <c r="C5" s="523"/>
      <c r="D5" s="523"/>
      <c r="E5" s="523"/>
      <c r="F5" s="523"/>
      <c r="G5" s="523"/>
      <c r="H5" s="523"/>
      <c r="I5" s="523"/>
    </row>
    <row r="7" spans="1:13">
      <c r="A7" s="46"/>
      <c r="B7" s="47"/>
      <c r="C7" s="48"/>
      <c r="D7" s="525" t="s">
        <v>456</v>
      </c>
      <c r="E7" s="525"/>
      <c r="F7" s="49" t="s">
        <v>457</v>
      </c>
      <c r="G7" s="50" t="s">
        <v>458</v>
      </c>
      <c r="H7" s="51"/>
      <c r="I7" s="50"/>
    </row>
    <row r="8" spans="1:13">
      <c r="A8" s="520" t="s">
        <v>459</v>
      </c>
      <c r="B8" s="521"/>
      <c r="C8" s="52"/>
      <c r="D8" s="91" t="s">
        <v>425</v>
      </c>
      <c r="E8" s="53" t="s">
        <v>426</v>
      </c>
      <c r="F8" s="54" t="s">
        <v>460</v>
      </c>
      <c r="G8" s="55" t="s">
        <v>461</v>
      </c>
      <c r="H8" s="51"/>
      <c r="I8" s="55" t="s">
        <v>9</v>
      </c>
    </row>
    <row r="9" spans="1:13">
      <c r="A9" s="52"/>
      <c r="B9" s="52"/>
      <c r="C9" s="52"/>
      <c r="D9" s="287"/>
      <c r="E9" s="51"/>
      <c r="F9" s="51"/>
      <c r="G9" s="51"/>
      <c r="H9" s="51"/>
      <c r="I9" s="51"/>
      <c r="J9" s="9" t="s">
        <v>462</v>
      </c>
    </row>
    <row r="10" spans="1:13" ht="15" thickBot="1">
      <c r="A10" s="9" t="s">
        <v>462</v>
      </c>
      <c r="D10" s="56">
        <v>3526</v>
      </c>
      <c r="E10" s="56">
        <v>0</v>
      </c>
      <c r="F10" s="56">
        <v>241</v>
      </c>
      <c r="G10" s="56">
        <v>256</v>
      </c>
      <c r="H10" s="57"/>
      <c r="I10" s="56">
        <f>SUM(D10:G10)</f>
        <v>4023</v>
      </c>
      <c r="J10" s="288">
        <f>I10</f>
        <v>4023</v>
      </c>
      <c r="K10" s="56"/>
      <c r="L10" s="56"/>
      <c r="M10" s="56"/>
    </row>
    <row r="11" spans="1:13">
      <c r="D11" s="56"/>
      <c r="E11" s="56"/>
      <c r="F11" s="56"/>
      <c r="G11" s="56"/>
      <c r="H11" s="57"/>
      <c r="I11" s="56"/>
      <c r="K11" s="56"/>
      <c r="L11" s="56"/>
      <c r="M11" s="56"/>
    </row>
    <row r="12" spans="1:13">
      <c r="A12" s="9" t="s">
        <v>463</v>
      </c>
      <c r="D12" s="56"/>
      <c r="E12" s="56"/>
      <c r="F12" s="56"/>
      <c r="G12" s="56"/>
      <c r="H12" s="57"/>
      <c r="I12" s="56"/>
      <c r="J12" s="56"/>
      <c r="K12" s="56"/>
      <c r="L12" s="56"/>
      <c r="M12" s="56"/>
    </row>
    <row r="13" spans="1:13">
      <c r="B13" s="9" t="s">
        <v>464</v>
      </c>
      <c r="D13" s="56">
        <v>3475</v>
      </c>
      <c r="E13" s="56">
        <v>0</v>
      </c>
      <c r="F13" s="56">
        <v>241</v>
      </c>
      <c r="G13" s="56">
        <v>256</v>
      </c>
      <c r="H13" s="57"/>
      <c r="I13" s="56">
        <f>SUM(D13:G13)</f>
        <v>3972</v>
      </c>
      <c r="K13" s="56"/>
      <c r="L13" s="56"/>
      <c r="M13" s="56"/>
    </row>
    <row r="14" spans="1:13">
      <c r="B14" s="9" t="s">
        <v>465</v>
      </c>
      <c r="D14" s="56">
        <v>0</v>
      </c>
      <c r="E14" s="56">
        <v>0</v>
      </c>
      <c r="F14" s="56">
        <v>0</v>
      </c>
      <c r="G14" s="56">
        <v>0</v>
      </c>
      <c r="H14" s="57"/>
      <c r="I14" s="56">
        <f>SUM(D14:G14)</f>
        <v>0</v>
      </c>
      <c r="J14" s="9" t="s">
        <v>463</v>
      </c>
      <c r="K14" s="56"/>
      <c r="L14" s="56"/>
      <c r="M14" s="56"/>
    </row>
    <row r="15" spans="1:13" ht="15" thickBot="1">
      <c r="B15" s="9" t="s">
        <v>466</v>
      </c>
      <c r="D15" s="56">
        <v>0</v>
      </c>
      <c r="E15" s="56">
        <v>0</v>
      </c>
      <c r="F15" s="56">
        <v>0</v>
      </c>
      <c r="G15" s="56">
        <v>0</v>
      </c>
      <c r="H15" s="57"/>
      <c r="I15" s="56">
        <f>SUM(D15:G15)</f>
        <v>0</v>
      </c>
      <c r="J15" s="288">
        <f>+SUM(I13:I15)</f>
        <v>3972</v>
      </c>
      <c r="K15" s="56"/>
      <c r="L15" s="56"/>
      <c r="M15" s="56"/>
    </row>
    <row r="16" spans="1:13">
      <c r="D16" s="56"/>
      <c r="E16" s="56"/>
      <c r="F16" s="56"/>
      <c r="G16" s="56"/>
      <c r="H16" s="57"/>
      <c r="I16" s="56"/>
      <c r="J16" s="56"/>
      <c r="K16" s="56"/>
      <c r="L16" s="56"/>
      <c r="M16" s="56"/>
    </row>
    <row r="17" spans="1:13">
      <c r="A17" s="9" t="s">
        <v>467</v>
      </c>
      <c r="D17" s="56">
        <v>0</v>
      </c>
      <c r="E17" s="56">
        <v>0</v>
      </c>
      <c r="F17" s="56">
        <v>0</v>
      </c>
      <c r="G17" s="56">
        <v>0</v>
      </c>
      <c r="H17" s="57"/>
      <c r="I17" s="56">
        <f>SUM(D17:G17)</f>
        <v>0</v>
      </c>
      <c r="J17" s="56"/>
      <c r="K17" s="56"/>
      <c r="L17" s="56"/>
      <c r="M17" s="56"/>
    </row>
    <row r="18" spans="1:13">
      <c r="D18" s="56"/>
      <c r="E18" s="56"/>
      <c r="F18" s="56"/>
      <c r="G18" s="56"/>
      <c r="H18" s="57"/>
      <c r="I18" s="56"/>
      <c r="J18" s="56"/>
      <c r="K18" s="56"/>
      <c r="L18" s="56"/>
      <c r="M18" s="56"/>
    </row>
    <row r="19" spans="1:13">
      <c r="A19" s="9" t="s">
        <v>468</v>
      </c>
      <c r="D19" s="56">
        <f>96365+300</f>
        <v>96665</v>
      </c>
      <c r="E19" s="56">
        <v>0</v>
      </c>
      <c r="F19" s="56">
        <v>6406</v>
      </c>
      <c r="G19" s="57">
        <v>6944</v>
      </c>
      <c r="H19" s="57"/>
      <c r="I19" s="56">
        <f>SUM(D19:G19)</f>
        <v>110015</v>
      </c>
      <c r="J19" s="56"/>
      <c r="K19" s="56"/>
      <c r="L19" s="56"/>
      <c r="M19" s="56"/>
    </row>
    <row r="20" spans="1:13">
      <c r="D20" s="56"/>
      <c r="E20" s="56"/>
      <c r="F20" s="56"/>
      <c r="G20" s="56"/>
      <c r="H20" s="57"/>
      <c r="I20" s="56"/>
      <c r="J20" s="56"/>
      <c r="K20" s="56"/>
      <c r="L20" s="56"/>
      <c r="M20" s="56"/>
    </row>
    <row r="21" spans="1:13">
      <c r="A21" s="9" t="s">
        <v>469</v>
      </c>
      <c r="D21" s="56"/>
      <c r="E21" s="56"/>
      <c r="F21" s="56"/>
      <c r="G21" s="56"/>
      <c r="H21" s="57"/>
      <c r="I21" s="56"/>
      <c r="J21" s="56"/>
      <c r="K21" s="56"/>
      <c r="L21" s="56"/>
      <c r="M21" s="56"/>
    </row>
    <row r="22" spans="1:13">
      <c r="B22" s="9" t="s">
        <v>470</v>
      </c>
      <c r="D22" s="56">
        <v>33114</v>
      </c>
      <c r="E22" s="56">
        <v>0</v>
      </c>
      <c r="F22" s="56">
        <v>2286</v>
      </c>
      <c r="G22" s="56">
        <v>2405</v>
      </c>
      <c r="H22" s="57"/>
      <c r="I22" s="56">
        <f t="shared" ref="I22:I30" si="0">SUM(D22:G22)</f>
        <v>37805</v>
      </c>
      <c r="J22" s="56"/>
      <c r="K22" s="56"/>
      <c r="L22" s="56"/>
      <c r="M22" s="56"/>
    </row>
    <row r="23" spans="1:13">
      <c r="B23" s="9" t="s">
        <v>471</v>
      </c>
      <c r="D23" s="56">
        <f>487125+9096+810</f>
        <v>497031</v>
      </c>
      <c r="E23" s="56">
        <v>0</v>
      </c>
      <c r="F23" s="56">
        <v>33896</v>
      </c>
      <c r="G23" s="56">
        <v>35772</v>
      </c>
      <c r="H23" s="57"/>
      <c r="I23" s="56">
        <f t="shared" si="0"/>
        <v>566699</v>
      </c>
      <c r="J23" s="56"/>
      <c r="K23" s="56"/>
      <c r="L23" s="56"/>
      <c r="M23" s="56"/>
    </row>
    <row r="24" spans="1:13">
      <c r="B24" s="9" t="s">
        <v>465</v>
      </c>
      <c r="D24" s="56">
        <v>796</v>
      </c>
      <c r="E24" s="56">
        <v>0</v>
      </c>
      <c r="F24" s="56">
        <v>68</v>
      </c>
      <c r="G24" s="56">
        <v>73</v>
      </c>
      <c r="H24" s="57"/>
      <c r="I24" s="56">
        <f t="shared" si="0"/>
        <v>937</v>
      </c>
      <c r="J24" s="56"/>
      <c r="K24" s="56"/>
      <c r="L24" s="56"/>
      <c r="M24" s="56"/>
    </row>
    <row r="25" spans="1:13">
      <c r="B25" s="9" t="s">
        <v>466</v>
      </c>
      <c r="D25" s="56">
        <v>61064</v>
      </c>
      <c r="E25" s="56">
        <v>0</v>
      </c>
      <c r="F25" s="56">
        <v>4489</v>
      </c>
      <c r="G25" s="56">
        <v>4431</v>
      </c>
      <c r="H25" s="57"/>
      <c r="I25" s="56">
        <f t="shared" si="0"/>
        <v>69984</v>
      </c>
      <c r="J25" s="56"/>
      <c r="K25" s="56"/>
      <c r="L25" s="56"/>
      <c r="M25" s="56"/>
    </row>
    <row r="26" spans="1:13">
      <c r="B26" s="9" t="s">
        <v>472</v>
      </c>
      <c r="D26" s="56">
        <v>39625</v>
      </c>
      <c r="E26" s="56">
        <v>0</v>
      </c>
      <c r="F26" s="56">
        <v>2696</v>
      </c>
      <c r="G26" s="56">
        <v>2876</v>
      </c>
      <c r="H26" s="57"/>
      <c r="I26" s="56">
        <f t="shared" si="0"/>
        <v>45197</v>
      </c>
      <c r="J26" s="56"/>
      <c r="K26" s="56"/>
      <c r="L26" s="56"/>
      <c r="M26" s="56"/>
    </row>
    <row r="27" spans="1:13">
      <c r="B27" s="9" t="s">
        <v>473</v>
      </c>
      <c r="D27" s="56"/>
      <c r="E27" s="56">
        <v>0</v>
      </c>
      <c r="F27" s="56"/>
      <c r="G27" s="56"/>
      <c r="H27" s="57"/>
      <c r="I27" s="56">
        <f t="shared" si="0"/>
        <v>0</v>
      </c>
      <c r="J27" s="56"/>
      <c r="K27" s="56"/>
      <c r="L27" s="56"/>
      <c r="M27" s="56"/>
    </row>
    <row r="28" spans="1:13">
      <c r="B28" s="9" t="s">
        <v>474</v>
      </c>
      <c r="D28" s="56">
        <f>80+39797</f>
        <v>39877</v>
      </c>
      <c r="E28" s="56">
        <v>0</v>
      </c>
      <c r="F28" s="56">
        <v>2614</v>
      </c>
      <c r="G28" s="56">
        <v>2904</v>
      </c>
      <c r="H28" s="57"/>
      <c r="I28" s="56">
        <f t="shared" si="0"/>
        <v>45395</v>
      </c>
      <c r="J28" s="56"/>
      <c r="K28" s="56"/>
      <c r="L28" s="56"/>
      <c r="M28" s="56"/>
    </row>
    <row r="29" spans="1:13">
      <c r="A29" s="14"/>
      <c r="B29" s="14" t="s">
        <v>475</v>
      </c>
      <c r="C29" s="14"/>
      <c r="D29" s="101">
        <v>8084</v>
      </c>
      <c r="E29" s="101">
        <v>0</v>
      </c>
      <c r="F29" s="101">
        <v>552</v>
      </c>
      <c r="G29" s="101">
        <v>578</v>
      </c>
      <c r="H29" s="108"/>
      <c r="I29" s="101">
        <f t="shared" si="0"/>
        <v>9214</v>
      </c>
      <c r="J29" s="101" t="s">
        <v>511</v>
      </c>
      <c r="K29" s="101"/>
      <c r="L29" s="56"/>
      <c r="M29" s="101"/>
    </row>
    <row r="30" spans="1:13" ht="15" thickBot="1">
      <c r="A30" s="14"/>
      <c r="B30" s="14" t="s">
        <v>513</v>
      </c>
      <c r="C30" s="14"/>
      <c r="D30" s="101">
        <v>28935</v>
      </c>
      <c r="E30" s="101">
        <v>0</v>
      </c>
      <c r="F30" s="101">
        <v>1985</v>
      </c>
      <c r="G30" s="101">
        <v>2072</v>
      </c>
      <c r="H30" s="108"/>
      <c r="I30" s="101">
        <f t="shared" si="0"/>
        <v>32992</v>
      </c>
      <c r="J30" s="289">
        <f>SUM(I17:I30)</f>
        <v>918238</v>
      </c>
      <c r="K30" s="101"/>
      <c r="L30" s="56"/>
      <c r="M30" s="101"/>
    </row>
    <row r="31" spans="1:13">
      <c r="A31" s="14"/>
      <c r="B31" s="14"/>
      <c r="C31" s="14"/>
      <c r="D31" s="101"/>
      <c r="E31" s="101"/>
      <c r="F31" s="101"/>
      <c r="G31" s="101"/>
      <c r="H31" s="108"/>
      <c r="I31" s="101"/>
      <c r="J31" s="101"/>
      <c r="K31" s="101"/>
      <c r="L31" s="101"/>
      <c r="M31" s="101"/>
    </row>
    <row r="32" spans="1:13">
      <c r="A32" s="14" t="s">
        <v>476</v>
      </c>
      <c r="B32" s="14"/>
      <c r="C32" s="14"/>
      <c r="D32" s="101"/>
      <c r="E32" s="101"/>
      <c r="F32" s="101"/>
      <c r="G32" s="101"/>
      <c r="H32" s="108"/>
      <c r="I32" s="101"/>
      <c r="J32" s="101"/>
      <c r="K32" s="101"/>
      <c r="L32" s="56"/>
      <c r="M32" s="101"/>
    </row>
    <row r="33" spans="1:13">
      <c r="B33" s="9" t="s">
        <v>477</v>
      </c>
      <c r="D33" s="56">
        <v>35089</v>
      </c>
      <c r="E33" s="56">
        <v>0</v>
      </c>
      <c r="F33" s="56">
        <v>2537</v>
      </c>
      <c r="G33" s="56">
        <v>2436</v>
      </c>
      <c r="H33" s="57"/>
      <c r="I33" s="56">
        <f t="shared" ref="I33:I38" si="1">SUM(D33:G33)</f>
        <v>40062</v>
      </c>
      <c r="J33" s="56"/>
      <c r="K33" s="56"/>
      <c r="L33" s="101"/>
      <c r="M33" s="101"/>
    </row>
    <row r="34" spans="1:13">
      <c r="B34" s="9" t="s">
        <v>478</v>
      </c>
      <c r="D34" s="56">
        <v>271147</v>
      </c>
      <c r="E34" s="56">
        <v>0</v>
      </c>
      <c r="F34" s="56">
        <v>18854</v>
      </c>
      <c r="G34" s="56">
        <v>19511</v>
      </c>
      <c r="H34" s="57"/>
      <c r="I34" s="56">
        <f t="shared" si="1"/>
        <v>309512</v>
      </c>
      <c r="J34" s="56"/>
      <c r="K34" s="56"/>
      <c r="L34" s="56"/>
      <c r="M34" s="101"/>
    </row>
    <row r="35" spans="1:13">
      <c r="B35" s="9" t="s">
        <v>479</v>
      </c>
      <c r="D35" s="56">
        <v>738</v>
      </c>
      <c r="E35" s="56">
        <v>0</v>
      </c>
      <c r="F35" s="56">
        <v>51</v>
      </c>
      <c r="G35" s="56">
        <v>54</v>
      </c>
      <c r="H35" s="57"/>
      <c r="I35" s="56">
        <f t="shared" si="1"/>
        <v>843</v>
      </c>
      <c r="J35" s="56"/>
      <c r="K35" s="56"/>
      <c r="L35" s="101"/>
      <c r="M35" s="101"/>
    </row>
    <row r="36" spans="1:13">
      <c r="D36" s="56"/>
      <c r="E36" s="56"/>
      <c r="F36" s="56"/>
      <c r="G36" s="56"/>
      <c r="H36" s="57"/>
      <c r="I36" s="56"/>
      <c r="J36" s="56"/>
      <c r="K36" s="56"/>
      <c r="L36" s="56"/>
      <c r="M36" s="101"/>
    </row>
    <row r="37" spans="1:13">
      <c r="A37" s="9" t="s">
        <v>754</v>
      </c>
      <c r="D37" s="56"/>
      <c r="E37" s="56"/>
      <c r="F37" s="56"/>
      <c r="G37" s="56"/>
      <c r="H37" s="57"/>
      <c r="I37" s="56"/>
      <c r="J37" s="56"/>
      <c r="K37" s="56"/>
      <c r="L37" s="101"/>
      <c r="M37" s="101"/>
    </row>
    <row r="38" spans="1:13">
      <c r="B38" s="9" t="s">
        <v>480</v>
      </c>
      <c r="D38" s="56">
        <v>29898</v>
      </c>
      <c r="E38" s="56">
        <v>0</v>
      </c>
      <c r="F38" s="56">
        <v>1943</v>
      </c>
      <c r="G38" s="56">
        <v>2167</v>
      </c>
      <c r="H38" s="57"/>
      <c r="I38" s="56">
        <f t="shared" si="1"/>
        <v>34008</v>
      </c>
      <c r="J38" s="56" t="s">
        <v>865</v>
      </c>
      <c r="K38" s="56"/>
      <c r="L38" s="56"/>
      <c r="M38" s="101"/>
    </row>
    <row r="39" spans="1:13" ht="15" thickBot="1">
      <c r="D39" s="56"/>
      <c r="E39" s="56"/>
      <c r="F39" s="56"/>
      <c r="G39" s="56"/>
      <c r="H39" s="57"/>
      <c r="I39" s="56"/>
      <c r="J39" s="288">
        <f>+SUM(I33:I38)</f>
        <v>384425</v>
      </c>
      <c r="K39" s="56"/>
      <c r="L39" s="101"/>
      <c r="M39" s="101"/>
    </row>
    <row r="40" spans="1:13" ht="15" thickBot="1">
      <c r="B40" s="9" t="s">
        <v>9</v>
      </c>
      <c r="D40" s="58">
        <f>SUM(D10:D39)</f>
        <v>1149064</v>
      </c>
      <c r="E40" s="58">
        <f>SUM(E10:E39)</f>
        <v>0</v>
      </c>
      <c r="F40" s="58">
        <f>SUM(F10:F39)</f>
        <v>78859</v>
      </c>
      <c r="G40" s="58">
        <f>SUM(G10:G39)</f>
        <v>82735</v>
      </c>
      <c r="H40" s="57"/>
      <c r="I40" s="58">
        <f>SUM(I10:I39)</f>
        <v>1310658</v>
      </c>
      <c r="L40" s="56"/>
      <c r="M40" s="101"/>
    </row>
    <row r="41" spans="1:13" ht="15" thickTop="1">
      <c r="H41" s="48"/>
    </row>
    <row r="42" spans="1:13">
      <c r="B42" s="14" t="s">
        <v>924</v>
      </c>
      <c r="C42" s="14"/>
      <c r="D42" s="470">
        <v>178710</v>
      </c>
      <c r="E42" s="470">
        <v>0</v>
      </c>
      <c r="F42" s="470">
        <v>12903</v>
      </c>
      <c r="G42" s="470">
        <v>12905</v>
      </c>
      <c r="H42" s="470"/>
      <c r="I42" s="101">
        <f>SUM(D42:H42)</f>
        <v>204518</v>
      </c>
    </row>
    <row r="43" spans="1:13">
      <c r="B43" s="14" t="s">
        <v>926</v>
      </c>
      <c r="C43" s="14"/>
      <c r="D43" s="470">
        <v>7680</v>
      </c>
      <c r="E43" s="470"/>
      <c r="F43" s="470">
        <v>588</v>
      </c>
      <c r="G43" s="470">
        <v>0</v>
      </c>
      <c r="H43" s="470"/>
      <c r="I43" s="101">
        <f>SUM(D43:H43)</f>
        <v>8268</v>
      </c>
    </row>
    <row r="44" spans="1:13">
      <c r="B44" s="14" t="s">
        <v>927</v>
      </c>
      <c r="C44" s="14"/>
      <c r="D44" s="470">
        <v>14894</v>
      </c>
      <c r="E44" s="470"/>
      <c r="F44" s="470">
        <v>1027</v>
      </c>
      <c r="G44" s="470">
        <v>1080</v>
      </c>
      <c r="H44" s="470"/>
      <c r="I44" s="101">
        <f>SUM(D44:H44)</f>
        <v>17001</v>
      </c>
    </row>
    <row r="45" spans="1:13">
      <c r="B45" s="14" t="s">
        <v>925</v>
      </c>
      <c r="C45" s="14"/>
      <c r="D45" s="470">
        <v>11080</v>
      </c>
      <c r="E45" s="470">
        <v>0</v>
      </c>
      <c r="F45" s="470">
        <v>0</v>
      </c>
      <c r="G45" s="470">
        <v>0</v>
      </c>
      <c r="H45" s="470"/>
      <c r="I45" s="101">
        <f>SUM(D45:H45)</f>
        <v>11080</v>
      </c>
    </row>
  </sheetData>
  <mergeCells count="7">
    <mergeCell ref="A8:B8"/>
    <mergeCell ref="A1:I1"/>
    <mergeCell ref="A2:I2"/>
    <mergeCell ref="A3:I3"/>
    <mergeCell ref="A4:I4"/>
    <mergeCell ref="A5:I5"/>
    <mergeCell ref="D7:E7"/>
  </mergeCells>
  <pageMargins left="0.7" right="0.7" top="0.25" bottom="0.75" header="0.3" footer="0.3"/>
  <pageSetup scale="78" orientation="landscape"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Nonlevelized-EIA 412</vt:lpstr>
      <vt:lpstr>Schedule 2</vt:lpstr>
      <vt:lpstr>Schedule 3</vt:lpstr>
      <vt:lpstr>Schedule 4</vt:lpstr>
      <vt:lpstr>Depreciation Schedule</vt:lpstr>
      <vt:lpstr>Schedule 7</vt:lpstr>
      <vt:lpstr>Schedule 5</vt:lpstr>
      <vt:lpstr>Detailed Income Statement</vt:lpstr>
      <vt:lpstr>Salaries</vt:lpstr>
      <vt:lpstr>Acct 456.1</vt:lpstr>
      <vt:lpstr>Other Data</vt:lpstr>
      <vt:lpstr>'Acct 456.1'!Print_Area</vt:lpstr>
      <vt:lpstr>'Depreciation Schedule'!Print_Area</vt:lpstr>
      <vt:lpstr>'Detailed Income Statement'!Print_Area</vt:lpstr>
      <vt:lpstr>'Nonlevelized-EIA 412'!Print_Area</vt:lpstr>
      <vt:lpstr>Salaries!Print_Area</vt:lpstr>
      <vt:lpstr>'Schedule 3'!Print_Area</vt:lpstr>
      <vt:lpstr>'Acct 456.1'!Print_Titles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Weeden</dc:creator>
  <cp:lastModifiedBy>Kristina Sipma</cp:lastModifiedBy>
  <cp:lastPrinted>2016-02-17T22:58:57Z</cp:lastPrinted>
  <dcterms:created xsi:type="dcterms:W3CDTF">2008-03-20T17:17:49Z</dcterms:created>
  <dcterms:modified xsi:type="dcterms:W3CDTF">2016-03-07T15:38:13Z</dcterms:modified>
</cp:coreProperties>
</file>