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2120" windowHeight="9120" tabRatio="737"/>
  </bookViews>
  <sheets>
    <sheet name="Nonlevelized-EIA 412" sheetId="10" r:id="rId1"/>
    <sheet name="Sched 2 Balance sheet" sheetId="1" r:id="rId2"/>
    <sheet name="Sched 3 Income Statement" sheetId="4" r:id="rId3"/>
    <sheet name="Sched 4 Electric Plant" sheetId="8" r:id="rId4"/>
    <sheet name="Depreciation" sheetId="15" r:id="rId5"/>
    <sheet name="Sched 5 Taxes" sheetId="7" r:id="rId6"/>
    <sheet name="Sched 7 Op &amp; Maint" sheetId="5" r:id="rId7"/>
    <sheet name="Salaries" sheetId="12" r:id="rId8"/>
    <sheet name="Acct 456.1" sheetId="14" r:id="rId9"/>
    <sheet name="Other Data" sheetId="1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C_._RIGHT_" localSheetId="8">#REF!</definedName>
    <definedName name="\___C_._RIGHT_" localSheetId="4">Depreciation!$AI$709</definedName>
    <definedName name="\___C_._RIGHT_">#REF!</definedName>
    <definedName name="\C" localSheetId="8">#REF!</definedName>
    <definedName name="\C" localSheetId="4">Depreciation!$AH$720</definedName>
    <definedName name="\C">#REF!</definedName>
    <definedName name="\D" localSheetId="8">#REF!</definedName>
    <definedName name="\D" localSheetId="4">Depreciation!$AH$713</definedName>
    <definedName name="\D">#REF!</definedName>
    <definedName name="\E" localSheetId="4">Depreciation!$AH$705</definedName>
    <definedName name="\E">#REF!</definedName>
    <definedName name="\P" localSheetId="4">Depreciation!$AH$718</definedName>
    <definedName name="\p" localSheetId="9">#REF!</definedName>
    <definedName name="\P">#REF!</definedName>
    <definedName name="\S" localSheetId="4">Depreciation!$AH$716</definedName>
    <definedName name="\S">#REF!</definedName>
    <definedName name="\U" localSheetId="4">Depreciation!$AH$709</definedName>
    <definedName name="\U">#REF!</definedName>
    <definedName name="\V" localSheetId="4">Depreciation!$AH$711</definedName>
    <definedName name="\V">#REF!</definedName>
    <definedName name="\W" localSheetId="4">Depreciation!$AH$707</definedName>
    <definedName name="\W">#REF!</definedName>
    <definedName name="____C_._DOWN_" localSheetId="4">Depreciation!$AI$711</definedName>
    <definedName name="____C_._DOWN_">#REF!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 localSheetId="9">#REF!</definedName>
    <definedName name="_Check_Input" localSheetId="7">#REF!</definedName>
    <definedName name="_Check_Input">#REF!</definedName>
    <definedName name="_Checks" localSheetId="7">#REF!</definedName>
    <definedName name="_Checks">#REF!</definedName>
    <definedName name="_CurrCase" localSheetId="9">[2]DANDE!#REF!</definedName>
    <definedName name="_CurrCase">[3]DANDE!#REF!</definedName>
    <definedName name="_Data_Query" localSheetId="8">#REF!</definedName>
    <definedName name="_Data_Query" localSheetId="9">#REF!</definedName>
    <definedName name="_Data_Query" localSheetId="7">#REF!</definedName>
    <definedName name="_Data_Query">#REF!</definedName>
    <definedName name="_Data_Query2" localSheetId="9">#REF!</definedName>
    <definedName name="_Data_Query2" localSheetId="7">#REF!</definedName>
    <definedName name="_Data_Query2">#REF!</definedName>
    <definedName name="_DATE_87__?___?" localSheetId="4">Depreciation!$AI$713</definedName>
    <definedName name="_DATE_87__?___?">#REF!</definedName>
    <definedName name="_End_Yr" localSheetId="9">#REF!</definedName>
    <definedName name="_End_Yr" localSheetId="7">#REF!</definedName>
    <definedName name="_End_Yr">#REF!</definedName>
    <definedName name="_EndYr2" localSheetId="7">#REF!</definedName>
    <definedName name="_EndYr2">#REF!</definedName>
    <definedName name="_FC_ID" localSheetId="7">#REF!</definedName>
    <definedName name="_FC_ID">#REF!</definedName>
    <definedName name="_FC_Query" localSheetId="7">#REF!</definedName>
    <definedName name="_FC_Query">#REF!</definedName>
    <definedName name="_FC_Table" localSheetId="7">#REF!</definedName>
    <definedName name="_FC_Table">#REF!</definedName>
    <definedName name="_FEB01" localSheetId="8" hidden="1">{#N/A,#N/A,FALSE,"EMPPAY"}</definedName>
    <definedName name="_FEB01" hidden="1">{#N/A,#N/A,FALSE,"EMPPAY"}</definedName>
    <definedName name="_Fill" hidden="1">'[4]Exp Detail'!#REF!</definedName>
    <definedName name="_FS_R" localSheetId="8">#REF!</definedName>
    <definedName name="_FS_R" localSheetId="4">Depreciation!$AI$716</definedName>
    <definedName name="_FS_R">#REF!</definedName>
    <definedName name="_JAN01" localSheetId="8" hidden="1">{#N/A,#N/A,FALSE,"EMPPAY"}</definedName>
    <definedName name="_JAN01" hidden="1">{#N/A,#N/A,FALSE,"EMPPAY"}</definedName>
    <definedName name="_JAN2001" localSheetId="8" hidden="1">{#N/A,#N/A,FALSE,"EMPPAY"}</definedName>
    <definedName name="_JAN2001" hidden="1">{#N/A,#N/A,FALSE,"EMPPAY"}</definedName>
    <definedName name="_Key1" hidden="1">'[4]Exp Detail'!#REF!</definedName>
    <definedName name="_lookup1">#REF!</definedName>
    <definedName name="_lookup2">#REF!</definedName>
    <definedName name="_lookup3">#REF!</definedName>
    <definedName name="_Meter_Pt" localSheetId="8">#REF!</definedName>
    <definedName name="_Meter_Pt" localSheetId="9">#REF!</definedName>
    <definedName name="_Meter_Pt" localSheetId="7">#REF!</definedName>
    <definedName name="_Meter_Pt">#REF!</definedName>
    <definedName name="_Order1" hidden="1">255</definedName>
    <definedName name="_PPR_?__AGAQ" localSheetId="4">Depreciation!$AI$718</definedName>
    <definedName name="_PPR_?__AGAQ">#REF!</definedName>
    <definedName name="_Query1a" localSheetId="9">#REF!</definedName>
    <definedName name="_Query1a" localSheetId="7">#REF!</definedName>
    <definedName name="_Query1a">#REF!</definedName>
    <definedName name="_Query1b" localSheetId="9">#REF!</definedName>
    <definedName name="_Query1b" localSheetId="7">#REF!</definedName>
    <definedName name="_Query1b">#REF!</definedName>
    <definedName name="_Query2a" localSheetId="7">#REF!</definedName>
    <definedName name="_Query2a">#REF!</definedName>
    <definedName name="_Query2b" localSheetId="7">#REF!</definedName>
    <definedName name="_Query2b">#REF!</definedName>
    <definedName name="_RE_" localSheetId="4">Depreciation!$AI$705</definedName>
    <definedName name="_RE_">#REF!</definedName>
    <definedName name="_RFD1__WCS10_" localSheetId="4">Depreciation!$AI$714</definedName>
    <definedName name="_RFD1__WCS10_">#REF!</definedName>
    <definedName name="_RunCase" localSheetId="9">[2]DANDE!#REF!</definedName>
    <definedName name="_RunCase">[3]DANDE!#REF!</definedName>
    <definedName name="_Sort" hidden="1">'[4]Exp Detail'!#REF!</definedName>
    <definedName name="_Split_Mthd" localSheetId="8">#REF!</definedName>
    <definedName name="_Split_Mthd" localSheetId="9">#REF!</definedName>
    <definedName name="_Split_Mthd" localSheetId="7">#REF!</definedName>
    <definedName name="_Split_Mthd">#REF!</definedName>
    <definedName name="_Start_Yr" localSheetId="9">#REF!</definedName>
    <definedName name="_Start_Yr" localSheetId="7">#REF!</definedName>
    <definedName name="_Start_Yr">#REF!</definedName>
    <definedName name="_StartYr2" localSheetId="9">#REF!</definedName>
    <definedName name="_StartYr2" localSheetId="7">#REF!</definedName>
    <definedName name="_StartYr2">#REF!</definedName>
    <definedName name="_WCS_?__" localSheetId="4">Depreciation!$AI$707</definedName>
    <definedName name="_WCS_?__">#REF!</definedName>
    <definedName name="_WIC_" localSheetId="4">Depreciation!$AI$720</definedName>
    <definedName name="_WIC_">#REF!</definedName>
    <definedName name="_WIR_" localSheetId="4">Depreciation!$AI$722</definedName>
    <definedName name="_WIR_">#REF!</definedName>
    <definedName name="A" localSheetId="8" hidden="1">{#N/A,#N/A,FALSE,"EMPPAY"}</definedName>
    <definedName name="A" hidden="1">{#N/A,#N/A,FALSE,"EMPPAY"}</definedName>
    <definedName name="Adjusted_KW">[5]CALCULATIONS!$C$29</definedName>
    <definedName name="CIP_Year" localSheetId="8">OFFSET(#REF!,0,0,COUNTA(#REF!)-1,1)</definedName>
    <definedName name="CIP_Year">OFFSET(#REF!,0,0,COUNTA(#REF!)-1,1)</definedName>
    <definedName name="Coincidence_Factor" localSheetId="8">[5]CALCULATIONS!#REF!</definedName>
    <definedName name="Coincidence_Factor">[5]CALCULATIONS!#REF!</definedName>
    <definedName name="CROD_S" localSheetId="8">'[6]Brewster Purchases'!#REF!</definedName>
    <definedName name="CROD_S">'[6]Brewster Purchases'!#REF!</definedName>
    <definedName name="Current_Year">'[7]Electric Fund Historical'!$D$1</definedName>
    <definedName name="CUSTAR" localSheetId="8">#REF!</definedName>
    <definedName name="CUSTAR">#REF!</definedName>
    <definedName name="CUYAHOGA_FALLS" localSheetId="8">#REF!</definedName>
    <definedName name="CUYAHOGA_FALLS">#REF!</definedName>
    <definedName name="_xlnm.Database" localSheetId="8">OFFSET(#REF!,0,0,COUNTA(#REF!),11)</definedName>
    <definedName name="_xlnm.Database">OFFSET(#REF!,0,0,COUNTA(#REF!),11)</definedName>
    <definedName name="DEC00" localSheetId="8" hidden="1">{#N/A,#N/A,FALSE,"ARREC"}</definedName>
    <definedName name="DEC00" hidden="1">{#N/A,#N/A,FALSE,"ARREC"}</definedName>
    <definedName name="EDGERTON" localSheetId="8">#REF!</definedName>
    <definedName name="EDGERTON">#REF!</definedName>
    <definedName name="Ellwood_City" localSheetId="8">#REF!</definedName>
    <definedName name="Ellwood_City">#REF!</definedName>
    <definedName name="ELMORE" localSheetId="8">#REF!</definedName>
    <definedName name="ELMORE">#REF!</definedName>
    <definedName name="FEB00" localSheetId="8" hidden="1">{#N/A,#N/A,FALSE,"ARREC"}</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 localSheetId="8">#REF!</definedName>
    <definedName name="GALION">#REF!</definedName>
    <definedName name="GENOA" localSheetId="8">#REF!</definedName>
    <definedName name="GENOA">#REF!</definedName>
    <definedName name="GENOA_NORTH" localSheetId="8">#REF!</definedName>
    <definedName name="GENOA_NORTH">#REF!</definedName>
    <definedName name="GENOA_SOUTH">#REF!</definedName>
    <definedName name="GRAFTON">#REF!</definedName>
    <definedName name="Grove_City">#REF!</definedName>
    <definedName name="HASKINS">#REF!</definedName>
    <definedName name="hourending">#REF!</definedName>
    <definedName name="Hours">[5]CALCULATIONS!$C$11</definedName>
    <definedName name="HUBBARD" localSheetId="8">#REF!</definedName>
    <definedName name="HUBBARD" localSheetId="9">#REF!</definedName>
    <definedName name="HUBBARD">#REF!</definedName>
    <definedName name="LHMonth" localSheetId="7">#REF!</definedName>
    <definedName name="LHMonth">#REF!</definedName>
    <definedName name="LHYear" localSheetId="7">#REF!</definedName>
    <definedName name="LHYear">#REF!</definedName>
    <definedName name="Load_Factor">[5]CALCULATIONS!#REF!</definedName>
    <definedName name="LODI" localSheetId="8">#REF!</definedName>
    <definedName name="LODI" localSheetId="9">#REF!</definedName>
    <definedName name="LODI">#REF!</definedName>
    <definedName name="Loss_KW">[5]CALCULATIONS!$C$40</definedName>
    <definedName name="Loss_kWh">[5]CALCULATIONS!$E$40</definedName>
    <definedName name="Loss_Rate">[5]CALCULATIONS!$B$40</definedName>
    <definedName name="LUCAS" localSheetId="8">#REF!</definedName>
    <definedName name="LUCAS" localSheetId="9">#REF!</definedName>
    <definedName name="LUCAS">#REF!</definedName>
    <definedName name="MAY" localSheetId="8" hidden="1">{#N/A,#N/A,FALSE,"EMPPAY"}</definedName>
    <definedName name="MAY" hidden="1">{#N/A,#N/A,FALSE,"EMPPAY"}</definedName>
    <definedName name="MILAN" localSheetId="8">#REF!</definedName>
    <definedName name="MILAN">#REF!</definedName>
    <definedName name="MONROEVILLE" localSheetId="8">#REF!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 localSheetId="8">#REF!</definedName>
    <definedName name="NAPOLEON">#REF!</definedName>
    <definedName name="NEASG" localSheetId="8">#REF!</definedName>
    <definedName name="NEASG" localSheetId="9">#REF!</definedName>
    <definedName name="NEASG">#REF!</definedName>
    <definedName name="New_Wilmington" localSheetId="9">#REF!</definedName>
    <definedName name="New_Wilmington">#REF!</definedName>
    <definedName name="NEWTON_FALLS">#REF!</definedName>
    <definedName name="NILES">#REF!</definedName>
    <definedName name="NWASG">#REF!</definedName>
    <definedName name="OAK_HARBOR">#REF!</definedName>
    <definedName name="OBERLIN">#REF!</definedName>
    <definedName name="PEAK">[5]TRANSMISSION!#REF!</definedName>
    <definedName name="PEMBERVILLE" localSheetId="8">#REF!</definedName>
    <definedName name="PEMBERVILLE" localSheetId="9">#REF!</definedName>
    <definedName name="PEMBERVILLE">#REF!</definedName>
    <definedName name="PIONEER" localSheetId="9">#REF!</definedName>
    <definedName name="PIONEER">#REF!</definedName>
    <definedName name="Previous_Meter_Reading">[5]CALCULATIONS!$C$16</definedName>
    <definedName name="_xlnm.Print_Area" localSheetId="8">'Acct 456.1'!#REF!</definedName>
    <definedName name="_xlnm.Print_Area" localSheetId="4">Depreciation!$A$234:$AK$500</definedName>
    <definedName name="_xlnm.Print_Area" localSheetId="0">'Nonlevelized-EIA 412'!$A$1:$K$308</definedName>
    <definedName name="_xlnm.Print_Area" localSheetId="7">Salaries!$A$1:$M$32</definedName>
    <definedName name="_xlnm.Print_Area" localSheetId="2">'Sched 3 Income Statement'!$A$1:$C$31</definedName>
    <definedName name="_xlnm.Print_Area" localSheetId="3">'Sched 4 Electric Plant'!$A$1:$M$30</definedName>
    <definedName name="_xlnm.Print_Area">#REF!</definedName>
    <definedName name="Print_Area_MI" localSheetId="8">#REF!</definedName>
    <definedName name="Print_Area_MI" localSheetId="4">Depreciation!$A$6:$P$563</definedName>
    <definedName name="Print_Area_MI">#REF!</definedName>
    <definedName name="_xlnm.Print_Titles" localSheetId="8">'Acct 456.1'!$1:$2</definedName>
    <definedName name="_xlnm.Print_Titles" localSheetId="4">Depreciation!$3:$5</definedName>
    <definedName name="Print_Titles_MI" localSheetId="8">#REF!</definedName>
    <definedName name="Print_Titles_MI" localSheetId="4">Depreciation!$3:$5</definedName>
    <definedName name="Print_Titles_MI">#REF!</definedName>
    <definedName name="PROSPECT">#REF!</definedName>
    <definedName name="queryp1" localSheetId="9">[2]DANDE!#REF!</definedName>
    <definedName name="queryp1">[3]DANDE!#REF!</definedName>
    <definedName name="Reading_Date">[5]CALCULATIONS!$C$8</definedName>
    <definedName name="revreq" localSheetId="8">#REF!</definedName>
    <definedName name="revreq">#REF!</definedName>
    <definedName name="Service_Metered">[5]CALCULATIONS!$C$19</definedName>
    <definedName name="SEVILLE" localSheetId="8">#REF!</definedName>
    <definedName name="SEVILLE">#REF!</definedName>
    <definedName name="SOUTH_VIENNA" localSheetId="8">#REF!</definedName>
    <definedName name="SOUTH_VIENNA">#REF!</definedName>
    <definedName name="TEST" localSheetId="8" hidden="1">{#N/A,#N/A,FALSE,"EMPPAY"}</definedName>
    <definedName name="TEST" hidden="1">{#N/A,#N/A,FALSE,"EMPPAY"}</definedName>
    <definedName name="TOTAL_COLUMBIANA" localSheetId="8">#REF!</definedName>
    <definedName name="TOTAL_COLUMBIANA">#REF!</definedName>
    <definedName name="Total_Grove_City" localSheetId="8">#REF!</definedName>
    <definedName name="Total_Grove_City">#REF!</definedName>
    <definedName name="TOTAL_HUDSON" localSheetId="8">#REF!</definedName>
    <definedName name="TOTAL_HUDSON">#REF!</definedName>
    <definedName name="Total_kWh">[5]CALCULATIONS!$C$21</definedName>
    <definedName name="TOTAL_MONTPELIER" localSheetId="8">#REF!</definedName>
    <definedName name="TOTAL_MONTPELIER" localSheetId="9">#REF!</definedName>
    <definedName name="TOTAL_MONTPELIER">#REF!</definedName>
    <definedName name="TOTAL_WOODVILLE" localSheetId="9">#REF!</definedName>
    <definedName name="TOTAL_WOODVILLE">#REF!</definedName>
    <definedName name="TOTALS">#REF!</definedName>
    <definedName name="TRANSMISSION_PEAK">[5]TRANSMISSION!$C$15</definedName>
    <definedName name="username" localSheetId="8">[3]DANDE!#REF!</definedName>
    <definedName name="username" localSheetId="9">[2]DANDE!#REF!</definedName>
    <definedName name="username">[3]DANDE!#REF!</definedName>
    <definedName name="WADSWORTH" localSheetId="8">#REF!</definedName>
    <definedName name="WADSWORTH">#REF!</definedName>
    <definedName name="WAPA_CROD" localSheetId="8">[5]CALCULATIONS!#REF!</definedName>
    <definedName name="WAPA_CROD">[5]CALCULATIONS!#REF!</definedName>
    <definedName name="WAPA_Demand">[5]CALCULATIONS!$C$33</definedName>
    <definedName name="WAPA_Energy">[5]CALCULATIONS!$C$32</definedName>
    <definedName name="WESTERN_DEMAND" localSheetId="8">[5]CALCULATIONS!#REF!</definedName>
    <definedName name="WESTERN_DEMAND">[5]CALCULATIONS!#REF!</definedName>
    <definedName name="WESTERN_ENERGY" localSheetId="8">[5]CALCULATIONS!#REF!</definedName>
    <definedName name="WESTERN_ENERGY">[5]CALCULATIONS!#REF!</definedName>
    <definedName name="wrn.ARREC." localSheetId="8" hidden="1">{#N/A,#N/A,FALSE,"ARREC"}</definedName>
    <definedName name="wrn.ARREC." hidden="1">{#N/A,#N/A,FALSE,"ARREC"}</definedName>
    <definedName name="wrn.EMPPAY." localSheetId="8" hidden="1">{#N/A,#N/A,FALSE,"EMPPAY"}</definedName>
    <definedName name="wrn.EMPPAY." hidden="1">{#N/A,#N/A,FALSE,"EMPPAY"}</definedName>
    <definedName name="xx" localSheetId="8" hidden="1">{#N/A,#N/A,FALSE,"EMPPAY"}</definedName>
    <definedName name="xx" hidden="1">{#N/A,#N/A,FALSE,"EMPPAY"}</definedName>
    <definedName name="Year" localSheetId="8">OFFSET(#REF!,0,0,COUNTA(#REF!),1)</definedName>
    <definedName name="Year">OFFSET(#REF!,0,0,COUNTA(#REF!),1)</definedName>
  </definedNames>
  <calcPr calcId="145621"/>
</workbook>
</file>

<file path=xl/calcChain.xml><?xml version="1.0" encoding="utf-8"?>
<calcChain xmlns="http://schemas.openxmlformats.org/spreadsheetml/2006/main">
  <c r="I261" i="10" l="1"/>
  <c r="I260" i="10"/>
  <c r="L25" i="14" l="1"/>
  <c r="L24" i="14"/>
  <c r="L8" i="14"/>
  <c r="L9" i="14"/>
  <c r="L10" i="14"/>
  <c r="L11" i="14"/>
  <c r="L12" i="14"/>
  <c r="L13" i="14"/>
  <c r="L14" i="14"/>
  <c r="L15" i="14"/>
  <c r="L16" i="14"/>
  <c r="L17" i="14"/>
  <c r="L7" i="14"/>
  <c r="G148" i="10" l="1"/>
  <c r="L39" i="14" l="1"/>
  <c r="L38" i="14"/>
  <c r="C10" i="4" l="1"/>
  <c r="C11" i="4"/>
  <c r="D16" i="5"/>
  <c r="D21" i="5"/>
  <c r="L37" i="14" l="1"/>
  <c r="C8" i="15"/>
  <c r="F8" i="15"/>
  <c r="AD8" i="15"/>
  <c r="AE8" i="15"/>
  <c r="AF8" i="15"/>
  <c r="H8" i="15" s="1"/>
  <c r="F9" i="15"/>
  <c r="H9" i="15"/>
  <c r="D10" i="15"/>
  <c r="R10" i="15"/>
  <c r="H10" i="15" s="1"/>
  <c r="F10" i="15" s="1"/>
  <c r="E10" i="15" s="1"/>
  <c r="S10" i="15"/>
  <c r="T10" i="15"/>
  <c r="U10" i="15"/>
  <c r="V10" i="15"/>
  <c r="W10" i="15"/>
  <c r="X10" i="15"/>
  <c r="Y10" i="15"/>
  <c r="Z10" i="15"/>
  <c r="AA10" i="15"/>
  <c r="AB10" i="15"/>
  <c r="AC10" i="15"/>
  <c r="AD10" i="15"/>
  <c r="AE10" i="15"/>
  <c r="AF10" i="15"/>
  <c r="AG10" i="15"/>
  <c r="AH10" i="15"/>
  <c r="AI10" i="15"/>
  <c r="AJ10" i="15"/>
  <c r="AK10" i="15"/>
  <c r="C12" i="15"/>
  <c r="AB12" i="15"/>
  <c r="AC12" i="15"/>
  <c r="AD12" i="15"/>
  <c r="AE12" i="15"/>
  <c r="AF12" i="15"/>
  <c r="C13" i="15"/>
  <c r="AB13" i="15"/>
  <c r="AC13" i="15"/>
  <c r="AD13" i="15"/>
  <c r="AE13" i="15"/>
  <c r="H13" i="15" s="1"/>
  <c r="F13" i="15" s="1"/>
  <c r="AF13" i="15"/>
  <c r="C14" i="15"/>
  <c r="AB14" i="15"/>
  <c r="AC14" i="15"/>
  <c r="AD14" i="15"/>
  <c r="AE14" i="15"/>
  <c r="H14" i="15" s="1"/>
  <c r="F14" i="15" s="1"/>
  <c r="AF14" i="15"/>
  <c r="AG14" i="15"/>
  <c r="AH14" i="15"/>
  <c r="AH22" i="15" s="1"/>
  <c r="AI14" i="15"/>
  <c r="AI22" i="15" s="1"/>
  <c r="AJ14" i="15"/>
  <c r="AK14" i="15"/>
  <c r="C15" i="15"/>
  <c r="F15" i="15"/>
  <c r="H15" i="15"/>
  <c r="C16" i="15"/>
  <c r="H16" i="15"/>
  <c r="F16" i="15" s="1"/>
  <c r="W16" i="15"/>
  <c r="C17" i="15"/>
  <c r="U17" i="15"/>
  <c r="V17" i="15"/>
  <c r="W17" i="15"/>
  <c r="Z17" i="15"/>
  <c r="AA17" i="15"/>
  <c r="AB17" i="15"/>
  <c r="AC17" i="15"/>
  <c r="AC22" i="15" s="1"/>
  <c r="C18" i="15"/>
  <c r="R18" i="15"/>
  <c r="S18" i="15"/>
  <c r="T18" i="15"/>
  <c r="U18" i="15"/>
  <c r="V18" i="15"/>
  <c r="W18" i="15"/>
  <c r="Z18" i="15"/>
  <c r="C19" i="15"/>
  <c r="R19" i="15"/>
  <c r="S19" i="15"/>
  <c r="T19" i="15"/>
  <c r="U19" i="15"/>
  <c r="U22" i="15" s="1"/>
  <c r="V19" i="15"/>
  <c r="W19" i="15"/>
  <c r="Z19" i="15"/>
  <c r="AA19" i="15"/>
  <c r="AA22" i="15" s="1"/>
  <c r="C20" i="15"/>
  <c r="Q20" i="15"/>
  <c r="Q22" i="15" s="1"/>
  <c r="R20" i="15"/>
  <c r="S20" i="15"/>
  <c r="T20" i="15"/>
  <c r="H20" i="15" s="1"/>
  <c r="F20" i="15" s="1"/>
  <c r="U20" i="15"/>
  <c r="V20" i="15"/>
  <c r="W20" i="15"/>
  <c r="Z20" i="15"/>
  <c r="AA20" i="15"/>
  <c r="AB20" i="15"/>
  <c r="AC20" i="15"/>
  <c r="AD20" i="15"/>
  <c r="AD22" i="15" s="1"/>
  <c r="AE20" i="15"/>
  <c r="C21" i="15"/>
  <c r="AG21" i="15"/>
  <c r="AH21" i="15"/>
  <c r="AI21" i="15"/>
  <c r="AJ21" i="15"/>
  <c r="AJ22" i="15" s="1"/>
  <c r="AK21" i="15"/>
  <c r="AK22" i="15" s="1"/>
  <c r="D22" i="15"/>
  <c r="L22" i="15"/>
  <c r="M22" i="15"/>
  <c r="N22" i="15"/>
  <c r="O22" i="15"/>
  <c r="P22" i="15"/>
  <c r="R22" i="15"/>
  <c r="S22" i="15"/>
  <c r="V22" i="15"/>
  <c r="W22" i="15"/>
  <c r="X22" i="15"/>
  <c r="Y22" i="15"/>
  <c r="AB22" i="15"/>
  <c r="AF22" i="15"/>
  <c r="C25" i="15"/>
  <c r="V25" i="15"/>
  <c r="W25" i="15"/>
  <c r="AG26" i="15"/>
  <c r="AH26" i="15"/>
  <c r="AI26" i="15"/>
  <c r="AJ26" i="15"/>
  <c r="AK26" i="15"/>
  <c r="L29" i="15"/>
  <c r="H29" i="15" s="1"/>
  <c r="F29" i="15" s="1"/>
  <c r="M29" i="15"/>
  <c r="N29" i="15"/>
  <c r="O29" i="15"/>
  <c r="P29" i="15"/>
  <c r="Q29" i="15"/>
  <c r="R29" i="15"/>
  <c r="S29" i="15"/>
  <c r="T29" i="15"/>
  <c r="U29" i="15"/>
  <c r="V29" i="15"/>
  <c r="W29" i="15"/>
  <c r="Z29" i="15"/>
  <c r="AA29" i="15"/>
  <c r="C30" i="15"/>
  <c r="L30" i="15"/>
  <c r="M30" i="15"/>
  <c r="N30" i="15"/>
  <c r="O30" i="15"/>
  <c r="P30" i="15"/>
  <c r="Q30" i="15"/>
  <c r="R30" i="15"/>
  <c r="S30" i="15"/>
  <c r="T30" i="15"/>
  <c r="U30" i="15"/>
  <c r="V30" i="15"/>
  <c r="W30" i="15"/>
  <c r="Z30" i="15"/>
  <c r="AA30" i="15"/>
  <c r="AB30" i="15"/>
  <c r="AC30" i="15"/>
  <c r="AD30" i="15"/>
  <c r="AE30" i="15"/>
  <c r="AF30" i="15"/>
  <c r="AG30" i="15"/>
  <c r="AH30" i="15"/>
  <c r="AI30" i="15"/>
  <c r="AJ30" i="15"/>
  <c r="AK30" i="15"/>
  <c r="C31" i="15"/>
  <c r="L31" i="15"/>
  <c r="M31" i="15"/>
  <c r="N31" i="15"/>
  <c r="O31" i="15"/>
  <c r="P31" i="15"/>
  <c r="Q31" i="15"/>
  <c r="R31" i="15"/>
  <c r="S31" i="15"/>
  <c r="T31" i="15"/>
  <c r="U31" i="15"/>
  <c r="V31" i="15"/>
  <c r="W31" i="15"/>
  <c r="Z31" i="15"/>
  <c r="AA31" i="15"/>
  <c r="AB31" i="15"/>
  <c r="AC31" i="15"/>
  <c r="AD31" i="15"/>
  <c r="AE31" i="15"/>
  <c r="AF31" i="15"/>
  <c r="AG31" i="15"/>
  <c r="AH31" i="15"/>
  <c r="AI31" i="15"/>
  <c r="AJ31" i="15"/>
  <c r="AK31" i="15"/>
  <c r="C32" i="15"/>
  <c r="L32" i="15"/>
  <c r="M32" i="15"/>
  <c r="N32" i="15"/>
  <c r="O32" i="15"/>
  <c r="P32" i="15"/>
  <c r="Q32" i="15"/>
  <c r="R32" i="15"/>
  <c r="S32" i="15"/>
  <c r="T32" i="15"/>
  <c r="U32" i="15"/>
  <c r="V32" i="15"/>
  <c r="W32" i="15"/>
  <c r="Z32" i="15"/>
  <c r="AA32" i="15"/>
  <c r="AB32" i="15"/>
  <c r="AC32" i="15"/>
  <c r="AD32" i="15"/>
  <c r="AE32" i="15"/>
  <c r="AF32" i="15"/>
  <c r="AG32" i="15"/>
  <c r="AH32" i="15"/>
  <c r="AI32" i="15"/>
  <c r="AJ32" i="15"/>
  <c r="AK32" i="15"/>
  <c r="C33" i="15"/>
  <c r="L33" i="15"/>
  <c r="M33" i="15"/>
  <c r="N33" i="15"/>
  <c r="O33" i="15"/>
  <c r="P33" i="15"/>
  <c r="P75" i="15" s="1"/>
  <c r="Q33" i="15"/>
  <c r="R33" i="15"/>
  <c r="S33" i="15"/>
  <c r="T33" i="15"/>
  <c r="U33" i="15"/>
  <c r="V33" i="15"/>
  <c r="W33" i="15"/>
  <c r="Z33" i="15"/>
  <c r="AA33" i="15"/>
  <c r="AB33" i="15"/>
  <c r="AC33" i="15"/>
  <c r="AD33" i="15"/>
  <c r="AE33" i="15"/>
  <c r="AF33" i="15"/>
  <c r="AG33" i="15"/>
  <c r="AH33" i="15"/>
  <c r="AI33" i="15"/>
  <c r="AJ33" i="15"/>
  <c r="AK33" i="15"/>
  <c r="C34" i="15"/>
  <c r="L34" i="15"/>
  <c r="M34" i="15"/>
  <c r="N34" i="15"/>
  <c r="O34" i="15"/>
  <c r="P34" i="15"/>
  <c r="Q34" i="15"/>
  <c r="R34" i="15"/>
  <c r="S34" i="15"/>
  <c r="T34" i="15"/>
  <c r="U34" i="15"/>
  <c r="V34" i="15"/>
  <c r="W34" i="15"/>
  <c r="Z34" i="15"/>
  <c r="AA34" i="15"/>
  <c r="AB34" i="15"/>
  <c r="AC34" i="15"/>
  <c r="AD34" i="15"/>
  <c r="AE34" i="15"/>
  <c r="AF34" i="15"/>
  <c r="AG34" i="15"/>
  <c r="AH34" i="15"/>
  <c r="AI34" i="15"/>
  <c r="AJ34" i="15"/>
  <c r="AK34" i="15"/>
  <c r="C35" i="15"/>
  <c r="L35" i="15"/>
  <c r="M35" i="15"/>
  <c r="N35" i="15"/>
  <c r="O35" i="15"/>
  <c r="P35" i="15"/>
  <c r="Q35" i="15"/>
  <c r="R35" i="15"/>
  <c r="S35" i="15"/>
  <c r="T35" i="15"/>
  <c r="U35" i="15"/>
  <c r="V35" i="15"/>
  <c r="W35" i="15"/>
  <c r="Z35" i="15"/>
  <c r="AA35" i="15"/>
  <c r="AB35" i="15"/>
  <c r="AC35" i="15"/>
  <c r="AD35" i="15"/>
  <c r="AE35" i="15"/>
  <c r="AF35" i="15"/>
  <c r="AG35" i="15"/>
  <c r="AH35" i="15"/>
  <c r="AI35" i="15"/>
  <c r="AJ35" i="15"/>
  <c r="AK35" i="15"/>
  <c r="C36" i="15"/>
  <c r="L36" i="15"/>
  <c r="M36" i="15"/>
  <c r="N36" i="15"/>
  <c r="O36" i="15"/>
  <c r="P36" i="15"/>
  <c r="Q36" i="15"/>
  <c r="R36" i="15"/>
  <c r="S36" i="15"/>
  <c r="T36" i="15"/>
  <c r="U36" i="15"/>
  <c r="V36" i="15"/>
  <c r="W36" i="15"/>
  <c r="Z36" i="15"/>
  <c r="AA36" i="15"/>
  <c r="AB36" i="15"/>
  <c r="AC36" i="15"/>
  <c r="AD36" i="15"/>
  <c r="AE36" i="15"/>
  <c r="AF36" i="15"/>
  <c r="AG36" i="15"/>
  <c r="AH36" i="15"/>
  <c r="AI36" i="15"/>
  <c r="AJ36" i="15"/>
  <c r="AK36" i="15"/>
  <c r="C37" i="15"/>
  <c r="L37" i="15"/>
  <c r="M37" i="15"/>
  <c r="N37" i="15"/>
  <c r="O37" i="15"/>
  <c r="P37" i="15"/>
  <c r="Q37" i="15"/>
  <c r="R37" i="15"/>
  <c r="S37" i="15"/>
  <c r="T37" i="15"/>
  <c r="U37" i="15"/>
  <c r="V37" i="15"/>
  <c r="W37" i="15"/>
  <c r="Z37" i="15"/>
  <c r="AA37" i="15"/>
  <c r="AB37" i="15"/>
  <c r="AC37" i="15"/>
  <c r="AD37" i="15"/>
  <c r="AE37" i="15"/>
  <c r="AF37" i="15"/>
  <c r="AG37" i="15"/>
  <c r="AH37" i="15"/>
  <c r="AI37" i="15"/>
  <c r="AJ37" i="15"/>
  <c r="AK37" i="15"/>
  <c r="C38" i="15"/>
  <c r="M38" i="15"/>
  <c r="N38" i="15"/>
  <c r="O38" i="15"/>
  <c r="P38" i="15"/>
  <c r="Q38" i="15"/>
  <c r="R38" i="15"/>
  <c r="S38" i="15"/>
  <c r="T38" i="15"/>
  <c r="U38" i="15"/>
  <c r="V38" i="15"/>
  <c r="W38" i="15"/>
  <c r="Z38" i="15"/>
  <c r="AA38" i="15"/>
  <c r="AB38" i="15"/>
  <c r="AC38" i="15"/>
  <c r="AD38" i="15"/>
  <c r="AE38" i="15"/>
  <c r="AF38" i="15"/>
  <c r="AG38" i="15"/>
  <c r="AH38" i="15"/>
  <c r="AI38" i="15"/>
  <c r="AJ38" i="15"/>
  <c r="AK38" i="15"/>
  <c r="C39" i="15"/>
  <c r="N39" i="15"/>
  <c r="O39" i="15"/>
  <c r="P39" i="15"/>
  <c r="Q39" i="15"/>
  <c r="H39" i="15" s="1"/>
  <c r="F39" i="15" s="1"/>
  <c r="R39" i="15"/>
  <c r="S39" i="15"/>
  <c r="T39" i="15"/>
  <c r="U39" i="15"/>
  <c r="V39" i="15"/>
  <c r="W39" i="15"/>
  <c r="Z39" i="15"/>
  <c r="AA39" i="15"/>
  <c r="AB39" i="15"/>
  <c r="AC39" i="15"/>
  <c r="AD39" i="15"/>
  <c r="AE39" i="15"/>
  <c r="AF39" i="15"/>
  <c r="AG39" i="15"/>
  <c r="AH39" i="15"/>
  <c r="AI39" i="15"/>
  <c r="AJ39" i="15"/>
  <c r="AK39" i="15"/>
  <c r="C40" i="15"/>
  <c r="N40" i="15"/>
  <c r="O40" i="15"/>
  <c r="P40" i="15"/>
  <c r="Q40" i="15"/>
  <c r="R40" i="15"/>
  <c r="S40" i="15"/>
  <c r="T40" i="15"/>
  <c r="U40" i="15"/>
  <c r="V40" i="15"/>
  <c r="W40" i="15"/>
  <c r="Z40" i="15"/>
  <c r="AA40" i="15"/>
  <c r="AB40" i="15"/>
  <c r="AC40" i="15"/>
  <c r="AD40" i="15"/>
  <c r="AE40" i="15"/>
  <c r="AF40" i="15"/>
  <c r="AG40" i="15"/>
  <c r="AH40" i="15"/>
  <c r="AI40" i="15"/>
  <c r="AJ40" i="15"/>
  <c r="AK40" i="15"/>
  <c r="C41" i="15"/>
  <c r="O41" i="15"/>
  <c r="P41" i="15"/>
  <c r="Q41" i="15"/>
  <c r="R41" i="15"/>
  <c r="S41" i="15"/>
  <c r="T41" i="15"/>
  <c r="U41" i="15"/>
  <c r="V41" i="15"/>
  <c r="W41" i="15"/>
  <c r="Z41" i="15"/>
  <c r="AA41" i="15"/>
  <c r="AB41" i="15"/>
  <c r="AC41" i="15"/>
  <c r="AD41" i="15"/>
  <c r="AE41" i="15"/>
  <c r="AF41" i="15"/>
  <c r="AG41" i="15"/>
  <c r="AH41" i="15"/>
  <c r="AI41" i="15"/>
  <c r="AJ41" i="15"/>
  <c r="AK41" i="15"/>
  <c r="C42" i="15"/>
  <c r="P42" i="15"/>
  <c r="Q42" i="15"/>
  <c r="R42" i="15"/>
  <c r="S42" i="15"/>
  <c r="T42" i="15"/>
  <c r="U42" i="15"/>
  <c r="V42" i="15"/>
  <c r="W42" i="15"/>
  <c r="Z42" i="15"/>
  <c r="AA42" i="15"/>
  <c r="AB42" i="15"/>
  <c r="AC42" i="15"/>
  <c r="AD42" i="15"/>
  <c r="AE42" i="15"/>
  <c r="AF42" i="15"/>
  <c r="AG42" i="15"/>
  <c r="AH42" i="15"/>
  <c r="AI42" i="15"/>
  <c r="AJ42" i="15"/>
  <c r="AK42" i="15"/>
  <c r="C43" i="15"/>
  <c r="Q43" i="15"/>
  <c r="R43" i="15"/>
  <c r="S43" i="15"/>
  <c r="T43" i="15"/>
  <c r="U43" i="15"/>
  <c r="V43" i="15"/>
  <c r="W43" i="15"/>
  <c r="Z43" i="15"/>
  <c r="AA43" i="15"/>
  <c r="AB43" i="15"/>
  <c r="AC43" i="15"/>
  <c r="AD43" i="15"/>
  <c r="AE43" i="15"/>
  <c r="AF43" i="15"/>
  <c r="AG43" i="15"/>
  <c r="AH43" i="15"/>
  <c r="AI43" i="15"/>
  <c r="AJ43" i="15"/>
  <c r="AK43" i="15"/>
  <c r="C44" i="15"/>
  <c r="D44" i="15"/>
  <c r="S44" i="15"/>
  <c r="T44" i="15"/>
  <c r="U44" i="15"/>
  <c r="V44" i="15"/>
  <c r="H44" i="15" s="1"/>
  <c r="F44" i="15" s="1"/>
  <c r="W44" i="15"/>
  <c r="Z44" i="15"/>
  <c r="AA44" i="15"/>
  <c r="AB44" i="15"/>
  <c r="AC44" i="15"/>
  <c r="AD44" i="15"/>
  <c r="AE44" i="15"/>
  <c r="AF44" i="15"/>
  <c r="AG44" i="15"/>
  <c r="AH44" i="15"/>
  <c r="AI44" i="15"/>
  <c r="AJ44" i="15"/>
  <c r="AK44" i="15"/>
  <c r="C45" i="15"/>
  <c r="S45" i="15"/>
  <c r="T45" i="15"/>
  <c r="U45" i="15"/>
  <c r="V45" i="15"/>
  <c r="H45" i="15" s="1"/>
  <c r="F45" i="15" s="1"/>
  <c r="W45" i="15"/>
  <c r="Z45" i="15"/>
  <c r="AA45" i="15"/>
  <c r="AB45" i="15"/>
  <c r="AC45" i="15"/>
  <c r="AD45" i="15"/>
  <c r="AE45" i="15"/>
  <c r="AF45" i="15"/>
  <c r="AG45" i="15"/>
  <c r="AH45" i="15"/>
  <c r="AI45" i="15"/>
  <c r="AJ45" i="15"/>
  <c r="AK45" i="15"/>
  <c r="C46" i="15"/>
  <c r="D46" i="15"/>
  <c r="U46" i="15" s="1"/>
  <c r="V46" i="15"/>
  <c r="AA46" i="15"/>
  <c r="AB46" i="15"/>
  <c r="AF46" i="15"/>
  <c r="AI46" i="15"/>
  <c r="AJ46" i="15"/>
  <c r="C47" i="15"/>
  <c r="D47" i="15"/>
  <c r="V47" i="15"/>
  <c r="AB47" i="15"/>
  <c r="AF47" i="15"/>
  <c r="AJ47" i="15"/>
  <c r="C48" i="15"/>
  <c r="D48" i="15"/>
  <c r="V48" i="15"/>
  <c r="W48" i="15"/>
  <c r="Z48" i="15"/>
  <c r="AA48" i="15"/>
  <c r="AB48" i="15"/>
  <c r="AC48" i="15"/>
  <c r="AD48" i="15"/>
  <c r="AE48" i="15"/>
  <c r="AF48" i="15"/>
  <c r="AG48" i="15"/>
  <c r="AH48" i="15"/>
  <c r="AI48" i="15"/>
  <c r="AJ48" i="15"/>
  <c r="AK48" i="15"/>
  <c r="C49" i="15"/>
  <c r="W49" i="15"/>
  <c r="Z49" i="15"/>
  <c r="AA49" i="15"/>
  <c r="AB49" i="15"/>
  <c r="AC49" i="15"/>
  <c r="AD49" i="15"/>
  <c r="AE49" i="15"/>
  <c r="AF49" i="15"/>
  <c r="AG49" i="15"/>
  <c r="AH49" i="15"/>
  <c r="AI49" i="15"/>
  <c r="AJ49" i="15"/>
  <c r="AK49" i="15"/>
  <c r="C50" i="15"/>
  <c r="Z50" i="15"/>
  <c r="AA50" i="15"/>
  <c r="AB50" i="15"/>
  <c r="AC50" i="15"/>
  <c r="AD50" i="15"/>
  <c r="AE50" i="15"/>
  <c r="AF50" i="15"/>
  <c r="AG50" i="15"/>
  <c r="AH50" i="15"/>
  <c r="AI50" i="15"/>
  <c r="AJ50" i="15"/>
  <c r="AK50" i="15"/>
  <c r="C51" i="15"/>
  <c r="D51" i="15"/>
  <c r="AE51" i="15"/>
  <c r="C52" i="15"/>
  <c r="Z52" i="15"/>
  <c r="AA52" i="15"/>
  <c r="AB52" i="15"/>
  <c r="AC52" i="15"/>
  <c r="H52" i="15" s="1"/>
  <c r="F52" i="15" s="1"/>
  <c r="AD52" i="15"/>
  <c r="AE52" i="15"/>
  <c r="AF52" i="15"/>
  <c r="AG52" i="15"/>
  <c r="AH52" i="15"/>
  <c r="AI52" i="15"/>
  <c r="AJ52" i="15"/>
  <c r="AK52" i="15"/>
  <c r="C53" i="15"/>
  <c r="D53" i="15"/>
  <c r="AA53" i="15"/>
  <c r="AB53" i="15"/>
  <c r="AC53" i="15"/>
  <c r="AD53" i="15"/>
  <c r="H53" i="15" s="1"/>
  <c r="F53" i="15" s="1"/>
  <c r="AE53" i="15"/>
  <c r="AF53" i="15"/>
  <c r="AG53" i="15"/>
  <c r="AH53" i="15"/>
  <c r="AI53" i="15"/>
  <c r="AJ53" i="15"/>
  <c r="AK53" i="15"/>
  <c r="C54" i="15"/>
  <c r="AB54" i="15"/>
  <c r="AC54" i="15"/>
  <c r="AD54" i="15"/>
  <c r="AE54" i="15"/>
  <c r="AF54" i="15"/>
  <c r="AG54" i="15"/>
  <c r="AH54" i="15"/>
  <c r="AI54" i="15"/>
  <c r="AJ54" i="15"/>
  <c r="AK54" i="15"/>
  <c r="C55" i="15"/>
  <c r="AB55" i="15"/>
  <c r="AC55" i="15"/>
  <c r="AD55" i="15"/>
  <c r="AE55" i="15"/>
  <c r="H55" i="15" s="1"/>
  <c r="F55" i="15" s="1"/>
  <c r="AF55" i="15"/>
  <c r="AG55" i="15"/>
  <c r="AH55" i="15"/>
  <c r="AI55" i="15"/>
  <c r="AJ55" i="15"/>
  <c r="AK55" i="15"/>
  <c r="C56" i="15"/>
  <c r="AC56" i="15"/>
  <c r="AD56" i="15"/>
  <c r="AE56" i="15"/>
  <c r="AF56" i="15"/>
  <c r="AG56" i="15"/>
  <c r="AH56" i="15"/>
  <c r="AI56" i="15"/>
  <c r="AJ56" i="15"/>
  <c r="AK56" i="15"/>
  <c r="C57" i="15"/>
  <c r="AC57" i="15"/>
  <c r="AD57" i="15"/>
  <c r="AE57" i="15"/>
  <c r="AF57" i="15"/>
  <c r="AG57" i="15"/>
  <c r="AH57" i="15"/>
  <c r="AI57" i="15"/>
  <c r="AJ57" i="15"/>
  <c r="AK57" i="15"/>
  <c r="C58" i="15"/>
  <c r="AC58" i="15"/>
  <c r="AD58" i="15"/>
  <c r="AE58" i="15"/>
  <c r="AF58" i="15"/>
  <c r="AG58" i="15"/>
  <c r="AH58" i="15"/>
  <c r="AI58" i="15"/>
  <c r="AJ58" i="15"/>
  <c r="AK58" i="15"/>
  <c r="C59" i="15"/>
  <c r="AC59" i="15"/>
  <c r="AD59" i="15"/>
  <c r="AE59" i="15"/>
  <c r="AF59" i="15"/>
  <c r="AG59" i="15"/>
  <c r="AH59" i="15"/>
  <c r="AI59" i="15"/>
  <c r="AJ59" i="15"/>
  <c r="AK59" i="15"/>
  <c r="C60" i="15"/>
  <c r="F60" i="15"/>
  <c r="AD60" i="15"/>
  <c r="AE60" i="15"/>
  <c r="AF60" i="15"/>
  <c r="H60" i="15" s="1"/>
  <c r="AG60" i="15"/>
  <c r="AH60" i="15"/>
  <c r="AI60" i="15"/>
  <c r="AJ60" i="15"/>
  <c r="AK60" i="15"/>
  <c r="C61" i="15"/>
  <c r="AE61" i="15"/>
  <c r="AF61" i="15"/>
  <c r="AG61" i="15"/>
  <c r="AH61" i="15"/>
  <c r="AI61" i="15"/>
  <c r="AJ61" i="15"/>
  <c r="AK61" i="15"/>
  <c r="C62" i="15"/>
  <c r="AG62" i="15"/>
  <c r="AH62" i="15"/>
  <c r="AI62" i="15"/>
  <c r="AJ62" i="15"/>
  <c r="AK62" i="15"/>
  <c r="C63" i="15"/>
  <c r="AG63" i="15"/>
  <c r="AH63" i="15"/>
  <c r="AI63" i="15"/>
  <c r="AJ63" i="15"/>
  <c r="AK63" i="15"/>
  <c r="C64" i="15"/>
  <c r="F64" i="15"/>
  <c r="AH64" i="15"/>
  <c r="AI64" i="15"/>
  <c r="H64" i="15" s="1"/>
  <c r="AJ64" i="15"/>
  <c r="AK64" i="15"/>
  <c r="C65" i="15"/>
  <c r="F65" i="15"/>
  <c r="H65" i="15"/>
  <c r="AH65" i="15"/>
  <c r="AI65" i="15"/>
  <c r="AJ65" i="15"/>
  <c r="AK65" i="15"/>
  <c r="C66" i="15"/>
  <c r="AI66" i="15"/>
  <c r="H66" i="15" s="1"/>
  <c r="F66" i="15" s="1"/>
  <c r="AJ66" i="15"/>
  <c r="AK66" i="15"/>
  <c r="C67" i="15"/>
  <c r="F67" i="15"/>
  <c r="H67" i="15"/>
  <c r="AJ67" i="15"/>
  <c r="AK67" i="15"/>
  <c r="C68" i="15"/>
  <c r="AI68" i="15"/>
  <c r="H68" i="15" s="1"/>
  <c r="F68" i="15" s="1"/>
  <c r="C69" i="15"/>
  <c r="AD69" i="15"/>
  <c r="AE69" i="15"/>
  <c r="AF69" i="15"/>
  <c r="AG69" i="15"/>
  <c r="AH69" i="15"/>
  <c r="AI69" i="15"/>
  <c r="AJ69" i="15"/>
  <c r="AK69" i="15"/>
  <c r="C70" i="15"/>
  <c r="AD70" i="15"/>
  <c r="AE70" i="15"/>
  <c r="AF70" i="15"/>
  <c r="AG70" i="15"/>
  <c r="AH70" i="15"/>
  <c r="AI70" i="15"/>
  <c r="AJ70" i="15"/>
  <c r="AK70" i="15"/>
  <c r="C71" i="15"/>
  <c r="D71" i="15"/>
  <c r="C72" i="15"/>
  <c r="L72" i="15"/>
  <c r="M72" i="15"/>
  <c r="N72" i="15"/>
  <c r="O72" i="15"/>
  <c r="H72" i="15" s="1"/>
  <c r="F72" i="15" s="1"/>
  <c r="P72" i="15"/>
  <c r="Q72" i="15"/>
  <c r="R72" i="15"/>
  <c r="S72" i="15"/>
  <c r="T72" i="15"/>
  <c r="U72" i="15"/>
  <c r="V72" i="15"/>
  <c r="W72" i="15"/>
  <c r="Z72" i="15"/>
  <c r="AA72" i="15"/>
  <c r="AB72" i="15"/>
  <c r="AC72" i="15"/>
  <c r="AD72" i="15"/>
  <c r="AE72" i="15"/>
  <c r="AF72" i="15"/>
  <c r="AG72" i="15"/>
  <c r="AH72" i="15"/>
  <c r="AI72" i="15"/>
  <c r="AJ72" i="15"/>
  <c r="AK72" i="15"/>
  <c r="C73" i="15"/>
  <c r="N73" i="15"/>
  <c r="O73" i="15"/>
  <c r="P73" i="15"/>
  <c r="Q73" i="15"/>
  <c r="H73" i="15" s="1"/>
  <c r="F73" i="15" s="1"/>
  <c r="R73" i="15"/>
  <c r="S73" i="15"/>
  <c r="T73" i="15"/>
  <c r="U73" i="15"/>
  <c r="V73" i="15"/>
  <c r="W73" i="15"/>
  <c r="Z73" i="15"/>
  <c r="AA73" i="15"/>
  <c r="AB73" i="15"/>
  <c r="AC73" i="15"/>
  <c r="AD73" i="15"/>
  <c r="AE73" i="15"/>
  <c r="AF73" i="15"/>
  <c r="AG73" i="15"/>
  <c r="AH73" i="15"/>
  <c r="AI73" i="15"/>
  <c r="AJ73" i="15"/>
  <c r="AK73" i="15"/>
  <c r="C74" i="15"/>
  <c r="F74" i="15"/>
  <c r="AF74" i="15"/>
  <c r="AG74" i="15"/>
  <c r="AH74" i="15"/>
  <c r="H74" i="15" s="1"/>
  <c r="AI74" i="15"/>
  <c r="AJ74" i="15"/>
  <c r="AK74" i="15"/>
  <c r="L75" i="15"/>
  <c r="X75" i="15"/>
  <c r="Y75" i="15"/>
  <c r="H78" i="15"/>
  <c r="D79" i="15"/>
  <c r="E79" i="15"/>
  <c r="H79" i="15"/>
  <c r="AG79" i="15"/>
  <c r="AH79" i="15"/>
  <c r="AI79" i="15"/>
  <c r="AJ79" i="15"/>
  <c r="AK79" i="15"/>
  <c r="L82" i="15"/>
  <c r="M82" i="15"/>
  <c r="N82" i="15"/>
  <c r="C83" i="15"/>
  <c r="L83" i="15"/>
  <c r="M83" i="15"/>
  <c r="O83" i="15"/>
  <c r="P83" i="15"/>
  <c r="Q83" i="15"/>
  <c r="R83" i="15"/>
  <c r="R87" i="15" s="1"/>
  <c r="S83" i="15"/>
  <c r="T83" i="15"/>
  <c r="U83" i="15"/>
  <c r="C84" i="15"/>
  <c r="L84" i="15"/>
  <c r="M84" i="15"/>
  <c r="O84" i="15"/>
  <c r="O87" i="15" s="1"/>
  <c r="P84" i="15"/>
  <c r="Q84" i="15"/>
  <c r="R84" i="15"/>
  <c r="S84" i="15"/>
  <c r="S87" i="15" s="1"/>
  <c r="T84" i="15"/>
  <c r="U84" i="15"/>
  <c r="C85" i="15"/>
  <c r="T85" i="15"/>
  <c r="U85" i="15"/>
  <c r="V85" i="15"/>
  <c r="V87" i="15" s="1"/>
  <c r="W85" i="15"/>
  <c r="Z85" i="15"/>
  <c r="AB85" i="15"/>
  <c r="AB87" i="15" s="1"/>
  <c r="C86" i="15"/>
  <c r="Z86" i="15"/>
  <c r="AA86" i="15"/>
  <c r="AB86" i="15"/>
  <c r="AC86" i="15"/>
  <c r="AD86" i="15"/>
  <c r="AD87" i="15" s="1"/>
  <c r="AE86" i="15"/>
  <c r="AF86" i="15"/>
  <c r="AG86" i="15"/>
  <c r="D87" i="15"/>
  <c r="K87" i="15"/>
  <c r="N87" i="15"/>
  <c r="P87" i="15"/>
  <c r="Q87" i="15"/>
  <c r="T87" i="15"/>
  <c r="W87" i="15"/>
  <c r="X87" i="15"/>
  <c r="Y87" i="15"/>
  <c r="AA87" i="15"/>
  <c r="AC87" i="15"/>
  <c r="AE87" i="15"/>
  <c r="AF87" i="15"/>
  <c r="AG87" i="15"/>
  <c r="AH87" i="15"/>
  <c r="AI87" i="15"/>
  <c r="AJ87" i="15"/>
  <c r="AK87" i="15"/>
  <c r="K88" i="15"/>
  <c r="L88" i="15"/>
  <c r="M88" i="15"/>
  <c r="N88" i="15"/>
  <c r="K89" i="15"/>
  <c r="L89" i="15"/>
  <c r="M89" i="15"/>
  <c r="N89" i="15"/>
  <c r="F90" i="15"/>
  <c r="N90" i="15"/>
  <c r="N120" i="15" s="1"/>
  <c r="N136" i="15" s="1"/>
  <c r="O90" i="15"/>
  <c r="O120" i="15" s="1"/>
  <c r="P90" i="15"/>
  <c r="C91" i="15"/>
  <c r="Q91" i="15"/>
  <c r="R91" i="15"/>
  <c r="S91" i="15"/>
  <c r="T91" i="15"/>
  <c r="T120" i="15" s="1"/>
  <c r="U91" i="15"/>
  <c r="V91" i="15"/>
  <c r="W91" i="15"/>
  <c r="Z91" i="15"/>
  <c r="AA91" i="15"/>
  <c r="AB91" i="15"/>
  <c r="AC91" i="15"/>
  <c r="AD91" i="15"/>
  <c r="AE91" i="15"/>
  <c r="AF91" i="15"/>
  <c r="AG91" i="15"/>
  <c r="AG120" i="15" s="1"/>
  <c r="AH91" i="15"/>
  <c r="C92" i="15"/>
  <c r="T92" i="15"/>
  <c r="U92" i="15"/>
  <c r="V92" i="15"/>
  <c r="W92" i="15"/>
  <c r="Z92" i="15"/>
  <c r="AA92" i="15"/>
  <c r="AB92" i="15"/>
  <c r="C93" i="15"/>
  <c r="T93" i="15"/>
  <c r="U93" i="15"/>
  <c r="U120" i="15" s="1"/>
  <c r="V93" i="15"/>
  <c r="V120" i="15" s="1"/>
  <c r="W93" i="15"/>
  <c r="Z93" i="15"/>
  <c r="AA93" i="15"/>
  <c r="AB93" i="15"/>
  <c r="C94" i="15"/>
  <c r="Z94" i="15"/>
  <c r="AA94" i="15"/>
  <c r="AB94" i="15"/>
  <c r="AC94" i="15"/>
  <c r="AD94" i="15"/>
  <c r="AE94" i="15"/>
  <c r="AF94" i="15"/>
  <c r="C95" i="15"/>
  <c r="Z95" i="15"/>
  <c r="AA95" i="15"/>
  <c r="AB95" i="15"/>
  <c r="AB120" i="15" s="1"/>
  <c r="AC95" i="15"/>
  <c r="AD95" i="15"/>
  <c r="AE95" i="15"/>
  <c r="AF95" i="15"/>
  <c r="AG95" i="15"/>
  <c r="AH95" i="15"/>
  <c r="AI95" i="15"/>
  <c r="AI120" i="15" s="1"/>
  <c r="AJ95" i="15"/>
  <c r="AK95" i="15"/>
  <c r="C96" i="15"/>
  <c r="AB96" i="15"/>
  <c r="AC96" i="15"/>
  <c r="AD96" i="15"/>
  <c r="AE96" i="15"/>
  <c r="AF96" i="15"/>
  <c r="AG96" i="15"/>
  <c r="AH96" i="15"/>
  <c r="AI96" i="15"/>
  <c r="AJ96" i="15"/>
  <c r="AK96" i="15"/>
  <c r="C97" i="15"/>
  <c r="AD97" i="15"/>
  <c r="AE97" i="15"/>
  <c r="AF97" i="15"/>
  <c r="AF120" i="15" s="1"/>
  <c r="AG97" i="15"/>
  <c r="AH97" i="15"/>
  <c r="AI97" i="15"/>
  <c r="AJ97" i="15"/>
  <c r="AK97" i="15"/>
  <c r="C98" i="15"/>
  <c r="H98" i="15"/>
  <c r="F98" i="15" s="1"/>
  <c r="AG98" i="15"/>
  <c r="AH98" i="15"/>
  <c r="AI98" i="15"/>
  <c r="AJ98" i="15"/>
  <c r="AK98" i="15"/>
  <c r="C99" i="15"/>
  <c r="H99" i="15"/>
  <c r="F99" i="15" s="1"/>
  <c r="AI99" i="15"/>
  <c r="AJ99" i="15"/>
  <c r="AK99" i="15"/>
  <c r="C101" i="15"/>
  <c r="AI101" i="15"/>
  <c r="H101" i="15" s="1"/>
  <c r="F101" i="15" s="1"/>
  <c r="AJ101" i="15"/>
  <c r="AK101" i="15"/>
  <c r="C102" i="15"/>
  <c r="H102" i="15"/>
  <c r="F102" i="15" s="1"/>
  <c r="AI102" i="15"/>
  <c r="AJ102" i="15"/>
  <c r="AK102" i="15"/>
  <c r="C103" i="15"/>
  <c r="AI103" i="15"/>
  <c r="H103" i="15" s="1"/>
  <c r="F103" i="15" s="1"/>
  <c r="AJ103" i="15"/>
  <c r="AK103" i="15"/>
  <c r="C104" i="15"/>
  <c r="H104" i="15"/>
  <c r="F104" i="15" s="1"/>
  <c r="AI104" i="15"/>
  <c r="AJ104" i="15"/>
  <c r="AK104" i="15"/>
  <c r="C105" i="15"/>
  <c r="AI105" i="15"/>
  <c r="H105" i="15" s="1"/>
  <c r="F105" i="15" s="1"/>
  <c r="AJ105" i="15"/>
  <c r="AK105" i="15"/>
  <c r="C106" i="15"/>
  <c r="H106" i="15"/>
  <c r="F106" i="15" s="1"/>
  <c r="AI106" i="15"/>
  <c r="AJ106" i="15"/>
  <c r="AK106" i="15"/>
  <c r="C107" i="15"/>
  <c r="AI107" i="15"/>
  <c r="H107" i="15" s="1"/>
  <c r="F107" i="15" s="1"/>
  <c r="AJ107" i="15"/>
  <c r="AK107" i="15"/>
  <c r="C108" i="15"/>
  <c r="H108" i="15"/>
  <c r="F108" i="15" s="1"/>
  <c r="AI108" i="15"/>
  <c r="AJ108" i="15"/>
  <c r="AK108" i="15"/>
  <c r="C109" i="15"/>
  <c r="AI109" i="15"/>
  <c r="H109" i="15" s="1"/>
  <c r="F109" i="15" s="1"/>
  <c r="AJ109" i="15"/>
  <c r="AK109" i="15"/>
  <c r="C110" i="15"/>
  <c r="H110" i="15"/>
  <c r="F110" i="15" s="1"/>
  <c r="AI110" i="15"/>
  <c r="AJ110" i="15"/>
  <c r="AK110" i="15"/>
  <c r="C111" i="15"/>
  <c r="AI111" i="15"/>
  <c r="H111" i="15" s="1"/>
  <c r="F111" i="15" s="1"/>
  <c r="AJ111" i="15"/>
  <c r="AK111" i="15"/>
  <c r="C112" i="15"/>
  <c r="H112" i="15"/>
  <c r="F112" i="15" s="1"/>
  <c r="AI112" i="15"/>
  <c r="AJ112" i="15"/>
  <c r="AK112" i="15"/>
  <c r="C113" i="15"/>
  <c r="AI113" i="15"/>
  <c r="H113" i="15" s="1"/>
  <c r="F113" i="15" s="1"/>
  <c r="AJ113" i="15"/>
  <c r="AK113" i="15"/>
  <c r="C114" i="15"/>
  <c r="H114" i="15"/>
  <c r="F114" i="15" s="1"/>
  <c r="AI114" i="15"/>
  <c r="AJ114" i="15"/>
  <c r="AK114" i="15"/>
  <c r="C115" i="15"/>
  <c r="AI115" i="15"/>
  <c r="H115" i="15" s="1"/>
  <c r="F115" i="15" s="1"/>
  <c r="AJ115" i="15"/>
  <c r="AK115" i="15"/>
  <c r="C116" i="15"/>
  <c r="H116" i="15"/>
  <c r="F116" i="15" s="1"/>
  <c r="AI116" i="15"/>
  <c r="AJ116" i="15"/>
  <c r="AK116" i="15"/>
  <c r="C117" i="15"/>
  <c r="AI117" i="15"/>
  <c r="H117" i="15" s="1"/>
  <c r="F117" i="15" s="1"/>
  <c r="AJ117" i="15"/>
  <c r="AK117" i="15"/>
  <c r="C118" i="15"/>
  <c r="H118" i="15"/>
  <c r="F118" i="15" s="1"/>
  <c r="AI118" i="15"/>
  <c r="AJ118" i="15"/>
  <c r="AK118" i="15"/>
  <c r="C119" i="15"/>
  <c r="H119" i="15"/>
  <c r="F119" i="15" s="1"/>
  <c r="AJ119" i="15"/>
  <c r="AK119" i="15"/>
  <c r="D120" i="15"/>
  <c r="G120" i="15"/>
  <c r="K120" i="15"/>
  <c r="L120" i="15"/>
  <c r="L136" i="15" s="1"/>
  <c r="M120" i="15"/>
  <c r="P120" i="15"/>
  <c r="P136" i="15" s="1"/>
  <c r="Q120" i="15"/>
  <c r="R120" i="15"/>
  <c r="X120" i="15"/>
  <c r="X136" i="15" s="1"/>
  <c r="Y120" i="15"/>
  <c r="AC120" i="15"/>
  <c r="AK120" i="15"/>
  <c r="C124" i="15"/>
  <c r="D124" i="15"/>
  <c r="K124" i="15" s="1"/>
  <c r="K136" i="15" s="1"/>
  <c r="H124" i="15"/>
  <c r="F124" i="15" s="1"/>
  <c r="L124" i="15"/>
  <c r="M124" i="15"/>
  <c r="N124" i="15"/>
  <c r="P124" i="15"/>
  <c r="Q124" i="15"/>
  <c r="R124" i="15"/>
  <c r="R136" i="15" s="1"/>
  <c r="S124" i="15"/>
  <c r="T124" i="15"/>
  <c r="U124" i="15"/>
  <c r="V124" i="15"/>
  <c r="V136" i="15" s="1"/>
  <c r="W124" i="15"/>
  <c r="C125" i="15"/>
  <c r="F125" i="15"/>
  <c r="W125" i="15"/>
  <c r="Z125" i="15"/>
  <c r="AA125" i="15"/>
  <c r="AB125" i="15"/>
  <c r="AC125" i="15"/>
  <c r="AD125" i="15"/>
  <c r="AE125" i="15"/>
  <c r="AF125" i="15"/>
  <c r="F126" i="15"/>
  <c r="C127" i="15"/>
  <c r="F127" i="15"/>
  <c r="W127" i="15"/>
  <c r="Z127" i="15"/>
  <c r="AA127" i="15"/>
  <c r="AB127" i="15"/>
  <c r="AC127" i="15"/>
  <c r="AD127" i="15"/>
  <c r="AE127" i="15"/>
  <c r="AF127" i="15"/>
  <c r="C128" i="15"/>
  <c r="F128" i="15"/>
  <c r="AI128" i="15"/>
  <c r="H128" i="15" s="1"/>
  <c r="AJ128" i="15"/>
  <c r="AK128" i="15"/>
  <c r="C129" i="15"/>
  <c r="AG129" i="15"/>
  <c r="H129" i="15" s="1"/>
  <c r="F129" i="15" s="1"/>
  <c r="AH129" i="15"/>
  <c r="AI129" i="15"/>
  <c r="AJ129" i="15"/>
  <c r="AK129" i="15"/>
  <c r="C130" i="15"/>
  <c r="H130" i="15"/>
  <c r="F130" i="15" s="1"/>
  <c r="AI130" i="15"/>
  <c r="AJ130" i="15"/>
  <c r="AK130" i="15"/>
  <c r="C131" i="15"/>
  <c r="F131" i="15"/>
  <c r="H131" i="15"/>
  <c r="AI131" i="15"/>
  <c r="AJ131" i="15"/>
  <c r="AK131" i="15"/>
  <c r="C132" i="15"/>
  <c r="AH132" i="15"/>
  <c r="H132" i="15" s="1"/>
  <c r="F132" i="15" s="1"/>
  <c r="AI132" i="15"/>
  <c r="AJ132" i="15"/>
  <c r="AK132" i="15"/>
  <c r="C133" i="15"/>
  <c r="AI133" i="15"/>
  <c r="H133" i="15" s="1"/>
  <c r="F133" i="15" s="1"/>
  <c r="AJ133" i="15"/>
  <c r="AK133" i="15"/>
  <c r="C134" i="15"/>
  <c r="AC134" i="15"/>
  <c r="AD134" i="15"/>
  <c r="AE134" i="15"/>
  <c r="AF134" i="15"/>
  <c r="H134" i="15" s="1"/>
  <c r="F134" i="15" s="1"/>
  <c r="AG134" i="15"/>
  <c r="AH134" i="15"/>
  <c r="AI134" i="15"/>
  <c r="AJ134" i="15"/>
  <c r="AK134" i="15"/>
  <c r="H135" i="15"/>
  <c r="F135" i="15" s="1"/>
  <c r="D136" i="15"/>
  <c r="G136" i="15"/>
  <c r="M136" i="15"/>
  <c r="Q136" i="15"/>
  <c r="Y136" i="15"/>
  <c r="AI136" i="15"/>
  <c r="K140" i="15"/>
  <c r="L140" i="15"/>
  <c r="M140" i="15"/>
  <c r="N140" i="15"/>
  <c r="O140" i="15"/>
  <c r="P140" i="15"/>
  <c r="Q140" i="15"/>
  <c r="R140" i="15"/>
  <c r="S140" i="15"/>
  <c r="T140" i="15"/>
  <c r="U140" i="15"/>
  <c r="V140" i="15"/>
  <c r="W140" i="15"/>
  <c r="K141" i="15"/>
  <c r="L141" i="15"/>
  <c r="L159" i="15" s="1"/>
  <c r="M141" i="15"/>
  <c r="N141" i="15"/>
  <c r="O141" i="15"/>
  <c r="P141" i="15"/>
  <c r="P159" i="15" s="1"/>
  <c r="Q141" i="15"/>
  <c r="R141" i="15"/>
  <c r="S141" i="15"/>
  <c r="T141" i="15"/>
  <c r="T159" i="15" s="1"/>
  <c r="U141" i="15"/>
  <c r="V141" i="15"/>
  <c r="W141" i="15"/>
  <c r="K142" i="15"/>
  <c r="L142" i="15"/>
  <c r="M142" i="15"/>
  <c r="N142" i="15"/>
  <c r="O142" i="15"/>
  <c r="P142" i="15"/>
  <c r="Q142" i="15"/>
  <c r="R142" i="15"/>
  <c r="S142" i="15"/>
  <c r="T142" i="15"/>
  <c r="U142" i="15"/>
  <c r="V142" i="15"/>
  <c r="W142" i="15"/>
  <c r="Z142" i="15"/>
  <c r="K143" i="15"/>
  <c r="L143" i="15"/>
  <c r="M143" i="15"/>
  <c r="N143" i="15"/>
  <c r="O143" i="15"/>
  <c r="P143" i="15"/>
  <c r="Q143" i="15"/>
  <c r="R143" i="15"/>
  <c r="S143" i="15"/>
  <c r="T143" i="15"/>
  <c r="U143" i="15"/>
  <c r="V143" i="15"/>
  <c r="W143" i="15"/>
  <c r="Z143" i="15"/>
  <c r="AA143" i="15"/>
  <c r="AB143" i="15"/>
  <c r="AC143" i="15"/>
  <c r="AD143" i="15"/>
  <c r="AE143" i="15"/>
  <c r="AF143" i="15"/>
  <c r="AG143" i="15"/>
  <c r="AH143" i="15"/>
  <c r="AI143" i="15"/>
  <c r="AJ143" i="15"/>
  <c r="AK143" i="15"/>
  <c r="K144" i="15"/>
  <c r="L144" i="15"/>
  <c r="M144" i="15"/>
  <c r="N144" i="15"/>
  <c r="H144" i="15" s="1"/>
  <c r="F144" i="15" s="1"/>
  <c r="O144" i="15"/>
  <c r="P144" i="15"/>
  <c r="Q144" i="15"/>
  <c r="R144" i="15"/>
  <c r="S144" i="15"/>
  <c r="T144" i="15"/>
  <c r="U144" i="15"/>
  <c r="V144" i="15"/>
  <c r="W144" i="15"/>
  <c r="Z144" i="15"/>
  <c r="AA144" i="15"/>
  <c r="AB144" i="15"/>
  <c r="AC144" i="15"/>
  <c r="AD144" i="15"/>
  <c r="AE144" i="15"/>
  <c r="AF144" i="15"/>
  <c r="AG144" i="15"/>
  <c r="AH144" i="15"/>
  <c r="AI144" i="15"/>
  <c r="AJ144" i="15"/>
  <c r="AK144" i="15"/>
  <c r="K145" i="15"/>
  <c r="L145" i="15"/>
  <c r="M145" i="15"/>
  <c r="N145" i="15"/>
  <c r="O145" i="15"/>
  <c r="P145" i="15"/>
  <c r="Q145" i="15"/>
  <c r="R145" i="15"/>
  <c r="S145" i="15"/>
  <c r="T145" i="15"/>
  <c r="U145" i="15"/>
  <c r="V145" i="15"/>
  <c r="W145" i="15"/>
  <c r="Z145" i="15"/>
  <c r="AA145" i="15"/>
  <c r="AB145" i="15"/>
  <c r="AC145" i="15"/>
  <c r="AD145" i="15"/>
  <c r="AE145" i="15"/>
  <c r="AF145" i="15"/>
  <c r="AG145" i="15"/>
  <c r="AH145" i="15"/>
  <c r="AI145" i="15"/>
  <c r="AJ145" i="15"/>
  <c r="AK145" i="15"/>
  <c r="AB146" i="15"/>
  <c r="AC146" i="15"/>
  <c r="AD146" i="15"/>
  <c r="AE146" i="15"/>
  <c r="AF146" i="15"/>
  <c r="AG146" i="15"/>
  <c r="AH146" i="15"/>
  <c r="AI146" i="15"/>
  <c r="AJ146" i="15"/>
  <c r="AK146" i="15"/>
  <c r="AC147" i="15"/>
  <c r="AD147" i="15"/>
  <c r="H147" i="15" s="1"/>
  <c r="F147" i="15" s="1"/>
  <c r="AE147" i="15"/>
  <c r="AF147" i="15"/>
  <c r="AG147" i="15"/>
  <c r="AH147" i="15"/>
  <c r="AI147" i="15"/>
  <c r="AJ147" i="15"/>
  <c r="AK147" i="15"/>
  <c r="C148" i="15"/>
  <c r="AC148" i="15"/>
  <c r="AD148" i="15"/>
  <c r="AE148" i="15"/>
  <c r="AF148" i="15"/>
  <c r="AG148" i="15"/>
  <c r="AH148" i="15"/>
  <c r="AI148" i="15"/>
  <c r="AJ148" i="15"/>
  <c r="AK148" i="15"/>
  <c r="C149" i="15"/>
  <c r="AC149" i="15"/>
  <c r="AD149" i="15"/>
  <c r="AE149" i="15"/>
  <c r="AF149" i="15"/>
  <c r="H149" i="15" s="1"/>
  <c r="F149" i="15" s="1"/>
  <c r="AG149" i="15"/>
  <c r="AH149" i="15"/>
  <c r="AI149" i="15"/>
  <c r="AJ149" i="15"/>
  <c r="AK149" i="15"/>
  <c r="O150" i="15"/>
  <c r="P150" i="15"/>
  <c r="Q150" i="15"/>
  <c r="R150" i="15"/>
  <c r="S150" i="15"/>
  <c r="T150" i="15"/>
  <c r="U150" i="15"/>
  <c r="V150" i="15"/>
  <c r="W150" i="15"/>
  <c r="C151" i="15"/>
  <c r="S151" i="15"/>
  <c r="T151" i="15"/>
  <c r="U151" i="15"/>
  <c r="U159" i="15" s="1"/>
  <c r="V151" i="15"/>
  <c r="W151" i="15"/>
  <c r="Z151" i="15"/>
  <c r="AA151" i="15"/>
  <c r="AB151" i="15"/>
  <c r="AC151" i="15"/>
  <c r="AD151" i="15"/>
  <c r="AE151" i="15"/>
  <c r="AF151" i="15"/>
  <c r="C152" i="15"/>
  <c r="V152" i="15"/>
  <c r="W152" i="15"/>
  <c r="H152" i="15" s="1"/>
  <c r="F152" i="15" s="1"/>
  <c r="Z152" i="15"/>
  <c r="AA152" i="15"/>
  <c r="AB152" i="15"/>
  <c r="AC152" i="15"/>
  <c r="AD152" i="15"/>
  <c r="AE152" i="15"/>
  <c r="C153" i="15"/>
  <c r="V153" i="15"/>
  <c r="W153" i="15"/>
  <c r="Z153" i="15"/>
  <c r="AA153" i="15"/>
  <c r="AB153" i="15"/>
  <c r="AC153" i="15"/>
  <c r="AD153" i="15"/>
  <c r="AE153" i="15"/>
  <c r="C154" i="15"/>
  <c r="W154" i="15"/>
  <c r="H154" i="15" s="1"/>
  <c r="F154" i="15" s="1"/>
  <c r="Z154" i="15"/>
  <c r="AA154" i="15"/>
  <c r="AC154" i="15"/>
  <c r="C155" i="15"/>
  <c r="W155" i="15"/>
  <c r="Z155" i="15"/>
  <c r="AA155" i="15"/>
  <c r="C156" i="15"/>
  <c r="Z156" i="15"/>
  <c r="AA156" i="15"/>
  <c r="AB156" i="15"/>
  <c r="AC156" i="15"/>
  <c r="AD156" i="15"/>
  <c r="AE156" i="15"/>
  <c r="AF156" i="15"/>
  <c r="AG156" i="15"/>
  <c r="AH156" i="15"/>
  <c r="AI156" i="15"/>
  <c r="AJ156" i="15"/>
  <c r="AK156" i="15"/>
  <c r="AA157" i="15"/>
  <c r="AC157" i="15"/>
  <c r="AD157" i="15"/>
  <c r="AE157" i="15"/>
  <c r="AF157" i="15"/>
  <c r="C158" i="15"/>
  <c r="P158" i="15"/>
  <c r="Q158" i="15"/>
  <c r="R158" i="15"/>
  <c r="S158" i="15"/>
  <c r="T158" i="15"/>
  <c r="U158" i="15"/>
  <c r="V158" i="15"/>
  <c r="W158" i="15"/>
  <c r="Y158" i="15"/>
  <c r="Y159" i="15" s="1"/>
  <c r="D159" i="15"/>
  <c r="G159" i="15"/>
  <c r="M159" i="15"/>
  <c r="O159" i="15"/>
  <c r="X159" i="15"/>
  <c r="AA159" i="15"/>
  <c r="AG159" i="15"/>
  <c r="AI159" i="15"/>
  <c r="C162" i="15"/>
  <c r="K162" i="15"/>
  <c r="L162" i="15"/>
  <c r="M162" i="15"/>
  <c r="N162" i="15"/>
  <c r="O162" i="15"/>
  <c r="P162" i="15"/>
  <c r="Q162" i="15"/>
  <c r="R162" i="15"/>
  <c r="S162" i="15"/>
  <c r="T162" i="15"/>
  <c r="U162" i="15"/>
  <c r="V162" i="15"/>
  <c r="W162" i="15"/>
  <c r="Z162" i="15"/>
  <c r="AA162" i="15"/>
  <c r="AB162" i="15"/>
  <c r="AC162" i="15"/>
  <c r="AD162" i="15"/>
  <c r="AE162" i="15"/>
  <c r="AF162" i="15"/>
  <c r="AG162" i="15"/>
  <c r="C163" i="15"/>
  <c r="L163" i="15"/>
  <c r="M163" i="15"/>
  <c r="N163" i="15"/>
  <c r="O163" i="15"/>
  <c r="P163" i="15"/>
  <c r="P202" i="15" s="1"/>
  <c r="Q163" i="15"/>
  <c r="R163" i="15"/>
  <c r="S163" i="15"/>
  <c r="T163" i="15"/>
  <c r="U163" i="15"/>
  <c r="V163" i="15"/>
  <c r="W163" i="15"/>
  <c r="Z163" i="15"/>
  <c r="AA163" i="15"/>
  <c r="AB163" i="15"/>
  <c r="AC163" i="15"/>
  <c r="AD163" i="15"/>
  <c r="AE163" i="15"/>
  <c r="AF163" i="15"/>
  <c r="AG163" i="15"/>
  <c r="AH163" i="15"/>
  <c r="AI163" i="15"/>
  <c r="AJ163" i="15"/>
  <c r="AK163" i="15"/>
  <c r="C164" i="15"/>
  <c r="M164" i="15"/>
  <c r="N164" i="15"/>
  <c r="O164" i="15"/>
  <c r="P164" i="15"/>
  <c r="Q164" i="15"/>
  <c r="R164" i="15"/>
  <c r="S164" i="15"/>
  <c r="T164" i="15"/>
  <c r="U164" i="15"/>
  <c r="V164" i="15"/>
  <c r="W164" i="15"/>
  <c r="Z164" i="15"/>
  <c r="AA164" i="15"/>
  <c r="AB164" i="15"/>
  <c r="AC164" i="15"/>
  <c r="AD164" i="15"/>
  <c r="AE164" i="15"/>
  <c r="AF164" i="15"/>
  <c r="AG164" i="15"/>
  <c r="AH164" i="15"/>
  <c r="C165" i="15"/>
  <c r="Z165" i="15"/>
  <c r="AA165" i="15"/>
  <c r="AB165" i="15"/>
  <c r="AC165" i="15"/>
  <c r="H165" i="15" s="1"/>
  <c r="F165" i="15" s="1"/>
  <c r="AD165" i="15"/>
  <c r="AE165" i="15"/>
  <c r="AF165" i="15"/>
  <c r="AG165" i="15"/>
  <c r="AH165" i="15"/>
  <c r="AI165" i="15"/>
  <c r="C166" i="15"/>
  <c r="D166" i="15"/>
  <c r="N166" i="15"/>
  <c r="P166" i="15"/>
  <c r="R166" i="15"/>
  <c r="T166" i="15"/>
  <c r="V166" i="15"/>
  <c r="Z166" i="15"/>
  <c r="AB166" i="15"/>
  <c r="AD166" i="15"/>
  <c r="AF166" i="15"/>
  <c r="AH166" i="15"/>
  <c r="C167" i="15"/>
  <c r="D167" i="15"/>
  <c r="Q167" i="15" s="1"/>
  <c r="N167" i="15"/>
  <c r="O167" i="15"/>
  <c r="P167" i="15"/>
  <c r="R167" i="15"/>
  <c r="S167" i="15"/>
  <c r="T167" i="15"/>
  <c r="V167" i="15"/>
  <c r="W167" i="15"/>
  <c r="C168" i="15"/>
  <c r="S168" i="15"/>
  <c r="T168" i="15"/>
  <c r="H168" i="15" s="1"/>
  <c r="F168" i="15" s="1"/>
  <c r="U168" i="15"/>
  <c r="V168" i="15"/>
  <c r="W168" i="15"/>
  <c r="Z168" i="15"/>
  <c r="AA168" i="15"/>
  <c r="AB168" i="15"/>
  <c r="C169" i="15"/>
  <c r="O169" i="15"/>
  <c r="P169" i="15"/>
  <c r="Q169" i="15"/>
  <c r="R169" i="15"/>
  <c r="S169" i="15"/>
  <c r="T169" i="15"/>
  <c r="U169" i="15"/>
  <c r="V169" i="15"/>
  <c r="W169" i="15"/>
  <c r="Z169" i="15"/>
  <c r="AA169" i="15"/>
  <c r="AB169" i="15"/>
  <c r="AC169" i="15"/>
  <c r="AD169" i="15"/>
  <c r="AE169" i="15"/>
  <c r="AF169" i="15"/>
  <c r="AG169" i="15"/>
  <c r="AH169" i="15"/>
  <c r="AI169" i="15"/>
  <c r="C170" i="15"/>
  <c r="P170" i="15"/>
  <c r="Q170" i="15"/>
  <c r="R170" i="15"/>
  <c r="S170" i="15"/>
  <c r="T170" i="15"/>
  <c r="U170" i="15"/>
  <c r="V170" i="15"/>
  <c r="W170" i="15"/>
  <c r="Z170" i="15"/>
  <c r="AA170" i="15"/>
  <c r="AB170" i="15"/>
  <c r="AC170" i="15"/>
  <c r="AD170" i="15"/>
  <c r="AE170" i="15"/>
  <c r="AF170" i="15"/>
  <c r="AG170" i="15"/>
  <c r="AH170" i="15"/>
  <c r="AI170" i="15"/>
  <c r="AJ170" i="15"/>
  <c r="C171" i="15"/>
  <c r="Q171" i="15"/>
  <c r="R171" i="15"/>
  <c r="S171" i="15"/>
  <c r="T171" i="15"/>
  <c r="U171" i="15"/>
  <c r="V171" i="15"/>
  <c r="W171" i="15"/>
  <c r="Z171" i="15"/>
  <c r="AA171" i="15"/>
  <c r="AB171" i="15"/>
  <c r="AC171" i="15"/>
  <c r="AD171" i="15"/>
  <c r="AE171" i="15"/>
  <c r="AF171" i="15"/>
  <c r="AG171" i="15"/>
  <c r="AH171" i="15"/>
  <c r="AI171" i="15"/>
  <c r="AJ171" i="15"/>
  <c r="AK171" i="15"/>
  <c r="C172" i="15"/>
  <c r="D172" i="15"/>
  <c r="T172" i="15"/>
  <c r="V172" i="15"/>
  <c r="Z172" i="15"/>
  <c r="AB172" i="15"/>
  <c r="AD172" i="15"/>
  <c r="AF172" i="15"/>
  <c r="AH172" i="15"/>
  <c r="AJ172" i="15"/>
  <c r="C173" i="15"/>
  <c r="D173" i="15"/>
  <c r="V173" i="15" s="1"/>
  <c r="S173" i="15"/>
  <c r="T173" i="15"/>
  <c r="U173" i="15"/>
  <c r="W173" i="15"/>
  <c r="Z173" i="15"/>
  <c r="AA173" i="15"/>
  <c r="AC173" i="15"/>
  <c r="AD173" i="15"/>
  <c r="AE173" i="15"/>
  <c r="AG173" i="15"/>
  <c r="AH173" i="15"/>
  <c r="AI173" i="15"/>
  <c r="AK173" i="15"/>
  <c r="C174" i="15"/>
  <c r="D174" i="15"/>
  <c r="AA174" i="15"/>
  <c r="AI174" i="15"/>
  <c r="C175" i="15"/>
  <c r="D175" i="15"/>
  <c r="V175" i="15" s="1"/>
  <c r="Z175" i="15"/>
  <c r="AB175" i="15"/>
  <c r="AD175" i="15"/>
  <c r="AH175" i="15"/>
  <c r="AJ175" i="15"/>
  <c r="C176" i="15"/>
  <c r="D176" i="15"/>
  <c r="Z176" i="15" s="1"/>
  <c r="U176" i="15"/>
  <c r="V176" i="15"/>
  <c r="W176" i="15"/>
  <c r="AA176" i="15"/>
  <c r="AB176" i="15"/>
  <c r="AC176" i="15"/>
  <c r="AE176" i="15"/>
  <c r="AF176" i="15"/>
  <c r="AG176" i="15"/>
  <c r="AI176" i="15"/>
  <c r="AJ176" i="15"/>
  <c r="AK176" i="15"/>
  <c r="C177" i="15"/>
  <c r="D177" i="15"/>
  <c r="W177" i="15"/>
  <c r="AC177" i="15"/>
  <c r="AG177" i="15"/>
  <c r="AK177" i="15"/>
  <c r="C178" i="15"/>
  <c r="D178" i="15"/>
  <c r="AD178" i="15" s="1"/>
  <c r="Z178" i="15"/>
  <c r="AH178" i="15"/>
  <c r="C179" i="15"/>
  <c r="Z179" i="15"/>
  <c r="AA179" i="15"/>
  <c r="AB179" i="15"/>
  <c r="AC179" i="15"/>
  <c r="H179" i="15" s="1"/>
  <c r="F179" i="15" s="1"/>
  <c r="AD179" i="15"/>
  <c r="AE179" i="15"/>
  <c r="AF179" i="15"/>
  <c r="AG179" i="15"/>
  <c r="AH179" i="15"/>
  <c r="AI179" i="15"/>
  <c r="AJ179" i="15"/>
  <c r="AK179" i="15"/>
  <c r="C180" i="15"/>
  <c r="D180" i="15"/>
  <c r="AA180" i="15"/>
  <c r="AC180" i="15"/>
  <c r="AE180" i="15"/>
  <c r="AG180" i="15"/>
  <c r="AI180" i="15"/>
  <c r="AK180" i="15"/>
  <c r="C181" i="15"/>
  <c r="Z181" i="15"/>
  <c r="AA181" i="15"/>
  <c r="AB181" i="15"/>
  <c r="AC181" i="15"/>
  <c r="AD181" i="15"/>
  <c r="AE181" i="15"/>
  <c r="AF181" i="15"/>
  <c r="AG181" i="15"/>
  <c r="AH181" i="15"/>
  <c r="AI181" i="15"/>
  <c r="AJ181" i="15"/>
  <c r="AK181" i="15"/>
  <c r="C182" i="15"/>
  <c r="AA182" i="15"/>
  <c r="AB182" i="15"/>
  <c r="AC182" i="15"/>
  <c r="AD182" i="15"/>
  <c r="H182" i="15" s="1"/>
  <c r="F182" i="15" s="1"/>
  <c r="AE182" i="15"/>
  <c r="AF182" i="15"/>
  <c r="AG182" i="15"/>
  <c r="AH182" i="15"/>
  <c r="AI182" i="15"/>
  <c r="AJ182" i="15"/>
  <c r="AK182" i="15"/>
  <c r="C183" i="15"/>
  <c r="AB183" i="15"/>
  <c r="AC183" i="15"/>
  <c r="H183" i="15" s="1"/>
  <c r="F183" i="15" s="1"/>
  <c r="AD183" i="15"/>
  <c r="AE183" i="15"/>
  <c r="AF183" i="15"/>
  <c r="AG183" i="15"/>
  <c r="AH183" i="15"/>
  <c r="AI183" i="15"/>
  <c r="AJ183" i="15"/>
  <c r="AK183" i="15"/>
  <c r="C184" i="15"/>
  <c r="AC184" i="15"/>
  <c r="AD184" i="15"/>
  <c r="AE184" i="15"/>
  <c r="AF184" i="15"/>
  <c r="AG184" i="15"/>
  <c r="AH184" i="15"/>
  <c r="AI184" i="15"/>
  <c r="AJ184" i="15"/>
  <c r="AK184" i="15"/>
  <c r="C185" i="15"/>
  <c r="D185" i="15"/>
  <c r="C186" i="15"/>
  <c r="D186" i="15"/>
  <c r="AF186" i="15" s="1"/>
  <c r="AC186" i="15"/>
  <c r="AD186" i="15"/>
  <c r="AE186" i="15"/>
  <c r="AG186" i="15"/>
  <c r="AH186" i="15"/>
  <c r="AI186" i="15"/>
  <c r="AK186" i="15"/>
  <c r="C187" i="15"/>
  <c r="D187" i="15"/>
  <c r="AD187" i="15"/>
  <c r="AF187" i="15"/>
  <c r="AH187" i="15"/>
  <c r="AJ187" i="15"/>
  <c r="C188" i="15"/>
  <c r="AD188" i="15"/>
  <c r="AE188" i="15"/>
  <c r="AF188" i="15"/>
  <c r="AG188" i="15"/>
  <c r="H188" i="15" s="1"/>
  <c r="F188" i="15" s="1"/>
  <c r="AH188" i="15"/>
  <c r="AI188" i="15"/>
  <c r="AJ188" i="15"/>
  <c r="AK188" i="15"/>
  <c r="C189" i="15"/>
  <c r="AD189" i="15"/>
  <c r="AE189" i="15"/>
  <c r="AF189" i="15"/>
  <c r="AG189" i="15"/>
  <c r="AH189" i="15"/>
  <c r="AI189" i="15"/>
  <c r="AJ189" i="15"/>
  <c r="AK189" i="15"/>
  <c r="C190" i="15"/>
  <c r="AF190" i="15"/>
  <c r="AG190" i="15"/>
  <c r="AH190" i="15"/>
  <c r="AI190" i="15"/>
  <c r="H190" i="15" s="1"/>
  <c r="F190" i="15" s="1"/>
  <c r="AJ190" i="15"/>
  <c r="AK190" i="15"/>
  <c r="C191" i="15"/>
  <c r="AF191" i="15"/>
  <c r="AG191" i="15"/>
  <c r="AH191" i="15"/>
  <c r="AI191" i="15"/>
  <c r="AJ191" i="15"/>
  <c r="AK191" i="15"/>
  <c r="C192" i="15"/>
  <c r="AF192" i="15"/>
  <c r="AG192" i="15"/>
  <c r="AH192" i="15"/>
  <c r="AI192" i="15"/>
  <c r="H192" i="15" s="1"/>
  <c r="F192" i="15" s="1"/>
  <c r="AJ192" i="15"/>
  <c r="AK192" i="15"/>
  <c r="C193" i="15"/>
  <c r="AF193" i="15"/>
  <c r="AG193" i="15"/>
  <c r="AH193" i="15"/>
  <c r="AI193" i="15"/>
  <c r="AJ193" i="15"/>
  <c r="AK193" i="15"/>
  <c r="C194" i="15"/>
  <c r="AE194" i="15"/>
  <c r="AF194" i="15"/>
  <c r="AG194" i="15"/>
  <c r="AH194" i="15"/>
  <c r="AI194" i="15"/>
  <c r="AJ194" i="15"/>
  <c r="AK194" i="15"/>
  <c r="C195" i="15"/>
  <c r="AE195" i="15"/>
  <c r="AF195" i="15"/>
  <c r="H195" i="15" s="1"/>
  <c r="F195" i="15" s="1"/>
  <c r="AG195" i="15"/>
  <c r="AH195" i="15"/>
  <c r="AI195" i="15"/>
  <c r="AJ195" i="15"/>
  <c r="AK195" i="15"/>
  <c r="C196" i="15"/>
  <c r="AG196" i="15"/>
  <c r="AH196" i="15"/>
  <c r="H196" i="15" s="1"/>
  <c r="F196" i="15" s="1"/>
  <c r="AI196" i="15"/>
  <c r="AJ196" i="15"/>
  <c r="AK196" i="15"/>
  <c r="C197" i="15"/>
  <c r="AG197" i="15"/>
  <c r="AH197" i="15"/>
  <c r="H197" i="15" s="1"/>
  <c r="F197" i="15" s="1"/>
  <c r="AI197" i="15"/>
  <c r="AJ197" i="15"/>
  <c r="AK197" i="15"/>
  <c r="C198" i="15"/>
  <c r="H198" i="15"/>
  <c r="F198" i="15" s="1"/>
  <c r="AH198" i="15"/>
  <c r="AI198" i="15"/>
  <c r="AJ198" i="15"/>
  <c r="AK198" i="15"/>
  <c r="C199" i="15"/>
  <c r="AH199" i="15"/>
  <c r="H199" i="15" s="1"/>
  <c r="F199" i="15" s="1"/>
  <c r="AI199" i="15"/>
  <c r="AJ199" i="15"/>
  <c r="AK199" i="15"/>
  <c r="C200" i="15"/>
  <c r="AI200" i="15"/>
  <c r="H200" i="15" s="1"/>
  <c r="F200" i="15" s="1"/>
  <c r="AJ200" i="15"/>
  <c r="AK200" i="15"/>
  <c r="C201" i="15"/>
  <c r="W201" i="15"/>
  <c r="Z201" i="15"/>
  <c r="AA201" i="15"/>
  <c r="AB201" i="15"/>
  <c r="AC201" i="15"/>
  <c r="AD201" i="15"/>
  <c r="AE201" i="15"/>
  <c r="AF201" i="15"/>
  <c r="G202" i="15"/>
  <c r="I202" i="15"/>
  <c r="X202" i="15"/>
  <c r="Y202" i="15"/>
  <c r="C205" i="15"/>
  <c r="Z205" i="15"/>
  <c r="AA205" i="15"/>
  <c r="AA209" i="15" s="1"/>
  <c r="AB205" i="15"/>
  <c r="AC205" i="15"/>
  <c r="C206" i="15"/>
  <c r="Z206" i="15"/>
  <c r="AA206" i="15"/>
  <c r="AB206" i="15"/>
  <c r="AC206" i="15"/>
  <c r="AC209" i="15" s="1"/>
  <c r="C207" i="15"/>
  <c r="H207" i="15"/>
  <c r="F207" i="15" s="1"/>
  <c r="AD207" i="15"/>
  <c r="AE207" i="15"/>
  <c r="AF207" i="15"/>
  <c r="C208" i="15"/>
  <c r="H208" i="15"/>
  <c r="Z208" i="15"/>
  <c r="AA208" i="15"/>
  <c r="D209" i="15"/>
  <c r="S209" i="15"/>
  <c r="T209" i="15"/>
  <c r="U209" i="15"/>
  <c r="V209" i="15"/>
  <c r="W209" i="15"/>
  <c r="X209" i="15"/>
  <c r="Y209" i="15"/>
  <c r="Z209" i="15"/>
  <c r="AD209" i="15"/>
  <c r="AE209" i="15"/>
  <c r="AF209" i="15"/>
  <c r="AG209" i="15"/>
  <c r="AH209" i="15"/>
  <c r="AI209" i="15"/>
  <c r="AJ209" i="15"/>
  <c r="AK209" i="15"/>
  <c r="C211" i="15"/>
  <c r="K211" i="15"/>
  <c r="L211" i="15"/>
  <c r="M211" i="15"/>
  <c r="M232" i="15" s="1"/>
  <c r="N211" i="15"/>
  <c r="O211" i="15"/>
  <c r="P211" i="15"/>
  <c r="Q211" i="15"/>
  <c r="Q232" i="15" s="1"/>
  <c r="R211" i="15"/>
  <c r="S211" i="15"/>
  <c r="C212" i="15"/>
  <c r="F212" i="15"/>
  <c r="K212" i="15"/>
  <c r="L212" i="15"/>
  <c r="H212" i="15" s="1"/>
  <c r="M212" i="15"/>
  <c r="N212" i="15"/>
  <c r="O212" i="15"/>
  <c r="P212" i="15"/>
  <c r="Q212" i="15"/>
  <c r="R212" i="15"/>
  <c r="S212" i="15"/>
  <c r="T212" i="15"/>
  <c r="T232" i="15" s="1"/>
  <c r="U212" i="15"/>
  <c r="C213" i="15"/>
  <c r="L213" i="15"/>
  <c r="M213" i="15"/>
  <c r="N213" i="15"/>
  <c r="O213" i="15"/>
  <c r="P213" i="15"/>
  <c r="Q213" i="15"/>
  <c r="R213" i="15"/>
  <c r="S213" i="15"/>
  <c r="T213" i="15"/>
  <c r="U213" i="15"/>
  <c r="V213" i="15"/>
  <c r="C214" i="15"/>
  <c r="L214" i="15"/>
  <c r="M214" i="15"/>
  <c r="H214" i="15" s="1"/>
  <c r="F214" i="15" s="1"/>
  <c r="N214" i="15"/>
  <c r="O214" i="15"/>
  <c r="P214" i="15"/>
  <c r="Q214" i="15"/>
  <c r="R214" i="15"/>
  <c r="S214" i="15"/>
  <c r="S232" i="15" s="1"/>
  <c r="T214" i="15"/>
  <c r="U214" i="15"/>
  <c r="V214" i="15"/>
  <c r="C215" i="15"/>
  <c r="N215" i="15"/>
  <c r="O215" i="15"/>
  <c r="P215" i="15"/>
  <c r="Q215" i="15"/>
  <c r="R215" i="15"/>
  <c r="S215" i="15"/>
  <c r="T215" i="15"/>
  <c r="U215" i="15"/>
  <c r="V215" i="15"/>
  <c r="W215" i="15"/>
  <c r="C216" i="15"/>
  <c r="N216" i="15"/>
  <c r="O216" i="15"/>
  <c r="P216" i="15"/>
  <c r="Q216" i="15"/>
  <c r="H216" i="15" s="1"/>
  <c r="F216" i="15" s="1"/>
  <c r="R216" i="15"/>
  <c r="S216" i="15"/>
  <c r="T216" i="15"/>
  <c r="U216" i="15"/>
  <c r="V216" i="15"/>
  <c r="C217" i="15"/>
  <c r="T217" i="15"/>
  <c r="U217" i="15"/>
  <c r="V217" i="15"/>
  <c r="W217" i="15"/>
  <c r="Z217" i="15"/>
  <c r="AA217" i="15"/>
  <c r="AB217" i="15"/>
  <c r="AC217" i="15"/>
  <c r="C218" i="15"/>
  <c r="T218" i="15"/>
  <c r="U218" i="15"/>
  <c r="H218" i="15" s="1"/>
  <c r="F218" i="15" s="1"/>
  <c r="V218" i="15"/>
  <c r="W218" i="15"/>
  <c r="Z218" i="15"/>
  <c r="AA218" i="15"/>
  <c r="AB218" i="15"/>
  <c r="AC218" i="15"/>
  <c r="C219" i="15"/>
  <c r="U219" i="15"/>
  <c r="V219" i="15"/>
  <c r="W219" i="15"/>
  <c r="Z219" i="15"/>
  <c r="AA219" i="15"/>
  <c r="AB219" i="15"/>
  <c r="AC219" i="15"/>
  <c r="C220" i="15"/>
  <c r="U220" i="15"/>
  <c r="V220" i="15"/>
  <c r="W220" i="15"/>
  <c r="Z220" i="15"/>
  <c r="Z232" i="15" s="1"/>
  <c r="AA220" i="15"/>
  <c r="AB220" i="15"/>
  <c r="AC220" i="15"/>
  <c r="C221" i="15"/>
  <c r="V221" i="15"/>
  <c r="W221" i="15"/>
  <c r="Z221" i="15"/>
  <c r="AA221" i="15"/>
  <c r="AB221" i="15"/>
  <c r="AC221" i="15"/>
  <c r="AD221" i="15"/>
  <c r="C222" i="15"/>
  <c r="W222" i="15"/>
  <c r="H222" i="15" s="1"/>
  <c r="F222" i="15" s="1"/>
  <c r="Z222" i="15"/>
  <c r="C223" i="15"/>
  <c r="Z223" i="15"/>
  <c r="AA223" i="15"/>
  <c r="H223" i="15" s="1"/>
  <c r="F223" i="15" s="1"/>
  <c r="AB223" i="15"/>
  <c r="AC223" i="15"/>
  <c r="AD223" i="15"/>
  <c r="AE223" i="15"/>
  <c r="AE232" i="15" s="1"/>
  <c r="AF223" i="15"/>
  <c r="C224" i="15"/>
  <c r="D224" i="15"/>
  <c r="Z224" i="15"/>
  <c r="AA224" i="15"/>
  <c r="AB224" i="15"/>
  <c r="AC224" i="15"/>
  <c r="AD224" i="15"/>
  <c r="AE224" i="15"/>
  <c r="AF224" i="15"/>
  <c r="AG224" i="15"/>
  <c r="C225" i="15"/>
  <c r="Z225" i="15"/>
  <c r="AA225" i="15"/>
  <c r="AB225" i="15"/>
  <c r="AC225" i="15"/>
  <c r="AD225" i="15"/>
  <c r="AE225" i="15"/>
  <c r="AF225" i="15"/>
  <c r="AG225" i="15"/>
  <c r="C226" i="15"/>
  <c r="Z226" i="15"/>
  <c r="AA226" i="15"/>
  <c r="AB226" i="15"/>
  <c r="AC226" i="15"/>
  <c r="AD226" i="15"/>
  <c r="AE226" i="15"/>
  <c r="AF226" i="15"/>
  <c r="AG226" i="15"/>
  <c r="C227" i="15"/>
  <c r="Z227" i="15"/>
  <c r="AA227" i="15"/>
  <c r="AB227" i="15"/>
  <c r="AC227" i="15"/>
  <c r="H227" i="15" s="1"/>
  <c r="F227" i="15" s="1"/>
  <c r="AD227" i="15"/>
  <c r="AE227" i="15"/>
  <c r="AF227" i="15"/>
  <c r="AG227" i="15"/>
  <c r="AH227" i="15"/>
  <c r="AI227" i="15"/>
  <c r="AI232" i="15" s="1"/>
  <c r="C228" i="15"/>
  <c r="F228" i="15"/>
  <c r="H228" i="15"/>
  <c r="AJ228" i="15"/>
  <c r="AK228" i="15"/>
  <c r="AK232" i="15" s="1"/>
  <c r="C229" i="15"/>
  <c r="AB229" i="15"/>
  <c r="AC229" i="15"/>
  <c r="AD229" i="15"/>
  <c r="AE229" i="15"/>
  <c r="AF229" i="15"/>
  <c r="AG229" i="15"/>
  <c r="AH229" i="15"/>
  <c r="AI229" i="15"/>
  <c r="AJ229" i="15"/>
  <c r="AJ232" i="15" s="1"/>
  <c r="C230" i="15"/>
  <c r="O230" i="15"/>
  <c r="P230" i="15"/>
  <c r="P232" i="15" s="1"/>
  <c r="Q230" i="15"/>
  <c r="R230" i="15"/>
  <c r="H230" i="15" s="1"/>
  <c r="F230" i="15" s="1"/>
  <c r="S230" i="15"/>
  <c r="C231" i="15"/>
  <c r="Q231" i="15"/>
  <c r="R231" i="15"/>
  <c r="S231" i="15"/>
  <c r="T231" i="15"/>
  <c r="U231" i="15"/>
  <c r="V231" i="15"/>
  <c r="W231" i="15"/>
  <c r="D232" i="15"/>
  <c r="G232" i="15"/>
  <c r="K232" i="15"/>
  <c r="L232" i="15"/>
  <c r="N232" i="15"/>
  <c r="V232" i="15"/>
  <c r="X232" i="15"/>
  <c r="Y232" i="15"/>
  <c r="AH232" i="15"/>
  <c r="H242" i="15"/>
  <c r="C245" i="15"/>
  <c r="T245" i="15"/>
  <c r="U245" i="15"/>
  <c r="V245" i="15"/>
  <c r="V251" i="15" s="1"/>
  <c r="W245" i="15"/>
  <c r="X245" i="15"/>
  <c r="X251" i="15" s="1"/>
  <c r="C246" i="15"/>
  <c r="T246" i="15"/>
  <c r="U246" i="15"/>
  <c r="V246" i="15"/>
  <c r="W246" i="15"/>
  <c r="C247" i="15"/>
  <c r="F247" i="15"/>
  <c r="T247" i="15"/>
  <c r="U247" i="15"/>
  <c r="V247" i="15"/>
  <c r="H247" i="15" s="1"/>
  <c r="W247" i="15"/>
  <c r="C248" i="15"/>
  <c r="L248" i="15"/>
  <c r="M248" i="15"/>
  <c r="N248" i="15"/>
  <c r="O248" i="15"/>
  <c r="P248" i="15"/>
  <c r="P251" i="15" s="1"/>
  <c r="Q248" i="15"/>
  <c r="R248" i="15"/>
  <c r="T248" i="15"/>
  <c r="U248" i="15"/>
  <c r="V248" i="15"/>
  <c r="W248" i="15"/>
  <c r="C249" i="15"/>
  <c r="U249" i="15"/>
  <c r="V249" i="15"/>
  <c r="W249" i="15"/>
  <c r="C250" i="15"/>
  <c r="M250" i="15"/>
  <c r="N250" i="15"/>
  <c r="O250" i="15"/>
  <c r="P250" i="15"/>
  <c r="Q250" i="15"/>
  <c r="Q251" i="15" s="1"/>
  <c r="R250" i="15"/>
  <c r="S250" i="15"/>
  <c r="S251" i="15" s="1"/>
  <c r="T250" i="15"/>
  <c r="U250" i="15"/>
  <c r="V250" i="15"/>
  <c r="D251" i="15"/>
  <c r="G251" i="15"/>
  <c r="K251" i="15"/>
  <c r="L251" i="15"/>
  <c r="N251" i="15"/>
  <c r="R251" i="15"/>
  <c r="W251" i="15"/>
  <c r="Y251" i="15"/>
  <c r="Z251" i="15"/>
  <c r="AA251" i="15"/>
  <c r="AB251" i="15"/>
  <c r="AC251" i="15"/>
  <c r="AD251" i="15"/>
  <c r="AE251" i="15"/>
  <c r="AF251" i="15"/>
  <c r="AG251" i="15"/>
  <c r="AH251" i="15"/>
  <c r="AI251" i="15"/>
  <c r="AJ251" i="15"/>
  <c r="AK251" i="15"/>
  <c r="C253" i="15"/>
  <c r="F253" i="15"/>
  <c r="H253" i="15"/>
  <c r="K253" i="15"/>
  <c r="L253" i="15"/>
  <c r="E254" i="15"/>
  <c r="F254" i="15"/>
  <c r="H254" i="15"/>
  <c r="C257" i="15"/>
  <c r="K257" i="15"/>
  <c r="L257" i="15"/>
  <c r="M257" i="15"/>
  <c r="N257" i="15"/>
  <c r="O257" i="15"/>
  <c r="P257" i="15"/>
  <c r="Q257" i="15"/>
  <c r="R257" i="15"/>
  <c r="S257" i="15"/>
  <c r="T257" i="15"/>
  <c r="U257" i="15"/>
  <c r="C258" i="15"/>
  <c r="L258" i="15"/>
  <c r="M258" i="15"/>
  <c r="H258" i="15" s="1"/>
  <c r="F258" i="15" s="1"/>
  <c r="N258" i="15"/>
  <c r="O258" i="15"/>
  <c r="P258" i="15"/>
  <c r="Q258" i="15"/>
  <c r="R258" i="15"/>
  <c r="S258" i="15"/>
  <c r="T258" i="15"/>
  <c r="U258" i="15"/>
  <c r="V258" i="15"/>
  <c r="C259" i="15"/>
  <c r="S259" i="15"/>
  <c r="T259" i="15"/>
  <c r="T279" i="15" s="1"/>
  <c r="U259" i="15"/>
  <c r="V259" i="15"/>
  <c r="C260" i="15"/>
  <c r="U260" i="15"/>
  <c r="H260" i="15" s="1"/>
  <c r="F260" i="15" s="1"/>
  <c r="V260" i="15"/>
  <c r="W260" i="15"/>
  <c r="C261" i="15"/>
  <c r="U261" i="15"/>
  <c r="V261" i="15"/>
  <c r="W261" i="15"/>
  <c r="C262" i="15"/>
  <c r="V262" i="15"/>
  <c r="W262" i="15"/>
  <c r="Z262" i="15"/>
  <c r="AA262" i="15"/>
  <c r="H262" i="15" s="1"/>
  <c r="F262" i="15" s="1"/>
  <c r="AB262" i="15"/>
  <c r="AC262" i="15"/>
  <c r="AD262" i="15"/>
  <c r="C263" i="15"/>
  <c r="Z263" i="15"/>
  <c r="AA263" i="15"/>
  <c r="C264" i="15"/>
  <c r="Z264" i="15"/>
  <c r="H264" i="15" s="1"/>
  <c r="F264" i="15" s="1"/>
  <c r="AA264" i="15"/>
  <c r="C265" i="15"/>
  <c r="H265" i="15"/>
  <c r="F265" i="15" s="1"/>
  <c r="Z265" i="15"/>
  <c r="AA265" i="15"/>
  <c r="C266" i="15"/>
  <c r="Z266" i="15"/>
  <c r="AA266" i="15"/>
  <c r="AB266" i="15"/>
  <c r="AC266" i="15"/>
  <c r="C267" i="15"/>
  <c r="Z267" i="15"/>
  <c r="AA267" i="15"/>
  <c r="AB267" i="15"/>
  <c r="AC267" i="15"/>
  <c r="H267" i="15" s="1"/>
  <c r="F267" i="15" s="1"/>
  <c r="C268" i="15"/>
  <c r="Z268" i="15"/>
  <c r="AA268" i="15"/>
  <c r="AA279" i="15" s="1"/>
  <c r="AB268" i="15"/>
  <c r="AC268" i="15"/>
  <c r="C269" i="15"/>
  <c r="Z269" i="15"/>
  <c r="AA269" i="15"/>
  <c r="AB269" i="15"/>
  <c r="AC269" i="15"/>
  <c r="AD269" i="15"/>
  <c r="C270" i="15"/>
  <c r="Z270" i="15"/>
  <c r="AA270" i="15"/>
  <c r="AB270" i="15"/>
  <c r="AC270" i="15"/>
  <c r="AD270" i="15"/>
  <c r="C271" i="15"/>
  <c r="AA271" i="15"/>
  <c r="AB271" i="15"/>
  <c r="AC271" i="15"/>
  <c r="AD271" i="15"/>
  <c r="C272" i="15"/>
  <c r="AA272" i="15"/>
  <c r="AB272" i="15"/>
  <c r="AC272" i="15"/>
  <c r="H272" i="15" s="1"/>
  <c r="F272" i="15" s="1"/>
  <c r="AD272" i="15"/>
  <c r="C273" i="15"/>
  <c r="AB273" i="15"/>
  <c r="AC273" i="15"/>
  <c r="AD273" i="15"/>
  <c r="AE273" i="15"/>
  <c r="H273" i="15" s="1"/>
  <c r="F273" i="15" s="1"/>
  <c r="AF273" i="15"/>
  <c r="AF279" i="15" s="1"/>
  <c r="AG273" i="15"/>
  <c r="AH273" i="15"/>
  <c r="AI273" i="15"/>
  <c r="AJ273" i="15"/>
  <c r="AK273" i="15"/>
  <c r="C274" i="15"/>
  <c r="AB274" i="15"/>
  <c r="AC274" i="15"/>
  <c r="AD274" i="15"/>
  <c r="AE274" i="15"/>
  <c r="AF274" i="15"/>
  <c r="AG274" i="15"/>
  <c r="AH274" i="15"/>
  <c r="AH279" i="15" s="1"/>
  <c r="AI274" i="15"/>
  <c r="AJ274" i="15"/>
  <c r="AK274" i="15"/>
  <c r="C275" i="15"/>
  <c r="D275" i="15"/>
  <c r="AF275" i="15" s="1"/>
  <c r="AC275" i="15"/>
  <c r="AD275" i="15"/>
  <c r="AE275" i="15"/>
  <c r="AG275" i="15"/>
  <c r="AH275" i="15"/>
  <c r="AI275" i="15"/>
  <c r="AI279" i="15" s="1"/>
  <c r="AK275" i="15"/>
  <c r="C276" i="15"/>
  <c r="AC276" i="15"/>
  <c r="AD276" i="15"/>
  <c r="AE276" i="15"/>
  <c r="AF276" i="15"/>
  <c r="AG276" i="15"/>
  <c r="AH276" i="15"/>
  <c r="AI276" i="15"/>
  <c r="AJ276" i="15"/>
  <c r="AK276" i="15"/>
  <c r="C277" i="15"/>
  <c r="AD277" i="15"/>
  <c r="AE277" i="15"/>
  <c r="AF277" i="15"/>
  <c r="AG277" i="15"/>
  <c r="AH277" i="15"/>
  <c r="AI277" i="15"/>
  <c r="AJ277" i="15"/>
  <c r="AK277" i="15"/>
  <c r="C278" i="15"/>
  <c r="P278" i="15"/>
  <c r="Q278" i="15"/>
  <c r="R278" i="15"/>
  <c r="S278" i="15"/>
  <c r="H278" i="15" s="1"/>
  <c r="F278" i="15" s="1"/>
  <c r="T278" i="15"/>
  <c r="U278" i="15"/>
  <c r="V278" i="15"/>
  <c r="W278" i="15"/>
  <c r="X278" i="15"/>
  <c r="Y278" i="15"/>
  <c r="Z278" i="15"/>
  <c r="AA278" i="15"/>
  <c r="AB278" i="15"/>
  <c r="AC278" i="15"/>
  <c r="AD278" i="15"/>
  <c r="AE278" i="15"/>
  <c r="AF278" i="15"/>
  <c r="AG278" i="15"/>
  <c r="AH278" i="15"/>
  <c r="AI278" i="15"/>
  <c r="AJ278" i="15"/>
  <c r="AK278" i="15"/>
  <c r="D279" i="15"/>
  <c r="G279" i="15"/>
  <c r="K279" i="15"/>
  <c r="L279" i="15"/>
  <c r="M279" i="15"/>
  <c r="N279" i="15"/>
  <c r="O279" i="15"/>
  <c r="P279" i="15"/>
  <c r="Q279" i="15"/>
  <c r="R279" i="15"/>
  <c r="W279" i="15"/>
  <c r="X279" i="15"/>
  <c r="Y279" i="15"/>
  <c r="AG279" i="15"/>
  <c r="AK279" i="15"/>
  <c r="K284" i="15"/>
  <c r="K311" i="15" s="1"/>
  <c r="L284" i="15"/>
  <c r="M284" i="15"/>
  <c r="N284" i="15"/>
  <c r="C285" i="15"/>
  <c r="L285" i="15"/>
  <c r="M285" i="15"/>
  <c r="N285" i="15"/>
  <c r="O285" i="15"/>
  <c r="P285" i="15"/>
  <c r="Q285" i="15"/>
  <c r="R285" i="15"/>
  <c r="S285" i="15"/>
  <c r="T285" i="15"/>
  <c r="U285" i="15"/>
  <c r="V285" i="15"/>
  <c r="C286" i="15"/>
  <c r="L286" i="15"/>
  <c r="M286" i="15"/>
  <c r="N286" i="15"/>
  <c r="O286" i="15"/>
  <c r="O311" i="15" s="1"/>
  <c r="P286" i="15"/>
  <c r="P311" i="15" s="1"/>
  <c r="Q286" i="15"/>
  <c r="R286" i="15"/>
  <c r="R311" i="15" s="1"/>
  <c r="S286" i="15"/>
  <c r="T286" i="15"/>
  <c r="T311" i="15" s="1"/>
  <c r="U286" i="15"/>
  <c r="V286" i="15"/>
  <c r="V311" i="15" s="1"/>
  <c r="C287" i="15"/>
  <c r="L287" i="15"/>
  <c r="M287" i="15"/>
  <c r="N287" i="15"/>
  <c r="O287" i="15"/>
  <c r="P287" i="15"/>
  <c r="C288" i="15"/>
  <c r="S288" i="15"/>
  <c r="T288" i="15"/>
  <c r="U288" i="15"/>
  <c r="V288" i="15"/>
  <c r="W288" i="15"/>
  <c r="Z288" i="15"/>
  <c r="AA288" i="15"/>
  <c r="AB288" i="15"/>
  <c r="AC288" i="15"/>
  <c r="C289" i="15"/>
  <c r="U289" i="15"/>
  <c r="V289" i="15"/>
  <c r="W289" i="15"/>
  <c r="Z289" i="15"/>
  <c r="AA289" i="15"/>
  <c r="AB289" i="15"/>
  <c r="AC289" i="15"/>
  <c r="C290" i="15"/>
  <c r="U290" i="15"/>
  <c r="V290" i="15"/>
  <c r="W290" i="15"/>
  <c r="Z290" i="15"/>
  <c r="AA290" i="15"/>
  <c r="AB290" i="15"/>
  <c r="AC290" i="15"/>
  <c r="C291" i="15"/>
  <c r="V291" i="15"/>
  <c r="W291" i="15"/>
  <c r="Z291" i="15"/>
  <c r="AA291" i="15"/>
  <c r="AB291" i="15"/>
  <c r="AC291" i="15"/>
  <c r="AD291" i="15"/>
  <c r="C292" i="15"/>
  <c r="V292" i="15"/>
  <c r="W292" i="15"/>
  <c r="Z292" i="15"/>
  <c r="AA292" i="15"/>
  <c r="AB292" i="15"/>
  <c r="AC292" i="15"/>
  <c r="AD292" i="15"/>
  <c r="AE292" i="15"/>
  <c r="AF292" i="15"/>
  <c r="AG292" i="15"/>
  <c r="AH292" i="15"/>
  <c r="AI292" i="15"/>
  <c r="AJ292" i="15"/>
  <c r="AK292" i="15"/>
  <c r="C293" i="15"/>
  <c r="V293" i="15"/>
  <c r="W293" i="15"/>
  <c r="H293" i="15" s="1"/>
  <c r="F293" i="15" s="1"/>
  <c r="Z293" i="15"/>
  <c r="AA293" i="15"/>
  <c r="AB293" i="15"/>
  <c r="AC293" i="15"/>
  <c r="AD293" i="15"/>
  <c r="C294" i="15"/>
  <c r="H294" i="15"/>
  <c r="F294" i="15" s="1"/>
  <c r="W294" i="15"/>
  <c r="Z294" i="15"/>
  <c r="AA294" i="15"/>
  <c r="C295" i="15"/>
  <c r="W295" i="15"/>
  <c r="Z295" i="15"/>
  <c r="AA295" i="15"/>
  <c r="AB295" i="15"/>
  <c r="H295" i="15" s="1"/>
  <c r="F295" i="15" s="1"/>
  <c r="AC295" i="15"/>
  <c r="AD295" i="15"/>
  <c r="AE295" i="15"/>
  <c r="AF295" i="15"/>
  <c r="C296" i="15"/>
  <c r="Z296" i="15"/>
  <c r="AA296" i="15"/>
  <c r="AB296" i="15"/>
  <c r="AB311" i="15" s="1"/>
  <c r="AC296" i="15"/>
  <c r="AD296" i="15"/>
  <c r="AE296" i="15"/>
  <c r="AF296" i="15"/>
  <c r="AF311" i="15" s="1"/>
  <c r="AG296" i="15"/>
  <c r="AH296" i="15"/>
  <c r="AI296" i="15"/>
  <c r="AJ296" i="15"/>
  <c r="AJ311" i="15" s="1"/>
  <c r="AK296" i="15"/>
  <c r="C297" i="15"/>
  <c r="Z297" i="15"/>
  <c r="AA297" i="15"/>
  <c r="AB297" i="15"/>
  <c r="AC297" i="15"/>
  <c r="H297" i="15" s="1"/>
  <c r="F297" i="15" s="1"/>
  <c r="AD297" i="15"/>
  <c r="AE297" i="15"/>
  <c r="AF297" i="15"/>
  <c r="AG297" i="15"/>
  <c r="AH297" i="15"/>
  <c r="AI297" i="15"/>
  <c r="AJ297" i="15"/>
  <c r="AK297" i="15"/>
  <c r="C298" i="15"/>
  <c r="Z298" i="15"/>
  <c r="AA298" i="15"/>
  <c r="AB298" i="15"/>
  <c r="AC298" i="15"/>
  <c r="AD298" i="15"/>
  <c r="AE298" i="15"/>
  <c r="AF298" i="15"/>
  <c r="AG298" i="15"/>
  <c r="AH298" i="15"/>
  <c r="AI298" i="15"/>
  <c r="AJ298" i="15"/>
  <c r="AK298" i="15"/>
  <c r="C299" i="15"/>
  <c r="AA299" i="15"/>
  <c r="AB299" i="15"/>
  <c r="AC299" i="15"/>
  <c r="AD299" i="15"/>
  <c r="H299" i="15" s="1"/>
  <c r="F299" i="15" s="1"/>
  <c r="C300" i="15"/>
  <c r="AC300" i="15"/>
  <c r="AD300" i="15"/>
  <c r="AE300" i="15"/>
  <c r="AF300" i="15"/>
  <c r="AG300" i="15"/>
  <c r="AH300" i="15"/>
  <c r="AI300" i="15"/>
  <c r="AJ300" i="15"/>
  <c r="AK300" i="15"/>
  <c r="C301" i="15"/>
  <c r="AD301" i="15"/>
  <c r="AE301" i="15"/>
  <c r="AF301" i="15"/>
  <c r="AG301" i="15"/>
  <c r="AH301" i="15"/>
  <c r="AI301" i="15"/>
  <c r="AJ301" i="15"/>
  <c r="AK301" i="15"/>
  <c r="C302" i="15"/>
  <c r="AD302" i="15"/>
  <c r="AE302" i="15"/>
  <c r="H302" i="15" s="1"/>
  <c r="F302" i="15" s="1"/>
  <c r="AF302" i="15"/>
  <c r="AG302" i="15"/>
  <c r="AH302" i="15"/>
  <c r="AI302" i="15"/>
  <c r="AJ302" i="15"/>
  <c r="AK302" i="15"/>
  <c r="C303" i="15"/>
  <c r="AD303" i="15"/>
  <c r="AE303" i="15"/>
  <c r="AF303" i="15"/>
  <c r="AG303" i="15"/>
  <c r="AH303" i="15"/>
  <c r="AI303" i="15"/>
  <c r="AJ303" i="15"/>
  <c r="AK303" i="15"/>
  <c r="C304" i="15"/>
  <c r="AD304" i="15"/>
  <c r="AE304" i="15"/>
  <c r="H304" i="15" s="1"/>
  <c r="F304" i="15" s="1"/>
  <c r="AF304" i="15"/>
  <c r="AG304" i="15"/>
  <c r="AH304" i="15"/>
  <c r="AI304" i="15"/>
  <c r="AJ304" i="15"/>
  <c r="AK304" i="15"/>
  <c r="C305" i="15"/>
  <c r="AE305" i="15"/>
  <c r="AF305" i="15"/>
  <c r="AG305" i="15"/>
  <c r="AH305" i="15"/>
  <c r="AI305" i="15"/>
  <c r="AJ305" i="15"/>
  <c r="AK305" i="15"/>
  <c r="C306" i="15"/>
  <c r="AG306" i="15"/>
  <c r="AH306" i="15"/>
  <c r="AI306" i="15"/>
  <c r="AJ306" i="15"/>
  <c r="AK306" i="15"/>
  <c r="C307" i="15"/>
  <c r="AG307" i="15"/>
  <c r="AH307" i="15"/>
  <c r="AI307" i="15"/>
  <c r="AJ307" i="15"/>
  <c r="AK307" i="15"/>
  <c r="C308" i="15"/>
  <c r="AG308" i="15"/>
  <c r="AH308" i="15"/>
  <c r="AI308" i="15"/>
  <c r="AJ308" i="15"/>
  <c r="AK308" i="15"/>
  <c r="C309" i="15"/>
  <c r="F309" i="15"/>
  <c r="H309" i="15"/>
  <c r="AJ309" i="15"/>
  <c r="AK309" i="15"/>
  <c r="C310" i="15"/>
  <c r="O310" i="15"/>
  <c r="P310" i="15"/>
  <c r="Q310" i="15"/>
  <c r="R310" i="15"/>
  <c r="H310" i="15" s="1"/>
  <c r="F310" i="15" s="1"/>
  <c r="S310" i="15"/>
  <c r="T310" i="15"/>
  <c r="U310" i="15"/>
  <c r="V310" i="15"/>
  <c r="W310" i="15"/>
  <c r="D311" i="15"/>
  <c r="G311" i="15"/>
  <c r="M311" i="15"/>
  <c r="Q311" i="15"/>
  <c r="X311" i="15"/>
  <c r="Y311" i="15"/>
  <c r="C314" i="15"/>
  <c r="K314" i="15"/>
  <c r="L314" i="15"/>
  <c r="M314" i="15"/>
  <c r="C315" i="15"/>
  <c r="D315" i="15"/>
  <c r="G315" i="15"/>
  <c r="N315" i="15"/>
  <c r="R315" i="15"/>
  <c r="V315" i="15"/>
  <c r="C316" i="15"/>
  <c r="K316" i="15"/>
  <c r="L316" i="15"/>
  <c r="M316" i="15"/>
  <c r="N316" i="15"/>
  <c r="O316" i="15"/>
  <c r="P316" i="15"/>
  <c r="C317" i="15"/>
  <c r="K317" i="15"/>
  <c r="L317" i="15"/>
  <c r="M317" i="15"/>
  <c r="N317" i="15"/>
  <c r="H317" i="15" s="1"/>
  <c r="F317" i="15" s="1"/>
  <c r="O317" i="15"/>
  <c r="P317" i="15"/>
  <c r="Q317" i="15"/>
  <c r="R317" i="15"/>
  <c r="S317" i="15"/>
  <c r="T317" i="15"/>
  <c r="U317" i="15"/>
  <c r="V317" i="15"/>
  <c r="W317" i="15"/>
  <c r="C318" i="15"/>
  <c r="L318" i="15"/>
  <c r="M318" i="15"/>
  <c r="H318" i="15" s="1"/>
  <c r="F318" i="15" s="1"/>
  <c r="N318" i="15"/>
  <c r="O318" i="15"/>
  <c r="P318" i="15"/>
  <c r="Q318" i="15"/>
  <c r="R318" i="15"/>
  <c r="S318" i="15"/>
  <c r="T318" i="15"/>
  <c r="U318" i="15"/>
  <c r="V318" i="15"/>
  <c r="W318" i="15"/>
  <c r="Z318" i="15"/>
  <c r="C319" i="15"/>
  <c r="M319" i="15"/>
  <c r="N319" i="15"/>
  <c r="O319" i="15"/>
  <c r="P319" i="15"/>
  <c r="H319" i="15" s="1"/>
  <c r="F319" i="15" s="1"/>
  <c r="Q319" i="15"/>
  <c r="R319" i="15"/>
  <c r="S319" i="15"/>
  <c r="T319" i="15"/>
  <c r="U319" i="15"/>
  <c r="V319" i="15"/>
  <c r="W319" i="15"/>
  <c r="Z319" i="15"/>
  <c r="C320" i="15"/>
  <c r="N320" i="15"/>
  <c r="O320" i="15"/>
  <c r="P320" i="15"/>
  <c r="Q320" i="15"/>
  <c r="R320" i="15"/>
  <c r="S320" i="15"/>
  <c r="T320" i="15"/>
  <c r="U320" i="15"/>
  <c r="V320" i="15"/>
  <c r="W320" i="15"/>
  <c r="Z320" i="15"/>
  <c r="AA320" i="15"/>
  <c r="C321" i="15"/>
  <c r="W321" i="15"/>
  <c r="Z321" i="15"/>
  <c r="AA321" i="15"/>
  <c r="AB321" i="15"/>
  <c r="AB334" i="15" s="1"/>
  <c r="AC321" i="15"/>
  <c r="AD321" i="15"/>
  <c r="AE321" i="15"/>
  <c r="C322" i="15"/>
  <c r="AA322" i="15"/>
  <c r="AB322" i="15"/>
  <c r="H322" i="15" s="1"/>
  <c r="F322" i="15" s="1"/>
  <c r="AC322" i="15"/>
  <c r="AD322" i="15"/>
  <c r="AE322" i="15"/>
  <c r="AF322" i="15"/>
  <c r="AG322" i="15"/>
  <c r="AH322" i="15"/>
  <c r="AI322" i="15"/>
  <c r="AJ322" i="15"/>
  <c r="AK322" i="15"/>
  <c r="C323" i="15"/>
  <c r="AB323" i="15"/>
  <c r="AC323" i="15"/>
  <c r="H323" i="15" s="1"/>
  <c r="F323" i="15" s="1"/>
  <c r="AD323" i="15"/>
  <c r="AE323" i="15"/>
  <c r="AF323" i="15"/>
  <c r="AG323" i="15"/>
  <c r="AH323" i="15"/>
  <c r="AI323" i="15"/>
  <c r="AJ323" i="15"/>
  <c r="AK323" i="15"/>
  <c r="C324" i="15"/>
  <c r="D324" i="15"/>
  <c r="AD324" i="15"/>
  <c r="AH324" i="15"/>
  <c r="C325" i="15"/>
  <c r="AD325" i="15"/>
  <c r="AE325" i="15"/>
  <c r="H325" i="15" s="1"/>
  <c r="F325" i="15" s="1"/>
  <c r="AF325" i="15"/>
  <c r="AG325" i="15"/>
  <c r="AH325" i="15"/>
  <c r="AI325" i="15"/>
  <c r="AJ325" i="15"/>
  <c r="AK325" i="15"/>
  <c r="C326" i="15"/>
  <c r="AE326" i="15"/>
  <c r="AF326" i="15"/>
  <c r="AG326" i="15"/>
  <c r="AH326" i="15"/>
  <c r="AI326" i="15"/>
  <c r="AJ326" i="15"/>
  <c r="AK326" i="15"/>
  <c r="C327" i="15"/>
  <c r="AF327" i="15"/>
  <c r="AG327" i="15"/>
  <c r="AH327" i="15"/>
  <c r="AI327" i="15"/>
  <c r="AJ327" i="15"/>
  <c r="AK327" i="15"/>
  <c r="C328" i="15"/>
  <c r="AH328" i="15"/>
  <c r="AI328" i="15"/>
  <c r="H328" i="15" s="1"/>
  <c r="F328" i="15" s="1"/>
  <c r="AJ328" i="15"/>
  <c r="AK328" i="15"/>
  <c r="C329" i="15"/>
  <c r="F329" i="15"/>
  <c r="AI329" i="15"/>
  <c r="H329" i="15" s="1"/>
  <c r="AJ329" i="15"/>
  <c r="AK329" i="15"/>
  <c r="C330" i="15"/>
  <c r="F330" i="15"/>
  <c r="H330" i="15"/>
  <c r="AJ330" i="15"/>
  <c r="AK330" i="15"/>
  <c r="C331" i="15"/>
  <c r="O331" i="15"/>
  <c r="P331" i="15"/>
  <c r="H331" i="15" s="1"/>
  <c r="F331" i="15" s="1"/>
  <c r="Q331" i="15"/>
  <c r="R331" i="15"/>
  <c r="S331" i="15"/>
  <c r="T331" i="15"/>
  <c r="U331" i="15"/>
  <c r="V331" i="15"/>
  <c r="W331" i="15"/>
  <c r="Z331" i="15"/>
  <c r="C332" i="15"/>
  <c r="P332" i="15"/>
  <c r="Q332" i="15"/>
  <c r="R332" i="15"/>
  <c r="S332" i="15"/>
  <c r="T332" i="15"/>
  <c r="U332" i="15"/>
  <c r="V332" i="15"/>
  <c r="W332" i="15"/>
  <c r="Z332" i="15"/>
  <c r="AA332" i="15"/>
  <c r="C333" i="15"/>
  <c r="Q333" i="15"/>
  <c r="R333" i="15"/>
  <c r="H333" i="15" s="1"/>
  <c r="F333" i="15" s="1"/>
  <c r="S333" i="15"/>
  <c r="T333" i="15"/>
  <c r="U333" i="15"/>
  <c r="V333" i="15"/>
  <c r="W333" i="15"/>
  <c r="Y333" i="15"/>
  <c r="Y334" i="15" s="1"/>
  <c r="Z333" i="15"/>
  <c r="AA333" i="15"/>
  <c r="AA334" i="15" s="1"/>
  <c r="G334" i="15"/>
  <c r="M334" i="15"/>
  <c r="W334" i="15"/>
  <c r="X334" i="15"/>
  <c r="C338" i="15"/>
  <c r="AF338" i="15"/>
  <c r="AG338" i="15"/>
  <c r="AH338" i="15"/>
  <c r="AH339" i="15" s="1"/>
  <c r="D339" i="15"/>
  <c r="G339" i="15"/>
  <c r="I339" i="15"/>
  <c r="J339" i="15"/>
  <c r="K339" i="15"/>
  <c r="L339" i="15"/>
  <c r="M339" i="15"/>
  <c r="N339" i="15"/>
  <c r="O339" i="15"/>
  <c r="P339" i="15"/>
  <c r="Q339" i="15"/>
  <c r="R339" i="15"/>
  <c r="S339" i="15"/>
  <c r="T339" i="15"/>
  <c r="U339" i="15"/>
  <c r="AG339" i="15"/>
  <c r="AI339" i="15"/>
  <c r="AJ339" i="15"/>
  <c r="AK339" i="15"/>
  <c r="C342" i="15"/>
  <c r="F342" i="15"/>
  <c r="H342" i="15"/>
  <c r="F343" i="15"/>
  <c r="H343" i="15"/>
  <c r="F344" i="15"/>
  <c r="H344" i="15"/>
  <c r="F345" i="15"/>
  <c r="H345" i="15"/>
  <c r="F346" i="15"/>
  <c r="H346" i="15"/>
  <c r="F347" i="15"/>
  <c r="H347" i="15"/>
  <c r="C348" i="15"/>
  <c r="K348" i="15"/>
  <c r="L348" i="15"/>
  <c r="M348" i="15"/>
  <c r="N348" i="15"/>
  <c r="H348" i="15" s="1"/>
  <c r="F348" i="15" s="1"/>
  <c r="O348" i="15"/>
  <c r="P348" i="15"/>
  <c r="Q348" i="15"/>
  <c r="R348" i="15"/>
  <c r="S348" i="15"/>
  <c r="T348" i="15"/>
  <c r="U348" i="15"/>
  <c r="V348" i="15"/>
  <c r="W348" i="15"/>
  <c r="Z348" i="15"/>
  <c r="AA348" i="15"/>
  <c r="C349" i="15"/>
  <c r="K349" i="15"/>
  <c r="L349" i="15"/>
  <c r="M349" i="15"/>
  <c r="N349" i="15"/>
  <c r="O349" i="15"/>
  <c r="P349" i="15"/>
  <c r="Q349" i="15"/>
  <c r="R349" i="15"/>
  <c r="S349" i="15"/>
  <c r="T349" i="15"/>
  <c r="U349" i="15"/>
  <c r="V349" i="15"/>
  <c r="W349" i="15"/>
  <c r="Z349" i="15"/>
  <c r="AA349" i="15"/>
  <c r="AB349" i="15"/>
  <c r="AC349" i="15"/>
  <c r="C350" i="15"/>
  <c r="K350" i="15"/>
  <c r="L350" i="15"/>
  <c r="M350" i="15"/>
  <c r="N350" i="15"/>
  <c r="H350" i="15" s="1"/>
  <c r="F350" i="15" s="1"/>
  <c r="O350" i="15"/>
  <c r="P350" i="15"/>
  <c r="Q350" i="15"/>
  <c r="R350" i="15"/>
  <c r="S350" i="15"/>
  <c r="T350" i="15"/>
  <c r="U350" i="15"/>
  <c r="V350" i="15"/>
  <c r="W350" i="15"/>
  <c r="Z350" i="15"/>
  <c r="AA350" i="15"/>
  <c r="AB350" i="15"/>
  <c r="AC350" i="15"/>
  <c r="AD350" i="15"/>
  <c r="C351" i="15"/>
  <c r="K351" i="15"/>
  <c r="L351" i="15"/>
  <c r="M351" i="15"/>
  <c r="M408" i="15" s="1"/>
  <c r="N351" i="15"/>
  <c r="O351" i="15"/>
  <c r="O408" i="15" s="1"/>
  <c r="P351" i="15"/>
  <c r="Q351" i="15"/>
  <c r="R351" i="15"/>
  <c r="S351" i="15"/>
  <c r="T351" i="15"/>
  <c r="U351" i="15"/>
  <c r="V351" i="15"/>
  <c r="W351" i="15"/>
  <c r="Z351" i="15"/>
  <c r="AA351" i="15"/>
  <c r="AB351" i="15"/>
  <c r="AC351" i="15"/>
  <c r="AD351" i="15"/>
  <c r="C352" i="15"/>
  <c r="L352" i="15"/>
  <c r="M352" i="15"/>
  <c r="N352" i="15"/>
  <c r="O352" i="15"/>
  <c r="H352" i="15" s="1"/>
  <c r="F352" i="15" s="1"/>
  <c r="P352" i="15"/>
  <c r="Q352" i="15"/>
  <c r="R352" i="15"/>
  <c r="S352" i="15"/>
  <c r="T352" i="15"/>
  <c r="U352" i="15"/>
  <c r="V352" i="15"/>
  <c r="W352" i="15"/>
  <c r="Z352" i="15"/>
  <c r="AA352" i="15"/>
  <c r="AB352" i="15"/>
  <c r="AC352" i="15"/>
  <c r="AD352" i="15"/>
  <c r="AE352" i="15"/>
  <c r="C353" i="15"/>
  <c r="M353" i="15"/>
  <c r="N353" i="15"/>
  <c r="O353" i="15"/>
  <c r="P353" i="15"/>
  <c r="Q353" i="15"/>
  <c r="R353" i="15"/>
  <c r="S353" i="15"/>
  <c r="T353" i="15"/>
  <c r="U353" i="15"/>
  <c r="V353" i="15"/>
  <c r="W353" i="15"/>
  <c r="Z353" i="15"/>
  <c r="AA353" i="15"/>
  <c r="AB353" i="15"/>
  <c r="AC353" i="15"/>
  <c r="AD353" i="15"/>
  <c r="AE353" i="15"/>
  <c r="AF353" i="15"/>
  <c r="C354" i="15"/>
  <c r="N354" i="15"/>
  <c r="O354" i="15"/>
  <c r="P354" i="15"/>
  <c r="Q354" i="15"/>
  <c r="H354" i="15" s="1"/>
  <c r="F354" i="15" s="1"/>
  <c r="R354" i="15"/>
  <c r="S354" i="15"/>
  <c r="T354" i="15"/>
  <c r="U354" i="15"/>
  <c r="V354" i="15"/>
  <c r="W354" i="15"/>
  <c r="Z354" i="15"/>
  <c r="AA354" i="15"/>
  <c r="AB354" i="15"/>
  <c r="AC354" i="15"/>
  <c r="AD354" i="15"/>
  <c r="AE354" i="15"/>
  <c r="AF354" i="15"/>
  <c r="C355" i="15"/>
  <c r="O355" i="15"/>
  <c r="P355" i="15"/>
  <c r="H355" i="15" s="1"/>
  <c r="F355" i="15" s="1"/>
  <c r="Q355" i="15"/>
  <c r="R355" i="15"/>
  <c r="S355" i="15"/>
  <c r="T355" i="15"/>
  <c r="U355" i="15"/>
  <c r="V355" i="15"/>
  <c r="W355" i="15"/>
  <c r="Z355" i="15"/>
  <c r="AA355" i="15"/>
  <c r="AB355" i="15"/>
  <c r="AC355" i="15"/>
  <c r="AD355" i="15"/>
  <c r="AE355" i="15"/>
  <c r="AF355" i="15"/>
  <c r="AG355" i="15"/>
  <c r="AH355" i="15"/>
  <c r="C356" i="15"/>
  <c r="D356" i="15"/>
  <c r="R356" i="15"/>
  <c r="V356" i="15"/>
  <c r="AB356" i="15"/>
  <c r="AF356" i="15"/>
  <c r="C357" i="15"/>
  <c r="Q357" i="15"/>
  <c r="R357" i="15"/>
  <c r="S357" i="15"/>
  <c r="T357" i="15"/>
  <c r="H357" i="15" s="1"/>
  <c r="F357" i="15" s="1"/>
  <c r="U357" i="15"/>
  <c r="V357" i="15"/>
  <c r="W357" i="15"/>
  <c r="Z357" i="15"/>
  <c r="AA357" i="15"/>
  <c r="AB357" i="15"/>
  <c r="AC357" i="15"/>
  <c r="AD357" i="15"/>
  <c r="AE357" i="15"/>
  <c r="AF357" i="15"/>
  <c r="AG357" i="15"/>
  <c r="AH357" i="15"/>
  <c r="AI357" i="15"/>
  <c r="C358" i="15"/>
  <c r="R358" i="15"/>
  <c r="S358" i="15"/>
  <c r="T358" i="15"/>
  <c r="U358" i="15"/>
  <c r="H358" i="15" s="1"/>
  <c r="F358" i="15" s="1"/>
  <c r="V358" i="15"/>
  <c r="W358" i="15"/>
  <c r="Z358" i="15"/>
  <c r="AA358" i="15"/>
  <c r="AB358" i="15"/>
  <c r="AC358" i="15"/>
  <c r="AD358" i="15"/>
  <c r="AE358" i="15"/>
  <c r="AF358" i="15"/>
  <c r="AG358" i="15"/>
  <c r="AH358" i="15"/>
  <c r="AI358" i="15"/>
  <c r="AI408" i="15" s="1"/>
  <c r="AJ358" i="15"/>
  <c r="C359" i="15"/>
  <c r="S359" i="15"/>
  <c r="T359" i="15"/>
  <c r="U359" i="15"/>
  <c r="V359" i="15"/>
  <c r="H359" i="15" s="1"/>
  <c r="F359" i="15" s="1"/>
  <c r="W359" i="15"/>
  <c r="Z359" i="15"/>
  <c r="AA359" i="15"/>
  <c r="AB359" i="15"/>
  <c r="AC359" i="15"/>
  <c r="AD359" i="15"/>
  <c r="AE359" i="15"/>
  <c r="AF359" i="15"/>
  <c r="AG359" i="15"/>
  <c r="AH359" i="15"/>
  <c r="AI359" i="15"/>
  <c r="AJ359" i="15"/>
  <c r="AK359" i="15"/>
  <c r="C360" i="15"/>
  <c r="T360" i="15"/>
  <c r="U360" i="15"/>
  <c r="V360" i="15"/>
  <c r="W360" i="15"/>
  <c r="H360" i="15" s="1"/>
  <c r="F360" i="15" s="1"/>
  <c r="Z360" i="15"/>
  <c r="AA360" i="15"/>
  <c r="AB360" i="15"/>
  <c r="AC360" i="15"/>
  <c r="AD360" i="15"/>
  <c r="AE360" i="15"/>
  <c r="AF360" i="15"/>
  <c r="AG360" i="15"/>
  <c r="AH360" i="15"/>
  <c r="AI360" i="15"/>
  <c r="AJ360" i="15"/>
  <c r="AK360" i="15"/>
  <c r="C361" i="15"/>
  <c r="U361" i="15"/>
  <c r="V361" i="15"/>
  <c r="H361" i="15" s="1"/>
  <c r="F361" i="15" s="1"/>
  <c r="W361" i="15"/>
  <c r="Z361" i="15"/>
  <c r="AA361" i="15"/>
  <c r="AB361" i="15"/>
  <c r="AC361" i="15"/>
  <c r="AD361" i="15"/>
  <c r="AE361" i="15"/>
  <c r="AF361" i="15"/>
  <c r="AG361" i="15"/>
  <c r="AH361" i="15"/>
  <c r="AI361" i="15"/>
  <c r="AJ361" i="15"/>
  <c r="AK361" i="15"/>
  <c r="C362" i="15"/>
  <c r="V362" i="15"/>
  <c r="W362" i="15"/>
  <c r="Z362" i="15"/>
  <c r="AA362" i="15"/>
  <c r="H362" i="15" s="1"/>
  <c r="F362" i="15" s="1"/>
  <c r="AB362" i="15"/>
  <c r="AC362" i="15"/>
  <c r="AD362" i="15"/>
  <c r="AE362" i="15"/>
  <c r="AF362" i="15"/>
  <c r="AG362" i="15"/>
  <c r="AH362" i="15"/>
  <c r="AI362" i="15"/>
  <c r="AJ362" i="15"/>
  <c r="AK362" i="15"/>
  <c r="C363" i="15"/>
  <c r="W363" i="15"/>
  <c r="Z363" i="15"/>
  <c r="AA363" i="15"/>
  <c r="AB363" i="15"/>
  <c r="AC363" i="15"/>
  <c r="AD363" i="15"/>
  <c r="AE363" i="15"/>
  <c r="AF363" i="15"/>
  <c r="AG363" i="15"/>
  <c r="AH363" i="15"/>
  <c r="AI363" i="15"/>
  <c r="AJ363" i="15"/>
  <c r="AK363" i="15"/>
  <c r="C364" i="15"/>
  <c r="Z364" i="15"/>
  <c r="AA364" i="15"/>
  <c r="AB364" i="15"/>
  <c r="AC364" i="15"/>
  <c r="AD364" i="15"/>
  <c r="AE364" i="15"/>
  <c r="AF364" i="15"/>
  <c r="AG364" i="15"/>
  <c r="AH364" i="15"/>
  <c r="AI364" i="15"/>
  <c r="AJ364" i="15"/>
  <c r="AK364" i="15"/>
  <c r="C365" i="15"/>
  <c r="D365" i="15"/>
  <c r="Z365" i="15" s="1"/>
  <c r="AA365" i="15"/>
  <c r="AB365" i="15"/>
  <c r="AD365" i="15"/>
  <c r="AF365" i="15"/>
  <c r="AH365" i="15"/>
  <c r="AI365" i="15"/>
  <c r="C366" i="15"/>
  <c r="Z366" i="15"/>
  <c r="AA366" i="15"/>
  <c r="AB366" i="15"/>
  <c r="AC366" i="15"/>
  <c r="H366" i="15" s="1"/>
  <c r="F366" i="15" s="1"/>
  <c r="AD366" i="15"/>
  <c r="AE366" i="15"/>
  <c r="AF366" i="15"/>
  <c r="AG366" i="15"/>
  <c r="AH366" i="15"/>
  <c r="AI366" i="15"/>
  <c r="AJ366" i="15"/>
  <c r="AK366" i="15"/>
  <c r="C367" i="15"/>
  <c r="AA367" i="15"/>
  <c r="AB367" i="15"/>
  <c r="AC367" i="15"/>
  <c r="AD367" i="15"/>
  <c r="AE367" i="15"/>
  <c r="AF367" i="15"/>
  <c r="AG367" i="15"/>
  <c r="AH367" i="15"/>
  <c r="AI367" i="15"/>
  <c r="AJ367" i="15"/>
  <c r="AK367" i="15"/>
  <c r="C368" i="15"/>
  <c r="AB368" i="15"/>
  <c r="AC368" i="15"/>
  <c r="AD368" i="15"/>
  <c r="AE368" i="15"/>
  <c r="AF368" i="15"/>
  <c r="AG368" i="15"/>
  <c r="AH368" i="15"/>
  <c r="AI368" i="15"/>
  <c r="AJ368" i="15"/>
  <c r="AK368" i="15"/>
  <c r="C369" i="15"/>
  <c r="D369" i="15"/>
  <c r="AC369" i="15"/>
  <c r="AD369" i="15"/>
  <c r="AE369" i="15"/>
  <c r="AF369" i="15"/>
  <c r="H369" i="15" s="1"/>
  <c r="F369" i="15" s="1"/>
  <c r="AG369" i="15"/>
  <c r="AH369" i="15"/>
  <c r="AI369" i="15"/>
  <c r="AJ369" i="15"/>
  <c r="AK369" i="15"/>
  <c r="C370" i="15"/>
  <c r="AD370" i="15"/>
  <c r="AE370" i="15"/>
  <c r="AF370" i="15"/>
  <c r="AG370" i="15"/>
  <c r="H370" i="15" s="1"/>
  <c r="F370" i="15" s="1"/>
  <c r="AH370" i="15"/>
  <c r="AI370" i="15"/>
  <c r="AJ370" i="15"/>
  <c r="AK370" i="15"/>
  <c r="C371" i="15"/>
  <c r="AE371" i="15"/>
  <c r="AF371" i="15"/>
  <c r="H371" i="15" s="1"/>
  <c r="F371" i="15" s="1"/>
  <c r="AG371" i="15"/>
  <c r="AH371" i="15"/>
  <c r="AI371" i="15"/>
  <c r="AJ371" i="15"/>
  <c r="AK371" i="15"/>
  <c r="C372" i="15"/>
  <c r="AF372" i="15"/>
  <c r="AG372" i="15"/>
  <c r="H372" i="15" s="1"/>
  <c r="F372" i="15" s="1"/>
  <c r="AH372" i="15"/>
  <c r="AI372" i="15"/>
  <c r="AJ372" i="15"/>
  <c r="AK372" i="15"/>
  <c r="C373" i="15"/>
  <c r="AF373" i="15"/>
  <c r="AG373" i="15"/>
  <c r="AH373" i="15"/>
  <c r="AI373" i="15"/>
  <c r="AJ373" i="15"/>
  <c r="AK373" i="15"/>
  <c r="C374" i="15"/>
  <c r="AF374" i="15"/>
  <c r="AG374" i="15"/>
  <c r="H374" i="15" s="1"/>
  <c r="F374" i="15" s="1"/>
  <c r="AH374" i="15"/>
  <c r="AI374" i="15"/>
  <c r="AJ374" i="15"/>
  <c r="AK374" i="15"/>
  <c r="C375" i="15"/>
  <c r="F375" i="15"/>
  <c r="AG375" i="15"/>
  <c r="H375" i="15" s="1"/>
  <c r="AH375" i="15"/>
  <c r="AI375" i="15"/>
  <c r="AJ375" i="15"/>
  <c r="AK375" i="15"/>
  <c r="C376" i="15"/>
  <c r="AG376" i="15"/>
  <c r="AH376" i="15"/>
  <c r="AI376" i="15"/>
  <c r="AJ376" i="15"/>
  <c r="AK376" i="15"/>
  <c r="C377" i="15"/>
  <c r="AG377" i="15"/>
  <c r="AH377" i="15"/>
  <c r="AI377" i="15"/>
  <c r="AJ377" i="15"/>
  <c r="AK377" i="15"/>
  <c r="C378" i="15"/>
  <c r="AG378" i="15"/>
  <c r="H378" i="15" s="1"/>
  <c r="F378" i="15" s="1"/>
  <c r="AH378" i="15"/>
  <c r="AI378" i="15"/>
  <c r="AJ378" i="15"/>
  <c r="AK378" i="15"/>
  <c r="C379" i="15"/>
  <c r="F379" i="15"/>
  <c r="AG379" i="15"/>
  <c r="H379" i="15" s="1"/>
  <c r="AH379" i="15"/>
  <c r="AI379" i="15"/>
  <c r="AJ379" i="15"/>
  <c r="AK379" i="15"/>
  <c r="C380" i="15"/>
  <c r="AG380" i="15"/>
  <c r="AH380" i="15"/>
  <c r="AI380" i="15"/>
  <c r="AJ380" i="15"/>
  <c r="AK380" i="15"/>
  <c r="C381" i="15"/>
  <c r="AG381" i="15"/>
  <c r="AH381" i="15"/>
  <c r="AI381" i="15"/>
  <c r="AJ381" i="15"/>
  <c r="AK381" i="15"/>
  <c r="C382" i="15"/>
  <c r="AH382" i="15"/>
  <c r="H382" i="15" s="1"/>
  <c r="F382" i="15" s="1"/>
  <c r="AI382" i="15"/>
  <c r="AJ382" i="15"/>
  <c r="AK382" i="15"/>
  <c r="C383" i="15"/>
  <c r="AH383" i="15"/>
  <c r="H383" i="15" s="1"/>
  <c r="F383" i="15" s="1"/>
  <c r="AI383" i="15"/>
  <c r="AJ383" i="15"/>
  <c r="AK383" i="15"/>
  <c r="C384" i="15"/>
  <c r="AH384" i="15"/>
  <c r="H384" i="15" s="1"/>
  <c r="F384" i="15" s="1"/>
  <c r="AI384" i="15"/>
  <c r="AJ384" i="15"/>
  <c r="AK384" i="15"/>
  <c r="C385" i="15"/>
  <c r="H385" i="15"/>
  <c r="F385" i="15" s="1"/>
  <c r="AH385" i="15"/>
  <c r="AI385" i="15"/>
  <c r="AJ385" i="15"/>
  <c r="AK385" i="15"/>
  <c r="C386" i="15"/>
  <c r="AH386" i="15"/>
  <c r="H386" i="15" s="1"/>
  <c r="F386" i="15" s="1"/>
  <c r="AI386" i="15"/>
  <c r="AJ386" i="15"/>
  <c r="AK386" i="15"/>
  <c r="C387" i="15"/>
  <c r="AH387" i="15"/>
  <c r="H387" i="15" s="1"/>
  <c r="F387" i="15" s="1"/>
  <c r="AI387" i="15"/>
  <c r="AJ387" i="15"/>
  <c r="AK387" i="15"/>
  <c r="C388" i="15"/>
  <c r="AH388" i="15"/>
  <c r="H388" i="15" s="1"/>
  <c r="F388" i="15" s="1"/>
  <c r="AI388" i="15"/>
  <c r="AJ388" i="15"/>
  <c r="AK388" i="15"/>
  <c r="C389" i="15"/>
  <c r="AH389" i="15"/>
  <c r="AI389" i="15"/>
  <c r="H389" i="15" s="1"/>
  <c r="F389" i="15" s="1"/>
  <c r="AJ389" i="15"/>
  <c r="AK389" i="15"/>
  <c r="C390" i="15"/>
  <c r="AI390" i="15"/>
  <c r="H390" i="15" s="1"/>
  <c r="F390" i="15" s="1"/>
  <c r="AJ390" i="15"/>
  <c r="AK390" i="15"/>
  <c r="C391" i="15"/>
  <c r="F391" i="15"/>
  <c r="AI391" i="15"/>
  <c r="H391" i="15" s="1"/>
  <c r="AJ391" i="15"/>
  <c r="AK391" i="15"/>
  <c r="C392" i="15"/>
  <c r="H392" i="15"/>
  <c r="F392" i="15" s="1"/>
  <c r="AI392" i="15"/>
  <c r="AJ392" i="15"/>
  <c r="AK392" i="15"/>
  <c r="C393" i="15"/>
  <c r="AI393" i="15"/>
  <c r="H393" i="15" s="1"/>
  <c r="F393" i="15" s="1"/>
  <c r="AJ393" i="15"/>
  <c r="AK393" i="15"/>
  <c r="C394" i="15"/>
  <c r="F394" i="15"/>
  <c r="AI394" i="15"/>
  <c r="H394" i="15" s="1"/>
  <c r="AJ394" i="15"/>
  <c r="AK394" i="15"/>
  <c r="C395" i="15"/>
  <c r="F395" i="15"/>
  <c r="H395" i="15"/>
  <c r="AJ395" i="15"/>
  <c r="AK395" i="15"/>
  <c r="C396" i="15"/>
  <c r="H396" i="15"/>
  <c r="F396" i="15" s="1"/>
  <c r="AJ396" i="15"/>
  <c r="AK396" i="15"/>
  <c r="C397" i="15"/>
  <c r="H397" i="15"/>
  <c r="F397" i="15" s="1"/>
  <c r="AI397" i="15"/>
  <c r="AJ397" i="15"/>
  <c r="AK397" i="15"/>
  <c r="C398" i="15"/>
  <c r="K398" i="15"/>
  <c r="L398" i="15"/>
  <c r="H398" i="15" s="1"/>
  <c r="F398" i="15" s="1"/>
  <c r="M398" i="15"/>
  <c r="N398" i="15"/>
  <c r="O398" i="15"/>
  <c r="P398" i="15"/>
  <c r="Q398" i="15"/>
  <c r="R398" i="15"/>
  <c r="S398" i="15"/>
  <c r="T398" i="15"/>
  <c r="U398" i="15"/>
  <c r="V398" i="15"/>
  <c r="W398" i="15"/>
  <c r="Z398" i="15"/>
  <c r="AA398" i="15"/>
  <c r="AB398" i="15"/>
  <c r="AC398" i="15"/>
  <c r="AD398" i="15"/>
  <c r="AE398" i="15"/>
  <c r="AF398" i="15"/>
  <c r="AG398" i="15"/>
  <c r="C399" i="15"/>
  <c r="K399" i="15"/>
  <c r="L399" i="15"/>
  <c r="M399" i="15"/>
  <c r="N399" i="15"/>
  <c r="H399" i="15" s="1"/>
  <c r="F399" i="15" s="1"/>
  <c r="O399" i="15"/>
  <c r="P399" i="15"/>
  <c r="Q399" i="15"/>
  <c r="R399" i="15"/>
  <c r="S399" i="15"/>
  <c r="T399" i="15"/>
  <c r="U399" i="15"/>
  <c r="V399" i="15"/>
  <c r="W399" i="15"/>
  <c r="Z399" i="15"/>
  <c r="AA399" i="15"/>
  <c r="AB399" i="15"/>
  <c r="AC399" i="15"/>
  <c r="AD399" i="15"/>
  <c r="AE399" i="15"/>
  <c r="AF399" i="15"/>
  <c r="AG399" i="15"/>
  <c r="C400" i="15"/>
  <c r="K400" i="15"/>
  <c r="L400" i="15"/>
  <c r="M400" i="15"/>
  <c r="N400" i="15"/>
  <c r="H400" i="15" s="1"/>
  <c r="F400" i="15" s="1"/>
  <c r="O400" i="15"/>
  <c r="P400" i="15"/>
  <c r="Q400" i="15"/>
  <c r="R400" i="15"/>
  <c r="S400" i="15"/>
  <c r="T400" i="15"/>
  <c r="U400" i="15"/>
  <c r="V400" i="15"/>
  <c r="W400" i="15"/>
  <c r="Z400" i="15"/>
  <c r="AA400" i="15"/>
  <c r="AB400" i="15"/>
  <c r="AC400" i="15"/>
  <c r="AD400" i="15"/>
  <c r="AE400" i="15"/>
  <c r="AF400" i="15"/>
  <c r="AG400" i="15"/>
  <c r="AH400" i="15"/>
  <c r="C401" i="15"/>
  <c r="K401" i="15"/>
  <c r="L401" i="15"/>
  <c r="M401" i="15"/>
  <c r="N401" i="15"/>
  <c r="O401" i="15"/>
  <c r="P401" i="15"/>
  <c r="Q401" i="15"/>
  <c r="R401" i="15"/>
  <c r="S401" i="15"/>
  <c r="T401" i="15"/>
  <c r="U401" i="15"/>
  <c r="V401" i="15"/>
  <c r="W401" i="15"/>
  <c r="Z401" i="15"/>
  <c r="AA401" i="15"/>
  <c r="AB401" i="15"/>
  <c r="AC401" i="15"/>
  <c r="AD401" i="15"/>
  <c r="AE401" i="15"/>
  <c r="AF401" i="15"/>
  <c r="AG401" i="15"/>
  <c r="AH401" i="15"/>
  <c r="C402" i="15"/>
  <c r="K402" i="15"/>
  <c r="L402" i="15"/>
  <c r="M402" i="15"/>
  <c r="N402" i="15"/>
  <c r="H402" i="15" s="1"/>
  <c r="F402" i="15" s="1"/>
  <c r="O402" i="15"/>
  <c r="P402" i="15"/>
  <c r="Q402" i="15"/>
  <c r="R402" i="15"/>
  <c r="S402" i="15"/>
  <c r="T402" i="15"/>
  <c r="U402" i="15"/>
  <c r="V402" i="15"/>
  <c r="W402" i="15"/>
  <c r="X402" i="15"/>
  <c r="X408" i="15" s="1"/>
  <c r="C403" i="15"/>
  <c r="K403" i="15"/>
  <c r="L403" i="15"/>
  <c r="M403" i="15"/>
  <c r="N403" i="15"/>
  <c r="O403" i="15"/>
  <c r="P403" i="15"/>
  <c r="Q403" i="15"/>
  <c r="R403" i="15"/>
  <c r="S403" i="15"/>
  <c r="U403" i="15"/>
  <c r="V403" i="15"/>
  <c r="X403" i="15"/>
  <c r="C404" i="15"/>
  <c r="N404" i="15"/>
  <c r="O404" i="15"/>
  <c r="H404" i="15" s="1"/>
  <c r="F404" i="15" s="1"/>
  <c r="P404" i="15"/>
  <c r="Q404" i="15"/>
  <c r="C405" i="15"/>
  <c r="M405" i="15"/>
  <c r="N405" i="15"/>
  <c r="O405" i="15"/>
  <c r="P405" i="15"/>
  <c r="Q405" i="15"/>
  <c r="R405" i="15"/>
  <c r="S405" i="15"/>
  <c r="T405" i="15"/>
  <c r="U405" i="15"/>
  <c r="V405" i="15"/>
  <c r="W405" i="15"/>
  <c r="Z405" i="15"/>
  <c r="AA405" i="15"/>
  <c r="AB405" i="15"/>
  <c r="AC405" i="15"/>
  <c r="AD405" i="15"/>
  <c r="AE405" i="15"/>
  <c r="AF405" i="15"/>
  <c r="AG405" i="15"/>
  <c r="AH405" i="15"/>
  <c r="AI405" i="15"/>
  <c r="AJ405" i="15"/>
  <c r="AK405" i="15"/>
  <c r="C406" i="15"/>
  <c r="M406" i="15"/>
  <c r="N406" i="15"/>
  <c r="O406" i="15"/>
  <c r="P406" i="15"/>
  <c r="Q406" i="15"/>
  <c r="R406" i="15"/>
  <c r="S406" i="15"/>
  <c r="T406" i="15"/>
  <c r="U406" i="15"/>
  <c r="V406" i="15"/>
  <c r="W406" i="15"/>
  <c r="Z406" i="15"/>
  <c r="AA406" i="15"/>
  <c r="AB406" i="15"/>
  <c r="AC406" i="15"/>
  <c r="AD406" i="15"/>
  <c r="AE406" i="15"/>
  <c r="AF406" i="15"/>
  <c r="AG406" i="15"/>
  <c r="AH406" i="15"/>
  <c r="AI406" i="15"/>
  <c r="AJ406" i="15"/>
  <c r="AK406" i="15"/>
  <c r="C407" i="15"/>
  <c r="Q407" i="15"/>
  <c r="R407" i="15"/>
  <c r="S407" i="15"/>
  <c r="T407" i="15"/>
  <c r="U407" i="15"/>
  <c r="V407" i="15"/>
  <c r="W407" i="15"/>
  <c r="X407" i="15"/>
  <c r="Y407" i="15"/>
  <c r="Z407" i="15"/>
  <c r="AA407" i="15"/>
  <c r="AB407" i="15"/>
  <c r="AC407" i="15"/>
  <c r="AD407" i="15"/>
  <c r="AE407" i="15"/>
  <c r="AF407" i="15"/>
  <c r="AG407" i="15"/>
  <c r="AH407" i="15"/>
  <c r="AI407" i="15"/>
  <c r="AJ407" i="15"/>
  <c r="AK407" i="15"/>
  <c r="G408" i="15"/>
  <c r="Y408" i="15"/>
  <c r="K412" i="15"/>
  <c r="L412" i="15"/>
  <c r="M412" i="15"/>
  <c r="N412" i="15"/>
  <c r="H412" i="15" s="1"/>
  <c r="F412" i="15" s="1"/>
  <c r="O412" i="15"/>
  <c r="P412" i="15"/>
  <c r="Q412" i="15"/>
  <c r="R412" i="15"/>
  <c r="S412" i="15"/>
  <c r="T412" i="15"/>
  <c r="U412" i="15"/>
  <c r="V412" i="15"/>
  <c r="W412" i="15"/>
  <c r="X412" i="15"/>
  <c r="Y412" i="15"/>
  <c r="Z412" i="15"/>
  <c r="AA412" i="15"/>
  <c r="AB412" i="15"/>
  <c r="AC412" i="15"/>
  <c r="AD412" i="15"/>
  <c r="AE412" i="15"/>
  <c r="AF412" i="15"/>
  <c r="AG412" i="15"/>
  <c r="AH412" i="15"/>
  <c r="AI412" i="15"/>
  <c r="AJ412" i="15"/>
  <c r="AK412" i="15"/>
  <c r="D413" i="15"/>
  <c r="L413" i="15" s="1"/>
  <c r="L425" i="15" s="1"/>
  <c r="L441" i="15" s="1"/>
  <c r="N413" i="15"/>
  <c r="P413" i="15"/>
  <c r="R413" i="15"/>
  <c r="V413" i="15"/>
  <c r="X413" i="15"/>
  <c r="Z413" i="15"/>
  <c r="AD413" i="15"/>
  <c r="AF413" i="15"/>
  <c r="AH413" i="15"/>
  <c r="C414" i="15"/>
  <c r="V414" i="15"/>
  <c r="W414" i="15"/>
  <c r="Z414" i="15"/>
  <c r="AA414" i="15"/>
  <c r="H414" i="15" s="1"/>
  <c r="F414" i="15" s="1"/>
  <c r="AB414" i="15"/>
  <c r="AC414" i="15"/>
  <c r="AD414" i="15"/>
  <c r="C415" i="15"/>
  <c r="AA415" i="15"/>
  <c r="AB415" i="15"/>
  <c r="AC415" i="15"/>
  <c r="AD415" i="15"/>
  <c r="H415" i="15" s="1"/>
  <c r="F415" i="15" s="1"/>
  <c r="AE415" i="15"/>
  <c r="AF415" i="15"/>
  <c r="AG415" i="15"/>
  <c r="AH415" i="15"/>
  <c r="AI415" i="15"/>
  <c r="AJ415" i="15"/>
  <c r="H416" i="15"/>
  <c r="C417" i="15"/>
  <c r="Z417" i="15"/>
  <c r="AA417" i="15"/>
  <c r="H417" i="15" s="1"/>
  <c r="F417" i="15" s="1"/>
  <c r="AB417" i="15"/>
  <c r="AC417" i="15"/>
  <c r="AD417" i="15"/>
  <c r="AE417" i="15"/>
  <c r="AF417" i="15"/>
  <c r="AG417" i="15"/>
  <c r="AH417" i="15"/>
  <c r="AI417" i="15"/>
  <c r="AJ417" i="15"/>
  <c r="AK417" i="15"/>
  <c r="C418" i="15"/>
  <c r="D418" i="15"/>
  <c r="AA418" i="15" s="1"/>
  <c r="AC418" i="15"/>
  <c r="AE418" i="15"/>
  <c r="AG418" i="15"/>
  <c r="AK418" i="15"/>
  <c r="C419" i="15"/>
  <c r="Z419" i="15"/>
  <c r="AA419" i="15"/>
  <c r="AB419" i="15"/>
  <c r="AC419" i="15"/>
  <c r="AD419" i="15"/>
  <c r="AE419" i="15"/>
  <c r="AF419" i="15"/>
  <c r="AG419" i="15"/>
  <c r="AH419" i="15"/>
  <c r="AI419" i="15"/>
  <c r="AJ419" i="15"/>
  <c r="AK419" i="15"/>
  <c r="C420" i="15"/>
  <c r="Z420" i="15"/>
  <c r="AA420" i="15"/>
  <c r="H420" i="15" s="1"/>
  <c r="F420" i="15" s="1"/>
  <c r="AB420" i="15"/>
  <c r="AC420" i="15"/>
  <c r="AD420" i="15"/>
  <c r="AE420" i="15"/>
  <c r="AF420" i="15"/>
  <c r="AG420" i="15"/>
  <c r="AH420" i="15"/>
  <c r="AI420" i="15"/>
  <c r="C421" i="15"/>
  <c r="D421" i="15"/>
  <c r="AA421" i="15"/>
  <c r="AE421" i="15"/>
  <c r="AI421" i="15"/>
  <c r="Z422" i="15"/>
  <c r="AA422" i="15"/>
  <c r="H422" i="15" s="1"/>
  <c r="F422" i="15" s="1"/>
  <c r="AB422" i="15"/>
  <c r="AC422" i="15"/>
  <c r="AD422" i="15"/>
  <c r="AE422" i="15"/>
  <c r="AF422" i="15"/>
  <c r="AG422" i="15"/>
  <c r="AH422" i="15"/>
  <c r="AI422" i="15"/>
  <c r="AJ422" i="15"/>
  <c r="AK422" i="15"/>
  <c r="C423" i="15"/>
  <c r="F423" i="15"/>
  <c r="H423" i="15"/>
  <c r="AJ423" i="15"/>
  <c r="AK423" i="15"/>
  <c r="C424" i="15"/>
  <c r="M424" i="15"/>
  <c r="N424" i="15"/>
  <c r="H424" i="15" s="1"/>
  <c r="F424" i="15" s="1"/>
  <c r="O424" i="15"/>
  <c r="P424" i="15"/>
  <c r="Q424" i="15"/>
  <c r="R424" i="15"/>
  <c r="S424" i="15"/>
  <c r="T424" i="15"/>
  <c r="U424" i="15"/>
  <c r="V424" i="15"/>
  <c r="X424" i="15"/>
  <c r="G425" i="15"/>
  <c r="N425" i="15"/>
  <c r="P425" i="15"/>
  <c r="R425" i="15"/>
  <c r="V425" i="15"/>
  <c r="X425" i="15"/>
  <c r="X441" i="15" s="1"/>
  <c r="C428" i="15"/>
  <c r="K428" i="15"/>
  <c r="L428" i="15"/>
  <c r="L440" i="15" s="1"/>
  <c r="M428" i="15"/>
  <c r="N428" i="15"/>
  <c r="O428" i="15"/>
  <c r="P428" i="15"/>
  <c r="Q428" i="15"/>
  <c r="R428" i="15"/>
  <c r="S428" i="15"/>
  <c r="T428" i="15"/>
  <c r="U428" i="15"/>
  <c r="V428" i="15"/>
  <c r="W428" i="15"/>
  <c r="C429" i="15"/>
  <c r="M429" i="15"/>
  <c r="N429" i="15"/>
  <c r="H429" i="15" s="1"/>
  <c r="F429" i="15" s="1"/>
  <c r="O429" i="15"/>
  <c r="P429" i="15"/>
  <c r="Q429" i="15"/>
  <c r="R429" i="15"/>
  <c r="S429" i="15"/>
  <c r="T429" i="15"/>
  <c r="U429" i="15"/>
  <c r="V429" i="15"/>
  <c r="W429" i="15"/>
  <c r="Z429" i="15"/>
  <c r="AA429" i="15"/>
  <c r="AB429" i="15"/>
  <c r="AC429" i="15"/>
  <c r="AD429" i="15"/>
  <c r="AE429" i="15"/>
  <c r="AF429" i="15"/>
  <c r="AF440" i="15" s="1"/>
  <c r="C430" i="15"/>
  <c r="R430" i="15"/>
  <c r="S430" i="15"/>
  <c r="T430" i="15"/>
  <c r="U430" i="15"/>
  <c r="V430" i="15"/>
  <c r="W430" i="15"/>
  <c r="Z430" i="15"/>
  <c r="AA430" i="15"/>
  <c r="AB430" i="15"/>
  <c r="AC430" i="15"/>
  <c r="AD430" i="15"/>
  <c r="AE430" i="15"/>
  <c r="AF430" i="15"/>
  <c r="AG430" i="15"/>
  <c r="AH430" i="15"/>
  <c r="AI430" i="15"/>
  <c r="AJ430" i="15"/>
  <c r="AK430" i="15"/>
  <c r="C431" i="15"/>
  <c r="S431" i="15"/>
  <c r="T431" i="15"/>
  <c r="H431" i="15" s="1"/>
  <c r="F431" i="15" s="1"/>
  <c r="U431" i="15"/>
  <c r="V431" i="15"/>
  <c r="W431" i="15"/>
  <c r="Z431" i="15"/>
  <c r="AA431" i="15"/>
  <c r="AB431" i="15"/>
  <c r="AC431" i="15"/>
  <c r="AD431" i="15"/>
  <c r="AE431" i="15"/>
  <c r="AF431" i="15"/>
  <c r="AG431" i="15"/>
  <c r="AH431" i="15"/>
  <c r="AI431" i="15"/>
  <c r="AJ431" i="15"/>
  <c r="AK431" i="15"/>
  <c r="C432" i="15"/>
  <c r="T432" i="15"/>
  <c r="U432" i="15"/>
  <c r="H432" i="15" s="1"/>
  <c r="F432" i="15" s="1"/>
  <c r="V432" i="15"/>
  <c r="W432" i="15"/>
  <c r="Z432" i="15"/>
  <c r="AA432" i="15"/>
  <c r="AA440" i="15" s="1"/>
  <c r="AB432" i="15"/>
  <c r="C433" i="15"/>
  <c r="W433" i="15"/>
  <c r="Z433" i="15"/>
  <c r="H433" i="15" s="1"/>
  <c r="F433" i="15" s="1"/>
  <c r="AA433" i="15"/>
  <c r="AB433" i="15"/>
  <c r="AC433" i="15"/>
  <c r="AD433" i="15"/>
  <c r="AE433" i="15"/>
  <c r="C434" i="15"/>
  <c r="W434" i="15"/>
  <c r="Z434" i="15"/>
  <c r="AA434" i="15"/>
  <c r="AB434" i="15"/>
  <c r="H434" i="15" s="1"/>
  <c r="F434" i="15" s="1"/>
  <c r="AC434" i="15"/>
  <c r="AD434" i="15"/>
  <c r="AE434" i="15"/>
  <c r="C435" i="15"/>
  <c r="W435" i="15"/>
  <c r="Z435" i="15"/>
  <c r="AA435" i="15"/>
  <c r="AB435" i="15"/>
  <c r="H435" i="15" s="1"/>
  <c r="F435" i="15" s="1"/>
  <c r="AC435" i="15"/>
  <c r="AD435" i="15"/>
  <c r="AE435" i="15"/>
  <c r="C436" i="15"/>
  <c r="W436" i="15"/>
  <c r="Z436" i="15"/>
  <c r="H436" i="15" s="1"/>
  <c r="F436" i="15" s="1"/>
  <c r="AA436" i="15"/>
  <c r="AB436" i="15"/>
  <c r="AC436" i="15"/>
  <c r="AD436" i="15"/>
  <c r="AE436" i="15"/>
  <c r="C437" i="15"/>
  <c r="Z437" i="15"/>
  <c r="AA437" i="15"/>
  <c r="H437" i="15" s="1"/>
  <c r="F437" i="15" s="1"/>
  <c r="AB437" i="15"/>
  <c r="AC437" i="15"/>
  <c r="AD437" i="15"/>
  <c r="AE437" i="15"/>
  <c r="AE440" i="15" s="1"/>
  <c r="AF437" i="15"/>
  <c r="AG437" i="15"/>
  <c r="C438" i="15"/>
  <c r="Y438" i="15"/>
  <c r="Z438" i="15"/>
  <c r="AA438" i="15"/>
  <c r="AB438" i="15"/>
  <c r="AC438" i="15"/>
  <c r="AD438" i="15"/>
  <c r="AE438" i="15"/>
  <c r="AF438" i="15"/>
  <c r="AG438" i="15"/>
  <c r="AH438" i="15"/>
  <c r="AI438" i="15"/>
  <c r="AI440" i="15" s="1"/>
  <c r="AJ438" i="15"/>
  <c r="AK438" i="15"/>
  <c r="C439" i="15"/>
  <c r="Q439" i="15"/>
  <c r="R439" i="15"/>
  <c r="S439" i="15"/>
  <c r="T439" i="15"/>
  <c r="U439" i="15"/>
  <c r="D440" i="15"/>
  <c r="G440" i="15"/>
  <c r="K440" i="15"/>
  <c r="M440" i="15"/>
  <c r="O440" i="15"/>
  <c r="S440" i="15"/>
  <c r="W440" i="15"/>
  <c r="X440" i="15"/>
  <c r="Y440" i="15"/>
  <c r="AC440" i="15"/>
  <c r="AG440" i="15"/>
  <c r="AK440" i="15"/>
  <c r="K443" i="15"/>
  <c r="L443" i="15"/>
  <c r="M443" i="15"/>
  <c r="M447" i="15" s="1"/>
  <c r="N443" i="15"/>
  <c r="V443" i="15"/>
  <c r="V447" i="15" s="1"/>
  <c r="C444" i="15"/>
  <c r="K444" i="15"/>
  <c r="L444" i="15"/>
  <c r="M444" i="15"/>
  <c r="N444" i="15"/>
  <c r="C445" i="15"/>
  <c r="AB445" i="15"/>
  <c r="AC445" i="15"/>
  <c r="AC447" i="15" s="1"/>
  <c r="AD445" i="15"/>
  <c r="AE445" i="15"/>
  <c r="AE447" i="15" s="1"/>
  <c r="AF445" i="15"/>
  <c r="AG445" i="15"/>
  <c r="AG447" i="15" s="1"/>
  <c r="AH445" i="15"/>
  <c r="AI445" i="15"/>
  <c r="AI447" i="15" s="1"/>
  <c r="AJ445" i="15"/>
  <c r="AK445" i="15"/>
  <c r="AK447" i="15" s="1"/>
  <c r="C446" i="15"/>
  <c r="F446" i="15"/>
  <c r="H446" i="15"/>
  <c r="D447" i="15"/>
  <c r="G447" i="15"/>
  <c r="L447" i="15"/>
  <c r="N447" i="15"/>
  <c r="O447" i="15"/>
  <c r="P447" i="15"/>
  <c r="Q447" i="15"/>
  <c r="R447" i="15"/>
  <c r="S447" i="15"/>
  <c r="T447" i="15"/>
  <c r="U447" i="15"/>
  <c r="W447" i="15"/>
  <c r="X447" i="15"/>
  <c r="Y447" i="15"/>
  <c r="Z447" i="15"/>
  <c r="AA447" i="15"/>
  <c r="AB447" i="15"/>
  <c r="AD447" i="15"/>
  <c r="AF447" i="15"/>
  <c r="AH447" i="15"/>
  <c r="AJ447" i="15"/>
  <c r="K450" i="15"/>
  <c r="L450" i="15"/>
  <c r="M450" i="15"/>
  <c r="N450" i="15"/>
  <c r="H450" i="15" s="1"/>
  <c r="F450" i="15" s="1"/>
  <c r="F452" i="15" s="1"/>
  <c r="E452" i="15" s="1"/>
  <c r="C451" i="15"/>
  <c r="H451" i="15"/>
  <c r="F451" i="15" s="1"/>
  <c r="AI451" i="15"/>
  <c r="AJ451" i="15"/>
  <c r="AK451" i="15"/>
  <c r="D452" i="15"/>
  <c r="AI452" i="15"/>
  <c r="H452" i="15" s="1"/>
  <c r="AJ452" i="15"/>
  <c r="AK452" i="15"/>
  <c r="H455" i="15"/>
  <c r="F455" i="15" s="1"/>
  <c r="C456" i="15"/>
  <c r="F456" i="15"/>
  <c r="H456" i="15"/>
  <c r="C457" i="15"/>
  <c r="H457" i="15"/>
  <c r="F457" i="15" s="1"/>
  <c r="C458" i="15"/>
  <c r="Q458" i="15"/>
  <c r="Q462" i="15" s="1"/>
  <c r="R458" i="15"/>
  <c r="S458" i="15"/>
  <c r="S462" i="15" s="1"/>
  <c r="T458" i="15"/>
  <c r="U458" i="15"/>
  <c r="U462" i="15" s="1"/>
  <c r="V458" i="15"/>
  <c r="W458" i="15"/>
  <c r="C459" i="15"/>
  <c r="F459" i="15"/>
  <c r="H459" i="15"/>
  <c r="C460" i="15"/>
  <c r="H460" i="15"/>
  <c r="F460" i="15" s="1"/>
  <c r="AJ460" i="15"/>
  <c r="AK460" i="15"/>
  <c r="AK462" i="15" s="1"/>
  <c r="C461" i="15"/>
  <c r="Q461" i="15"/>
  <c r="R461" i="15"/>
  <c r="S461" i="15"/>
  <c r="T461" i="15"/>
  <c r="U461" i="15"/>
  <c r="V461" i="15"/>
  <c r="V462" i="15" s="1"/>
  <c r="W461" i="15"/>
  <c r="Z461" i="15"/>
  <c r="D462" i="15"/>
  <c r="G462" i="15"/>
  <c r="K462" i="15"/>
  <c r="L462" i="15"/>
  <c r="M462" i="15"/>
  <c r="N462" i="15"/>
  <c r="O462" i="15"/>
  <c r="P462" i="15"/>
  <c r="R462" i="15"/>
  <c r="T462" i="15"/>
  <c r="W462" i="15"/>
  <c r="X462" i="15"/>
  <c r="Y462" i="15"/>
  <c r="Z462" i="15"/>
  <c r="AA462" i="15"/>
  <c r="AB462" i="15"/>
  <c r="AC462" i="15"/>
  <c r="AD462" i="15"/>
  <c r="AE462" i="15"/>
  <c r="AF462" i="15"/>
  <c r="AG462" i="15"/>
  <c r="AH462" i="15"/>
  <c r="AI462" i="15"/>
  <c r="AJ462" i="15"/>
  <c r="C466" i="15"/>
  <c r="H466" i="15"/>
  <c r="F466" i="15" s="1"/>
  <c r="K466" i="15"/>
  <c r="L466" i="15"/>
  <c r="L487" i="15" s="1"/>
  <c r="C467" i="15"/>
  <c r="K467" i="15"/>
  <c r="L467" i="15"/>
  <c r="M467" i="15"/>
  <c r="N467" i="15"/>
  <c r="O467" i="15"/>
  <c r="P467" i="15"/>
  <c r="P487" i="15" s="1"/>
  <c r="Q467" i="15"/>
  <c r="R467" i="15"/>
  <c r="S467" i="15"/>
  <c r="U467" i="15"/>
  <c r="C468" i="15"/>
  <c r="K468" i="15"/>
  <c r="L468" i="15"/>
  <c r="M468" i="15"/>
  <c r="N468" i="15"/>
  <c r="H468" i="15" s="1"/>
  <c r="F468" i="15" s="1"/>
  <c r="O468" i="15"/>
  <c r="P468" i="15"/>
  <c r="Q468" i="15"/>
  <c r="R468" i="15"/>
  <c r="R487" i="15" s="1"/>
  <c r="S468" i="15"/>
  <c r="T468" i="15"/>
  <c r="T487" i="15" s="1"/>
  <c r="U468" i="15"/>
  <c r="C469" i="15"/>
  <c r="L469" i="15"/>
  <c r="M469" i="15"/>
  <c r="H469" i="15" s="1"/>
  <c r="F469" i="15" s="1"/>
  <c r="N469" i="15"/>
  <c r="O469" i="15"/>
  <c r="P469" i="15"/>
  <c r="Q469" i="15"/>
  <c r="R469" i="15"/>
  <c r="S469" i="15"/>
  <c r="T469" i="15"/>
  <c r="U469" i="15"/>
  <c r="V469" i="15"/>
  <c r="C470" i="15"/>
  <c r="L470" i="15"/>
  <c r="H470" i="15" s="1"/>
  <c r="F470" i="15" s="1"/>
  <c r="M470" i="15"/>
  <c r="N470" i="15"/>
  <c r="O470" i="15"/>
  <c r="P470" i="15"/>
  <c r="Q470" i="15"/>
  <c r="R470" i="15"/>
  <c r="S470" i="15"/>
  <c r="T470" i="15"/>
  <c r="U470" i="15"/>
  <c r="V470" i="15"/>
  <c r="C471" i="15"/>
  <c r="L471" i="15"/>
  <c r="M471" i="15"/>
  <c r="H471" i="15" s="1"/>
  <c r="F471" i="15" s="1"/>
  <c r="N471" i="15"/>
  <c r="O471" i="15"/>
  <c r="P471" i="15"/>
  <c r="Q471" i="15"/>
  <c r="R471" i="15"/>
  <c r="S471" i="15"/>
  <c r="T471" i="15"/>
  <c r="U471" i="15"/>
  <c r="V471" i="15"/>
  <c r="C472" i="15"/>
  <c r="L472" i="15"/>
  <c r="M472" i="15"/>
  <c r="H472" i="15" s="1"/>
  <c r="F472" i="15" s="1"/>
  <c r="N472" i="15"/>
  <c r="O472" i="15"/>
  <c r="P472" i="15"/>
  <c r="Q472" i="15"/>
  <c r="R472" i="15"/>
  <c r="S472" i="15"/>
  <c r="T472" i="15"/>
  <c r="U472" i="15"/>
  <c r="V472" i="15"/>
  <c r="C473" i="15"/>
  <c r="L473" i="15"/>
  <c r="M473" i="15"/>
  <c r="N473" i="15"/>
  <c r="O473" i="15"/>
  <c r="H473" i="15" s="1"/>
  <c r="F473" i="15" s="1"/>
  <c r="P473" i="15"/>
  <c r="Q473" i="15"/>
  <c r="R473" i="15"/>
  <c r="S473" i="15"/>
  <c r="T473" i="15"/>
  <c r="U473" i="15"/>
  <c r="V473" i="15"/>
  <c r="C474" i="15"/>
  <c r="N474" i="15"/>
  <c r="H474" i="15" s="1"/>
  <c r="F474" i="15" s="1"/>
  <c r="O474" i="15"/>
  <c r="P474" i="15"/>
  <c r="Q474" i="15"/>
  <c r="R474" i="15"/>
  <c r="S474" i="15"/>
  <c r="T474" i="15"/>
  <c r="U474" i="15"/>
  <c r="V474" i="15"/>
  <c r="C475" i="15"/>
  <c r="N475" i="15"/>
  <c r="O475" i="15"/>
  <c r="P475" i="15"/>
  <c r="Q475" i="15"/>
  <c r="H475" i="15" s="1"/>
  <c r="F475" i="15" s="1"/>
  <c r="R475" i="15"/>
  <c r="S475" i="15"/>
  <c r="T475" i="15"/>
  <c r="U475" i="15"/>
  <c r="V475" i="15"/>
  <c r="C476" i="15"/>
  <c r="O476" i="15"/>
  <c r="H476" i="15" s="1"/>
  <c r="F476" i="15" s="1"/>
  <c r="P476" i="15"/>
  <c r="Q476" i="15"/>
  <c r="R476" i="15"/>
  <c r="S476" i="15"/>
  <c r="T476" i="15"/>
  <c r="U476" i="15"/>
  <c r="V476" i="15"/>
  <c r="W476" i="15"/>
  <c r="C477" i="15"/>
  <c r="O477" i="15"/>
  <c r="P477" i="15"/>
  <c r="H477" i="15" s="1"/>
  <c r="F477" i="15" s="1"/>
  <c r="Q477" i="15"/>
  <c r="R477" i="15"/>
  <c r="S477" i="15"/>
  <c r="T477" i="15"/>
  <c r="U477" i="15"/>
  <c r="V477" i="15"/>
  <c r="W477" i="15"/>
  <c r="C478" i="15"/>
  <c r="R478" i="15"/>
  <c r="H478" i="15" s="1"/>
  <c r="F478" i="15" s="1"/>
  <c r="S478" i="15"/>
  <c r="T478" i="15"/>
  <c r="U478" i="15"/>
  <c r="V478" i="15"/>
  <c r="W478" i="15"/>
  <c r="Z478" i="15"/>
  <c r="AA478" i="15"/>
  <c r="C479" i="15"/>
  <c r="S479" i="15"/>
  <c r="T479" i="15"/>
  <c r="U479" i="15"/>
  <c r="V479" i="15"/>
  <c r="W479" i="15"/>
  <c r="Z479" i="15"/>
  <c r="AA479" i="15"/>
  <c r="C480" i="15"/>
  <c r="D480" i="15"/>
  <c r="S480" i="15" s="1"/>
  <c r="T480" i="15"/>
  <c r="Z480" i="15"/>
  <c r="Z487" i="15" s="1"/>
  <c r="C481" i="15"/>
  <c r="T481" i="15"/>
  <c r="H481" i="15" s="1"/>
  <c r="F481" i="15" s="1"/>
  <c r="U481" i="15"/>
  <c r="V481" i="15"/>
  <c r="W481" i="15"/>
  <c r="Z481" i="15"/>
  <c r="AA481" i="15"/>
  <c r="AB481" i="15"/>
  <c r="AC481" i="15"/>
  <c r="C482" i="15"/>
  <c r="U482" i="15"/>
  <c r="V482" i="15"/>
  <c r="W482" i="15"/>
  <c r="Z482" i="15"/>
  <c r="H482" i="15" s="1"/>
  <c r="F482" i="15" s="1"/>
  <c r="AA482" i="15"/>
  <c r="AB482" i="15"/>
  <c r="AC482" i="15"/>
  <c r="C483" i="15"/>
  <c r="V483" i="15"/>
  <c r="W483" i="15"/>
  <c r="H483" i="15" s="1"/>
  <c r="F483" i="15" s="1"/>
  <c r="Z483" i="15"/>
  <c r="AA483" i="15"/>
  <c r="AB483" i="15"/>
  <c r="AC483" i="15"/>
  <c r="AD483" i="15"/>
  <c r="C484" i="15"/>
  <c r="H484" i="15"/>
  <c r="F484" i="15" s="1"/>
  <c r="V484" i="15"/>
  <c r="W484" i="15"/>
  <c r="C485" i="15"/>
  <c r="P485" i="15"/>
  <c r="H485" i="15" s="1"/>
  <c r="F485" i="15" s="1"/>
  <c r="Q485" i="15"/>
  <c r="R485" i="15"/>
  <c r="S485" i="15"/>
  <c r="T485" i="15"/>
  <c r="U485" i="15"/>
  <c r="V485" i="15"/>
  <c r="W485" i="15"/>
  <c r="C486" i="15"/>
  <c r="P486" i="15"/>
  <c r="Q486" i="15"/>
  <c r="R486" i="15"/>
  <c r="S486" i="15"/>
  <c r="H486" i="15" s="1"/>
  <c r="F486" i="15" s="1"/>
  <c r="G487" i="15"/>
  <c r="K487" i="15"/>
  <c r="M487" i="15"/>
  <c r="Q487" i="15"/>
  <c r="X487" i="15"/>
  <c r="Y487" i="15"/>
  <c r="AC487" i="15"/>
  <c r="AD487" i="15"/>
  <c r="AE487" i="15"/>
  <c r="AF487" i="15"/>
  <c r="AG487" i="15"/>
  <c r="AH487" i="15"/>
  <c r="AI487" i="15"/>
  <c r="AJ487" i="15"/>
  <c r="AK487" i="15"/>
  <c r="C489" i="15"/>
  <c r="K489" i="15"/>
  <c r="H489" i="15" s="1"/>
  <c r="F489" i="15" s="1"/>
  <c r="L489" i="15"/>
  <c r="M489" i="15"/>
  <c r="N489" i="15"/>
  <c r="O489" i="15"/>
  <c r="P489" i="15"/>
  <c r="Q489" i="15"/>
  <c r="R489" i="15"/>
  <c r="S489" i="15"/>
  <c r="T489" i="15"/>
  <c r="U489" i="15"/>
  <c r="V489" i="15"/>
  <c r="W489" i="15"/>
  <c r="X489" i="15"/>
  <c r="Y489" i="15"/>
  <c r="Z489" i="15"/>
  <c r="AA489" i="15"/>
  <c r="AB489" i="15"/>
  <c r="AC489" i="15"/>
  <c r="AD489" i="15"/>
  <c r="AE489" i="15"/>
  <c r="AF489" i="15"/>
  <c r="AG489" i="15"/>
  <c r="AH489" i="15"/>
  <c r="AI489" i="15"/>
  <c r="AJ489" i="15"/>
  <c r="AK489" i="15"/>
  <c r="C490" i="15"/>
  <c r="D490" i="15"/>
  <c r="K490" i="15" s="1"/>
  <c r="L490" i="15"/>
  <c r="P490" i="15"/>
  <c r="T490" i="15"/>
  <c r="X490" i="15"/>
  <c r="AB490" i="15"/>
  <c r="AH490" i="15"/>
  <c r="AH491" i="15" s="1"/>
  <c r="H491" i="15" s="1"/>
  <c r="AF491" i="15"/>
  <c r="AG491" i="15"/>
  <c r="AI491" i="15"/>
  <c r="AJ491" i="15"/>
  <c r="AK491" i="15"/>
  <c r="C493" i="15"/>
  <c r="K493" i="15"/>
  <c r="H493" i="15" s="1"/>
  <c r="F493" i="15" s="1"/>
  <c r="L493" i="15"/>
  <c r="M493" i="15"/>
  <c r="N493" i="15"/>
  <c r="O493" i="15"/>
  <c r="P493" i="15"/>
  <c r="Q493" i="15"/>
  <c r="R493" i="15"/>
  <c r="S493" i="15"/>
  <c r="T493" i="15"/>
  <c r="U493" i="15"/>
  <c r="V493" i="15"/>
  <c r="W493" i="15"/>
  <c r="X493" i="15"/>
  <c r="Y493" i="15"/>
  <c r="Z493" i="15"/>
  <c r="AA493" i="15"/>
  <c r="AB493" i="15"/>
  <c r="AC493" i="15"/>
  <c r="AD493" i="15"/>
  <c r="AE493" i="15"/>
  <c r="AF493" i="15"/>
  <c r="AG493" i="15"/>
  <c r="AH493" i="15"/>
  <c r="AI493" i="15"/>
  <c r="AJ493" i="15"/>
  <c r="AK493" i="15"/>
  <c r="C494" i="15"/>
  <c r="K494" i="15"/>
  <c r="H494" i="15" s="1"/>
  <c r="F494" i="15" s="1"/>
  <c r="L494" i="15"/>
  <c r="M494" i="15"/>
  <c r="M500" i="15" s="1"/>
  <c r="N494" i="15"/>
  <c r="O494" i="15"/>
  <c r="O500" i="15" s="1"/>
  <c r="P494" i="15"/>
  <c r="Q494" i="15"/>
  <c r="Q500" i="15" s="1"/>
  <c r="R494" i="15"/>
  <c r="S494" i="15"/>
  <c r="S500" i="15" s="1"/>
  <c r="T494" i="15"/>
  <c r="U494" i="15"/>
  <c r="U500" i="15" s="1"/>
  <c r="V494" i="15"/>
  <c r="W494" i="15"/>
  <c r="W500" i="15" s="1"/>
  <c r="X494" i="15"/>
  <c r="Y494" i="15"/>
  <c r="Y500" i="15" s="1"/>
  <c r="Z494" i="15"/>
  <c r="AA494" i="15"/>
  <c r="AA500" i="15" s="1"/>
  <c r="AB494" i="15"/>
  <c r="AC494" i="15"/>
  <c r="AC500" i="15" s="1"/>
  <c r="AD494" i="15"/>
  <c r="AE494" i="15"/>
  <c r="AE500" i="15" s="1"/>
  <c r="AF494" i="15"/>
  <c r="AG494" i="15"/>
  <c r="AG500" i="15" s="1"/>
  <c r="AH494" i="15"/>
  <c r="AI494" i="15"/>
  <c r="AI500" i="15" s="1"/>
  <c r="AJ494" i="15"/>
  <c r="AK494" i="15"/>
  <c r="AK500" i="15" s="1"/>
  <c r="C495" i="15"/>
  <c r="K495" i="15"/>
  <c r="H495" i="15" s="1"/>
  <c r="F495" i="15" s="1"/>
  <c r="L495" i="15"/>
  <c r="M495" i="15"/>
  <c r="N495" i="15"/>
  <c r="O495" i="15"/>
  <c r="P495" i="15"/>
  <c r="Q495" i="15"/>
  <c r="R495" i="15"/>
  <c r="S495" i="15"/>
  <c r="T495" i="15"/>
  <c r="U495" i="15"/>
  <c r="V495" i="15"/>
  <c r="W495" i="15"/>
  <c r="Z495" i="15"/>
  <c r="AA495" i="15"/>
  <c r="AB495" i="15"/>
  <c r="AC495" i="15"/>
  <c r="AD495" i="15"/>
  <c r="C496" i="15"/>
  <c r="K496" i="15"/>
  <c r="L496" i="15"/>
  <c r="H496" i="15" s="1"/>
  <c r="F496" i="15" s="1"/>
  <c r="M496" i="15"/>
  <c r="N496" i="15"/>
  <c r="O496" i="15"/>
  <c r="P496" i="15"/>
  <c r="P500" i="15" s="1"/>
  <c r="Q496" i="15"/>
  <c r="R496" i="15"/>
  <c r="S496" i="15"/>
  <c r="T496" i="15"/>
  <c r="T500" i="15" s="1"/>
  <c r="U496" i="15"/>
  <c r="C497" i="15"/>
  <c r="K497" i="15"/>
  <c r="L497" i="15"/>
  <c r="M497" i="15"/>
  <c r="N497" i="15"/>
  <c r="H497" i="15" s="1"/>
  <c r="F497" i="15" s="1"/>
  <c r="O497" i="15"/>
  <c r="P497" i="15"/>
  <c r="Q497" i="15"/>
  <c r="R497" i="15"/>
  <c r="S497" i="15"/>
  <c r="T497" i="15"/>
  <c r="U497" i="15"/>
  <c r="V497" i="15"/>
  <c r="W497" i="15"/>
  <c r="C498" i="15"/>
  <c r="L498" i="15"/>
  <c r="M498" i="15"/>
  <c r="N498" i="15"/>
  <c r="O498" i="15"/>
  <c r="H498" i="15" s="1"/>
  <c r="F498" i="15" s="1"/>
  <c r="P498" i="15"/>
  <c r="Q498" i="15"/>
  <c r="R498" i="15"/>
  <c r="S498" i="15"/>
  <c r="T498" i="15"/>
  <c r="U498" i="15"/>
  <c r="V498" i="15"/>
  <c r="W498" i="15"/>
  <c r="C499" i="15"/>
  <c r="M499" i="15"/>
  <c r="H499" i="15" s="1"/>
  <c r="F499" i="15" s="1"/>
  <c r="N499" i="15"/>
  <c r="O499" i="15"/>
  <c r="P499" i="15"/>
  <c r="D500" i="15"/>
  <c r="G500" i="15"/>
  <c r="N500" i="15"/>
  <c r="R500" i="15"/>
  <c r="V500" i="15"/>
  <c r="X500" i="15"/>
  <c r="Z500" i="15"/>
  <c r="AB500" i="15"/>
  <c r="AD500" i="15"/>
  <c r="AF500" i="15"/>
  <c r="AH500" i="15"/>
  <c r="AJ500" i="15"/>
  <c r="C503" i="15"/>
  <c r="H503" i="15"/>
  <c r="K507" i="15"/>
  <c r="H507" i="15" s="1"/>
  <c r="F507" i="15" s="1"/>
  <c r="L507" i="15"/>
  <c r="M507" i="15"/>
  <c r="N507" i="15"/>
  <c r="N515" i="15" s="1"/>
  <c r="O507" i="15"/>
  <c r="O515" i="15" s="1"/>
  <c r="P507" i="15"/>
  <c r="Q507" i="15"/>
  <c r="R507" i="15"/>
  <c r="R515" i="15" s="1"/>
  <c r="S507" i="15"/>
  <c r="S515" i="15" s="1"/>
  <c r="T507" i="15"/>
  <c r="U507" i="15"/>
  <c r="V507" i="15"/>
  <c r="V515" i="15" s="1"/>
  <c r="W507" i="15"/>
  <c r="W515" i="15" s="1"/>
  <c r="C508" i="15"/>
  <c r="U508" i="15"/>
  <c r="H508" i="15" s="1"/>
  <c r="F508" i="15" s="1"/>
  <c r="V508" i="15"/>
  <c r="W508" i="15"/>
  <c r="Z508" i="15"/>
  <c r="Z515" i="15" s="1"/>
  <c r="AA508" i="15"/>
  <c r="AA515" i="15" s="1"/>
  <c r="AB508" i="15"/>
  <c r="AC508" i="15"/>
  <c r="AD508" i="15"/>
  <c r="AD515" i="15" s="1"/>
  <c r="AE508" i="15"/>
  <c r="AE515" i="15" s="1"/>
  <c r="AF508" i="15"/>
  <c r="C509" i="15"/>
  <c r="Z509" i="15"/>
  <c r="AA509" i="15"/>
  <c r="AB509" i="15"/>
  <c r="AC509" i="15"/>
  <c r="H509" i="15" s="1"/>
  <c r="F509" i="15" s="1"/>
  <c r="AD509" i="15"/>
  <c r="AE509" i="15"/>
  <c r="AF509" i="15"/>
  <c r="AG509" i="15"/>
  <c r="AH509" i="15"/>
  <c r="AI509" i="15"/>
  <c r="C510" i="15"/>
  <c r="AA510" i="15"/>
  <c r="H510" i="15" s="1"/>
  <c r="F510" i="15" s="1"/>
  <c r="AB510" i="15"/>
  <c r="AC510" i="15"/>
  <c r="AD510" i="15"/>
  <c r="AE510" i="15"/>
  <c r="AF510" i="15"/>
  <c r="AG510" i="15"/>
  <c r="AH510" i="15"/>
  <c r="AI510" i="15"/>
  <c r="AJ510" i="15"/>
  <c r="AK510" i="15"/>
  <c r="C511" i="15"/>
  <c r="K511" i="15"/>
  <c r="H511" i="15" s="1"/>
  <c r="F511" i="15" s="1"/>
  <c r="L511" i="15"/>
  <c r="M511" i="15"/>
  <c r="N511" i="15"/>
  <c r="C512" i="15"/>
  <c r="K512" i="15"/>
  <c r="H512" i="15" s="1"/>
  <c r="L512" i="15"/>
  <c r="M512" i="15"/>
  <c r="N512" i="15"/>
  <c r="O512" i="15"/>
  <c r="P512" i="15"/>
  <c r="Q512" i="15"/>
  <c r="R512" i="15"/>
  <c r="S512" i="15"/>
  <c r="T512" i="15"/>
  <c r="U512" i="15"/>
  <c r="V512" i="15"/>
  <c r="W512" i="15"/>
  <c r="C513" i="15"/>
  <c r="Q513" i="15"/>
  <c r="R513" i="15"/>
  <c r="S513" i="15"/>
  <c r="T513" i="15"/>
  <c r="U513" i="15"/>
  <c r="V513" i="15"/>
  <c r="W513" i="15"/>
  <c r="C514" i="15"/>
  <c r="U514" i="15"/>
  <c r="H514" i="15" s="1"/>
  <c r="F514" i="15" s="1"/>
  <c r="V514" i="15"/>
  <c r="AG514" i="15"/>
  <c r="D515" i="15"/>
  <c r="G515" i="15"/>
  <c r="L515" i="15"/>
  <c r="M515" i="15"/>
  <c r="P515" i="15"/>
  <c r="Q515" i="15"/>
  <c r="T515" i="15"/>
  <c r="U515" i="15"/>
  <c r="X515" i="15"/>
  <c r="Y515" i="15"/>
  <c r="AB515" i="15"/>
  <c r="AC515" i="15"/>
  <c r="AF515" i="15"/>
  <c r="AG515" i="15"/>
  <c r="AH515" i="15"/>
  <c r="AI515" i="15"/>
  <c r="AJ515" i="15"/>
  <c r="AK515" i="15"/>
  <c r="C518" i="15"/>
  <c r="K518" i="15"/>
  <c r="H518" i="15" s="1"/>
  <c r="F518" i="15" s="1"/>
  <c r="L518" i="15"/>
  <c r="M518" i="15"/>
  <c r="N518" i="15"/>
  <c r="O518" i="15"/>
  <c r="P518" i="15"/>
  <c r="Q518" i="15"/>
  <c r="R518" i="15"/>
  <c r="S518" i="15"/>
  <c r="T518" i="15"/>
  <c r="U518" i="15"/>
  <c r="V518" i="15"/>
  <c r="W518" i="15"/>
  <c r="Z518" i="15"/>
  <c r="AA518" i="15"/>
  <c r="AB518" i="15"/>
  <c r="AB528" i="15" s="1"/>
  <c r="AC518" i="15"/>
  <c r="AC528" i="15" s="1"/>
  <c r="C519" i="15"/>
  <c r="K519" i="15"/>
  <c r="H519" i="15" s="1"/>
  <c r="F519" i="15" s="1"/>
  <c r="L519" i="15"/>
  <c r="M519" i="15"/>
  <c r="N519" i="15"/>
  <c r="O519" i="15"/>
  <c r="P519" i="15"/>
  <c r="Q519" i="15"/>
  <c r="R519" i="15"/>
  <c r="S519" i="15"/>
  <c r="T519" i="15"/>
  <c r="U519" i="15"/>
  <c r="V519" i="15"/>
  <c r="W519" i="15"/>
  <c r="C520" i="15"/>
  <c r="S520" i="15"/>
  <c r="H520" i="15" s="1"/>
  <c r="F520" i="15" s="1"/>
  <c r="T520" i="15"/>
  <c r="U520" i="15"/>
  <c r="V520" i="15"/>
  <c r="W520" i="15"/>
  <c r="Z520" i="15"/>
  <c r="AA520" i="15"/>
  <c r="AB520" i="15"/>
  <c r="AC520" i="15"/>
  <c r="AD520" i="15"/>
  <c r="AE520" i="15"/>
  <c r="AF520" i="15"/>
  <c r="AG520" i="15"/>
  <c r="AH520" i="15"/>
  <c r="AI520" i="15"/>
  <c r="AJ520" i="15"/>
  <c r="AJ528" i="15" s="1"/>
  <c r="AK520" i="15"/>
  <c r="AK528" i="15" s="1"/>
  <c r="C521" i="15"/>
  <c r="T521" i="15"/>
  <c r="H521" i="15" s="1"/>
  <c r="F521" i="15" s="1"/>
  <c r="U521" i="15"/>
  <c r="V521" i="15"/>
  <c r="V528" i="15" s="1"/>
  <c r="W521" i="15"/>
  <c r="Z521" i="15"/>
  <c r="Z528" i="15" s="1"/>
  <c r="AA521" i="15"/>
  <c r="AB521" i="15"/>
  <c r="AC521" i="15"/>
  <c r="C522" i="15"/>
  <c r="V522" i="15"/>
  <c r="W522" i="15"/>
  <c r="H522" i="15" s="1"/>
  <c r="F522" i="15" s="1"/>
  <c r="Z522" i="15"/>
  <c r="AA522" i="15"/>
  <c r="AB522" i="15"/>
  <c r="AC522" i="15"/>
  <c r="AD522" i="15"/>
  <c r="C523" i="15"/>
  <c r="V523" i="15"/>
  <c r="W523" i="15"/>
  <c r="Z523" i="15"/>
  <c r="AA523" i="15"/>
  <c r="H523" i="15" s="1"/>
  <c r="F523" i="15" s="1"/>
  <c r="AB523" i="15"/>
  <c r="AC523" i="15"/>
  <c r="AD523" i="15"/>
  <c r="AE523" i="15"/>
  <c r="C524" i="15"/>
  <c r="Z524" i="15"/>
  <c r="H524" i="15" s="1"/>
  <c r="F524" i="15" s="1"/>
  <c r="AA524" i="15"/>
  <c r="AB524" i="15"/>
  <c r="AC524" i="15"/>
  <c r="AD524" i="15"/>
  <c r="AD528" i="15" s="1"/>
  <c r="AE524" i="15"/>
  <c r="AF524" i="15"/>
  <c r="AG524" i="15"/>
  <c r="AH524" i="15"/>
  <c r="AH528" i="15" s="1"/>
  <c r="AI524" i="15"/>
  <c r="AJ524" i="15"/>
  <c r="AK524" i="15"/>
  <c r="C525" i="15"/>
  <c r="Z525" i="15"/>
  <c r="AA525" i="15"/>
  <c r="H525" i="15" s="1"/>
  <c r="F525" i="15" s="1"/>
  <c r="AB525" i="15"/>
  <c r="AC525" i="15"/>
  <c r="AD525" i="15"/>
  <c r="AE525" i="15"/>
  <c r="AF525" i="15"/>
  <c r="AG525" i="15"/>
  <c r="AH525" i="15"/>
  <c r="AI525" i="15"/>
  <c r="AJ525" i="15"/>
  <c r="AK525" i="15"/>
  <c r="C526" i="15"/>
  <c r="D526" i="15"/>
  <c r="AC526" i="15" s="1"/>
  <c r="AD526" i="15"/>
  <c r="C527" i="15"/>
  <c r="N527" i="15"/>
  <c r="O527" i="15"/>
  <c r="H527" i="15" s="1"/>
  <c r="F527" i="15" s="1"/>
  <c r="P527" i="15"/>
  <c r="W527" i="15"/>
  <c r="G528" i="15"/>
  <c r="K528" i="15"/>
  <c r="L528" i="15"/>
  <c r="M528" i="15"/>
  <c r="N528" i="15"/>
  <c r="O528" i="15"/>
  <c r="P528" i="15"/>
  <c r="Q528" i="15"/>
  <c r="R528" i="15"/>
  <c r="S528" i="15"/>
  <c r="U528" i="15"/>
  <c r="W528" i="15"/>
  <c r="X528" i="15"/>
  <c r="Y528" i="15"/>
  <c r="AA528" i="15"/>
  <c r="AI528" i="15"/>
  <c r="L530" i="15"/>
  <c r="H530" i="15" s="1"/>
  <c r="M530" i="15"/>
  <c r="N530" i="15"/>
  <c r="N563" i="15" s="1"/>
  <c r="O530" i="15"/>
  <c r="P530" i="15"/>
  <c r="P563" i="15" s="1"/>
  <c r="Q530" i="15"/>
  <c r="R530" i="15"/>
  <c r="R563" i="15" s="1"/>
  <c r="S530" i="15"/>
  <c r="T530" i="15"/>
  <c r="T563" i="15" s="1"/>
  <c r="U530" i="15"/>
  <c r="V530" i="15"/>
  <c r="V563" i="15" s="1"/>
  <c r="W530" i="15"/>
  <c r="X530" i="15"/>
  <c r="X563" i="15" s="1"/>
  <c r="Y530" i="15"/>
  <c r="Z530" i="15"/>
  <c r="AA530" i="15"/>
  <c r="AB530" i="15"/>
  <c r="AC530" i="15"/>
  <c r="AD530" i="15"/>
  <c r="AE530" i="15"/>
  <c r="AF530" i="15"/>
  <c r="AG530" i="15"/>
  <c r="AH530" i="15"/>
  <c r="AH563" i="15" s="1"/>
  <c r="AI530" i="15"/>
  <c r="AJ530" i="15"/>
  <c r="AJ563" i="15" s="1"/>
  <c r="AK530" i="15"/>
  <c r="C531" i="15"/>
  <c r="K531" i="15"/>
  <c r="L531" i="15"/>
  <c r="M531" i="15"/>
  <c r="N531" i="15"/>
  <c r="H531" i="15" s="1"/>
  <c r="F531" i="15" s="1"/>
  <c r="O531" i="15"/>
  <c r="P531" i="15"/>
  <c r="Q531" i="15"/>
  <c r="R531" i="15"/>
  <c r="S531" i="15"/>
  <c r="T531" i="15"/>
  <c r="U531" i="15"/>
  <c r="V531" i="15"/>
  <c r="W531" i="15"/>
  <c r="X531" i="15"/>
  <c r="Y531" i="15"/>
  <c r="Z531" i="15"/>
  <c r="AA531" i="15"/>
  <c r="AB531" i="15"/>
  <c r="AC531" i="15"/>
  <c r="AD531" i="15"/>
  <c r="AE531" i="15"/>
  <c r="AF531" i="15"/>
  <c r="AG531" i="15"/>
  <c r="AH531" i="15"/>
  <c r="AI531" i="15"/>
  <c r="AJ531" i="15"/>
  <c r="AK531" i="15"/>
  <c r="C532" i="15"/>
  <c r="K532" i="15"/>
  <c r="L532" i="15"/>
  <c r="H532" i="15" s="1"/>
  <c r="F532" i="15" s="1"/>
  <c r="M532" i="15"/>
  <c r="N532" i="15"/>
  <c r="O532" i="15"/>
  <c r="P532" i="15"/>
  <c r="C533" i="15"/>
  <c r="K533" i="15"/>
  <c r="H533" i="15" s="1"/>
  <c r="F533" i="15" s="1"/>
  <c r="L533" i="15"/>
  <c r="M533" i="15"/>
  <c r="N533" i="15"/>
  <c r="O533" i="15"/>
  <c r="P533" i="15"/>
  <c r="Q533" i="15"/>
  <c r="R533" i="15"/>
  <c r="S533" i="15"/>
  <c r="U533" i="15"/>
  <c r="C534" i="15"/>
  <c r="K534" i="15"/>
  <c r="L534" i="15"/>
  <c r="M534" i="15"/>
  <c r="N534" i="15"/>
  <c r="H534" i="15" s="1"/>
  <c r="F534" i="15" s="1"/>
  <c r="O534" i="15"/>
  <c r="P534" i="15"/>
  <c r="Q534" i="15"/>
  <c r="R534" i="15"/>
  <c r="S534" i="15"/>
  <c r="T534" i="15"/>
  <c r="U534" i="15"/>
  <c r="C535" i="15"/>
  <c r="K535" i="15"/>
  <c r="L535" i="15"/>
  <c r="H535" i="15" s="1"/>
  <c r="F535" i="15" s="1"/>
  <c r="M535" i="15"/>
  <c r="N535" i="15"/>
  <c r="O535" i="15"/>
  <c r="P535" i="15"/>
  <c r="Q535" i="15"/>
  <c r="R535" i="15"/>
  <c r="S535" i="15"/>
  <c r="T535" i="15"/>
  <c r="U535" i="15"/>
  <c r="C536" i="15"/>
  <c r="K536" i="15"/>
  <c r="L536" i="15"/>
  <c r="M536" i="15"/>
  <c r="N536" i="15"/>
  <c r="H536" i="15" s="1"/>
  <c r="F536" i="15" s="1"/>
  <c r="O536" i="15"/>
  <c r="P536" i="15"/>
  <c r="Q536" i="15"/>
  <c r="R536" i="15"/>
  <c r="S536" i="15"/>
  <c r="T536" i="15"/>
  <c r="U536" i="15"/>
  <c r="C537" i="15"/>
  <c r="K537" i="15"/>
  <c r="L537" i="15"/>
  <c r="H537" i="15" s="1"/>
  <c r="F537" i="15" s="1"/>
  <c r="M537" i="15"/>
  <c r="N537" i="15"/>
  <c r="O537" i="15"/>
  <c r="P537" i="15"/>
  <c r="Q537" i="15"/>
  <c r="R537" i="15"/>
  <c r="S537" i="15"/>
  <c r="T537" i="15"/>
  <c r="U537" i="15"/>
  <c r="C538" i="15"/>
  <c r="K538" i="15"/>
  <c r="L538" i="15"/>
  <c r="M538" i="15"/>
  <c r="N538" i="15"/>
  <c r="O538" i="15"/>
  <c r="P538" i="15"/>
  <c r="Q538" i="15"/>
  <c r="R538" i="15"/>
  <c r="H538" i="15" s="1"/>
  <c r="F538" i="15" s="1"/>
  <c r="S538" i="15"/>
  <c r="T538" i="15"/>
  <c r="U538" i="15"/>
  <c r="C539" i="15"/>
  <c r="K539" i="15"/>
  <c r="L539" i="15"/>
  <c r="H539" i="15" s="1"/>
  <c r="F539" i="15" s="1"/>
  <c r="M539" i="15"/>
  <c r="N539" i="15"/>
  <c r="O539" i="15"/>
  <c r="P539" i="15"/>
  <c r="Q539" i="15"/>
  <c r="R539" i="15"/>
  <c r="S539" i="15"/>
  <c r="T539" i="15"/>
  <c r="U539" i="15"/>
  <c r="C540" i="15"/>
  <c r="L540" i="15"/>
  <c r="M540" i="15"/>
  <c r="N540" i="15"/>
  <c r="O540" i="15"/>
  <c r="H540" i="15" s="1"/>
  <c r="F540" i="15" s="1"/>
  <c r="P540" i="15"/>
  <c r="Q540" i="15"/>
  <c r="R540" i="15"/>
  <c r="S540" i="15"/>
  <c r="T540" i="15"/>
  <c r="U540" i="15"/>
  <c r="V540" i="15"/>
  <c r="C541" i="15"/>
  <c r="S541" i="15"/>
  <c r="T541" i="15"/>
  <c r="H541" i="15" s="1"/>
  <c r="F541" i="15" s="1"/>
  <c r="U541" i="15"/>
  <c r="V541" i="15"/>
  <c r="W541" i="15"/>
  <c r="Z541" i="15"/>
  <c r="AA541" i="15"/>
  <c r="C542" i="15"/>
  <c r="H542" i="15"/>
  <c r="F542" i="15" s="1"/>
  <c r="AB542" i="15"/>
  <c r="AC542" i="15"/>
  <c r="AD542" i="15"/>
  <c r="AE542" i="15"/>
  <c r="AF542" i="15"/>
  <c r="AG542" i="15"/>
  <c r="C543" i="15"/>
  <c r="AD543" i="15"/>
  <c r="H543" i="15" s="1"/>
  <c r="F543" i="15" s="1"/>
  <c r="AE543" i="15"/>
  <c r="AF543" i="15"/>
  <c r="AG543" i="15"/>
  <c r="AH543" i="15"/>
  <c r="AI543" i="15"/>
  <c r="AJ543" i="15"/>
  <c r="AK543" i="15"/>
  <c r="C544" i="15"/>
  <c r="H544" i="15"/>
  <c r="F544" i="15" s="1"/>
  <c r="AD544" i="15"/>
  <c r="AE544" i="15"/>
  <c r="AF544" i="15"/>
  <c r="AG544" i="15"/>
  <c r="AH544" i="15"/>
  <c r="C545" i="15"/>
  <c r="U545" i="15"/>
  <c r="V545" i="15"/>
  <c r="W545" i="15"/>
  <c r="Z545" i="15"/>
  <c r="H545" i="15" s="1"/>
  <c r="F545" i="15" s="1"/>
  <c r="AA545" i="15"/>
  <c r="AB545" i="15"/>
  <c r="AC545" i="15"/>
  <c r="AD545" i="15"/>
  <c r="C546" i="15"/>
  <c r="U546" i="15"/>
  <c r="H546" i="15" s="1"/>
  <c r="F546" i="15" s="1"/>
  <c r="V546" i="15"/>
  <c r="W546" i="15"/>
  <c r="Z546" i="15"/>
  <c r="AA546" i="15"/>
  <c r="AB546" i="15"/>
  <c r="AC546" i="15"/>
  <c r="C547" i="15"/>
  <c r="U547" i="15"/>
  <c r="H547" i="15" s="1"/>
  <c r="F547" i="15" s="1"/>
  <c r="V547" i="15"/>
  <c r="W547" i="15"/>
  <c r="Z547" i="15"/>
  <c r="AA547" i="15"/>
  <c r="AB547" i="15"/>
  <c r="AC547" i="15"/>
  <c r="C548" i="15"/>
  <c r="U548" i="15"/>
  <c r="H548" i="15" s="1"/>
  <c r="F548" i="15" s="1"/>
  <c r="V548" i="15"/>
  <c r="W548" i="15"/>
  <c r="Z548" i="15"/>
  <c r="AA548" i="15"/>
  <c r="AB548" i="15"/>
  <c r="AC548" i="15"/>
  <c r="C549" i="15"/>
  <c r="V549" i="15"/>
  <c r="H549" i="15" s="1"/>
  <c r="F549" i="15" s="1"/>
  <c r="W549" i="15"/>
  <c r="Z549" i="15"/>
  <c r="AA549" i="15"/>
  <c r="AB549" i="15"/>
  <c r="AC549" i="15"/>
  <c r="AD549" i="15"/>
  <c r="C550" i="15"/>
  <c r="AB550" i="15"/>
  <c r="H550" i="15" s="1"/>
  <c r="F550" i="15" s="1"/>
  <c r="AC550" i="15"/>
  <c r="AD550" i="15"/>
  <c r="AE550" i="15"/>
  <c r="AF550" i="15"/>
  <c r="AG550" i="15"/>
  <c r="AH550" i="15"/>
  <c r="AI550" i="15"/>
  <c r="AJ550" i="15"/>
  <c r="AK550" i="15"/>
  <c r="C551" i="15"/>
  <c r="W551" i="15"/>
  <c r="Z551" i="15"/>
  <c r="AA551" i="15"/>
  <c r="AB551" i="15"/>
  <c r="H551" i="15" s="1"/>
  <c r="F551" i="15" s="1"/>
  <c r="AC551" i="15"/>
  <c r="AD551" i="15"/>
  <c r="AE551" i="15"/>
  <c r="C552" i="15"/>
  <c r="W552" i="15"/>
  <c r="Z552" i="15"/>
  <c r="AA552" i="15"/>
  <c r="AB552" i="15"/>
  <c r="AC552" i="15"/>
  <c r="AD552" i="15"/>
  <c r="AE552" i="15"/>
  <c r="AF552" i="15"/>
  <c r="C553" i="15"/>
  <c r="W553" i="15"/>
  <c r="H553" i="15" s="1"/>
  <c r="F553" i="15" s="1"/>
  <c r="Z553" i="15"/>
  <c r="AA553" i="15"/>
  <c r="AB553" i="15"/>
  <c r="AC553" i="15"/>
  <c r="AD553" i="15"/>
  <c r="AE553" i="15"/>
  <c r="C554" i="15"/>
  <c r="Z554" i="15"/>
  <c r="AA554" i="15"/>
  <c r="AB554" i="15"/>
  <c r="AC554" i="15"/>
  <c r="AD554" i="15"/>
  <c r="AE554" i="15"/>
  <c r="AF554" i="15"/>
  <c r="C555" i="15"/>
  <c r="D555" i="15"/>
  <c r="C556" i="15"/>
  <c r="Z556" i="15"/>
  <c r="AA556" i="15"/>
  <c r="AB556" i="15"/>
  <c r="AC556" i="15"/>
  <c r="AD556" i="15"/>
  <c r="AE556" i="15"/>
  <c r="AF556" i="15"/>
  <c r="AG556" i="15"/>
  <c r="AH556" i="15"/>
  <c r="C557" i="15"/>
  <c r="Z557" i="15"/>
  <c r="H557" i="15" s="1"/>
  <c r="F557" i="15" s="1"/>
  <c r="AA557" i="15"/>
  <c r="AB557" i="15"/>
  <c r="AC557" i="15"/>
  <c r="AD557" i="15"/>
  <c r="AE557" i="15"/>
  <c r="AF557" i="15"/>
  <c r="AG557" i="15"/>
  <c r="AH557" i="15"/>
  <c r="C558" i="15"/>
  <c r="Z558" i="15"/>
  <c r="H558" i="15" s="1"/>
  <c r="F558" i="15" s="1"/>
  <c r="AA558" i="15"/>
  <c r="AB558" i="15"/>
  <c r="AC558" i="15"/>
  <c r="AD558" i="15"/>
  <c r="AE558" i="15"/>
  <c r="AF558" i="15"/>
  <c r="AG558" i="15"/>
  <c r="AH558" i="15"/>
  <c r="C559" i="15"/>
  <c r="Z559" i="15"/>
  <c r="AA559" i="15"/>
  <c r="AB559" i="15"/>
  <c r="AC559" i="15"/>
  <c r="AD559" i="15"/>
  <c r="AE559" i="15"/>
  <c r="AF559" i="15"/>
  <c r="AG559" i="15"/>
  <c r="AH559" i="15"/>
  <c r="C560" i="15"/>
  <c r="Z560" i="15"/>
  <c r="AA560" i="15"/>
  <c r="AB560" i="15"/>
  <c r="AC560" i="15"/>
  <c r="AD560" i="15"/>
  <c r="AE560" i="15"/>
  <c r="AF560" i="15"/>
  <c r="AG560" i="15"/>
  <c r="AH560" i="15"/>
  <c r="C561" i="15"/>
  <c r="Z561" i="15"/>
  <c r="H561" i="15" s="1"/>
  <c r="F561" i="15" s="1"/>
  <c r="AA561" i="15"/>
  <c r="AB561" i="15"/>
  <c r="AC561" i="15"/>
  <c r="AD561" i="15"/>
  <c r="AE561" i="15"/>
  <c r="AF561" i="15"/>
  <c r="AG561" i="15"/>
  <c r="AH561" i="15"/>
  <c r="C562" i="15"/>
  <c r="AA562" i="15"/>
  <c r="H562" i="15" s="1"/>
  <c r="F562" i="15" s="1"/>
  <c r="AB562" i="15"/>
  <c r="AC562" i="15"/>
  <c r="AD562" i="15"/>
  <c r="AE562" i="15"/>
  <c r="AF562" i="15"/>
  <c r="AG562" i="15"/>
  <c r="AH562" i="15"/>
  <c r="AI562" i="15"/>
  <c r="G563" i="15"/>
  <c r="K563" i="15"/>
  <c r="M563" i="15"/>
  <c r="O563" i="15"/>
  <c r="Q563" i="15"/>
  <c r="S563" i="15"/>
  <c r="W563" i="15"/>
  <c r="Y563" i="15"/>
  <c r="AI563" i="15"/>
  <c r="AK563" i="15"/>
  <c r="L33" i="14" l="1"/>
  <c r="L36" i="14" s="1"/>
  <c r="AA563" i="15"/>
  <c r="Z555" i="15"/>
  <c r="AD555" i="15"/>
  <c r="D563" i="15"/>
  <c r="AB555" i="15"/>
  <c r="AF555" i="15"/>
  <c r="AF563" i="15" s="1"/>
  <c r="AC555" i="15"/>
  <c r="AG555" i="15"/>
  <c r="AG563" i="15" s="1"/>
  <c r="H554" i="15"/>
  <c r="F554" i="15" s="1"/>
  <c r="U408" i="15"/>
  <c r="H552" i="15"/>
  <c r="F552" i="15" s="1"/>
  <c r="AD563" i="15"/>
  <c r="Z563" i="15"/>
  <c r="F515" i="15"/>
  <c r="E515" i="15" s="1"/>
  <c r="F500" i="15"/>
  <c r="E500" i="15" s="1"/>
  <c r="AK408" i="15"/>
  <c r="H559" i="15"/>
  <c r="F559" i="15" s="1"/>
  <c r="AE555" i="15"/>
  <c r="AE563" i="15" s="1"/>
  <c r="S487" i="15"/>
  <c r="H560" i="15"/>
  <c r="F560" i="15" s="1"/>
  <c r="H556" i="15"/>
  <c r="F556" i="15" s="1"/>
  <c r="AA555" i="15"/>
  <c r="AC563" i="15"/>
  <c r="AB563" i="15"/>
  <c r="H462" i="15"/>
  <c r="U563" i="15"/>
  <c r="AF526" i="15"/>
  <c r="AF528" i="15" s="1"/>
  <c r="K515" i="15"/>
  <c r="H515" i="15" s="1"/>
  <c r="L500" i="15"/>
  <c r="AD490" i="15"/>
  <c r="Z490" i="15"/>
  <c r="V490" i="15"/>
  <c r="R490" i="15"/>
  <c r="N490" i="15"/>
  <c r="O487" i="15"/>
  <c r="AB480" i="15"/>
  <c r="AB487" i="15" s="1"/>
  <c r="V480" i="15"/>
  <c r="V487" i="15" s="1"/>
  <c r="H445" i="15"/>
  <c r="F445" i="15" s="1"/>
  <c r="K447" i="15"/>
  <c r="H447" i="15" s="1"/>
  <c r="H443" i="15"/>
  <c r="AD440" i="15"/>
  <c r="Z440" i="15"/>
  <c r="V441" i="15"/>
  <c r="Z421" i="15"/>
  <c r="AD421" i="15"/>
  <c r="AH421" i="15"/>
  <c r="AB421" i="15"/>
  <c r="AF421" i="15"/>
  <c r="AF425" i="15" s="1"/>
  <c r="AF441" i="15" s="1"/>
  <c r="AJ421" i="15"/>
  <c r="H407" i="15"/>
  <c r="F407" i="15" s="1"/>
  <c r="H380" i="15"/>
  <c r="F380" i="15" s="1"/>
  <c r="H376" i="15"/>
  <c r="F376" i="15" s="1"/>
  <c r="H364" i="15"/>
  <c r="F364" i="15" s="1"/>
  <c r="H351" i="15"/>
  <c r="F351" i="15" s="1"/>
  <c r="P408" i="15"/>
  <c r="L408" i="15"/>
  <c r="H326" i="15"/>
  <c r="F326" i="15" s="1"/>
  <c r="AD334" i="15"/>
  <c r="H308" i="15"/>
  <c r="F308" i="15" s="1"/>
  <c r="H300" i="15"/>
  <c r="F300" i="15" s="1"/>
  <c r="H296" i="15"/>
  <c r="F296" i="15" s="1"/>
  <c r="H286" i="15"/>
  <c r="F286" i="15" s="1"/>
  <c r="H268" i="15"/>
  <c r="F268" i="15" s="1"/>
  <c r="M251" i="15"/>
  <c r="H251" i="15" s="1"/>
  <c r="H250" i="15"/>
  <c r="F250" i="15" s="1"/>
  <c r="H229" i="15"/>
  <c r="F229" i="15" s="1"/>
  <c r="H220" i="15"/>
  <c r="F220" i="15" s="1"/>
  <c r="AE185" i="15"/>
  <c r="AI185" i="15"/>
  <c r="AC185" i="15"/>
  <c r="AG185" i="15"/>
  <c r="AK185" i="15"/>
  <c r="AF185" i="15"/>
  <c r="AJ185" i="15"/>
  <c r="AD185" i="15"/>
  <c r="H19" i="15"/>
  <c r="F19" i="15" s="1"/>
  <c r="L563" i="15"/>
  <c r="T528" i="15"/>
  <c r="AE526" i="15"/>
  <c r="AE528" i="15" s="1"/>
  <c r="K500" i="15"/>
  <c r="H500" i="15" s="1"/>
  <c r="D491" i="15"/>
  <c r="AC490" i="15"/>
  <c r="Y490" i="15"/>
  <c r="U490" i="15"/>
  <c r="Q490" i="15"/>
  <c r="M490" i="15"/>
  <c r="H490" i="15" s="1"/>
  <c r="F490" i="15" s="1"/>
  <c r="F491" i="15" s="1"/>
  <c r="E491" i="15" s="1"/>
  <c r="N487" i="15"/>
  <c r="D487" i="15"/>
  <c r="AA480" i="15"/>
  <c r="AA487" i="15" s="1"/>
  <c r="U480" i="15"/>
  <c r="U487" i="15" s="1"/>
  <c r="H467" i="15"/>
  <c r="F467" i="15" s="1"/>
  <c r="H461" i="15"/>
  <c r="F461" i="15" s="1"/>
  <c r="H444" i="15"/>
  <c r="F444" i="15" s="1"/>
  <c r="U440" i="15"/>
  <c r="H438" i="15"/>
  <c r="F438" i="15" s="1"/>
  <c r="AH440" i="15"/>
  <c r="T440" i="15"/>
  <c r="P440" i="15"/>
  <c r="P441" i="15" s="1"/>
  <c r="D425" i="15"/>
  <c r="AK421" i="15"/>
  <c r="AC421" i="15"/>
  <c r="H419" i="15"/>
  <c r="F419" i="15" s="1"/>
  <c r="AI418" i="15"/>
  <c r="AJ413" i="15"/>
  <c r="AB413" i="15"/>
  <c r="T413" i="15"/>
  <c r="T425" i="15" s="1"/>
  <c r="T441" i="15" s="1"/>
  <c r="K408" i="15"/>
  <c r="H406" i="15"/>
  <c r="F406" i="15" s="1"/>
  <c r="H381" i="15"/>
  <c r="F381" i="15" s="1"/>
  <c r="H377" i="15"/>
  <c r="F377" i="15" s="1"/>
  <c r="S356" i="15"/>
  <c r="S408" i="15" s="1"/>
  <c r="W356" i="15"/>
  <c r="W408" i="15" s="1"/>
  <c r="AC356" i="15"/>
  <c r="AC408" i="15" s="1"/>
  <c r="AG356" i="15"/>
  <c r="Q356" i="15"/>
  <c r="U356" i="15"/>
  <c r="AA356" i="15"/>
  <c r="AA408" i="15" s="1"/>
  <c r="AE356" i="15"/>
  <c r="Z356" i="15"/>
  <c r="Z408" i="15" s="1"/>
  <c r="AH356" i="15"/>
  <c r="T356" i="15"/>
  <c r="T408" i="15" s="1"/>
  <c r="AD356" i="15"/>
  <c r="D408" i="15"/>
  <c r="AF408" i="15"/>
  <c r="AC324" i="15"/>
  <c r="AG324" i="15"/>
  <c r="AK324" i="15"/>
  <c r="AK334" i="15" s="1"/>
  <c r="AE324" i="15"/>
  <c r="AE334" i="15" s="1"/>
  <c r="AI324" i="15"/>
  <c r="AI334" i="15" s="1"/>
  <c r="AJ324" i="15"/>
  <c r="AF324" i="15"/>
  <c r="V334" i="15"/>
  <c r="O315" i="15"/>
  <c r="O334" i="15" s="1"/>
  <c r="S315" i="15"/>
  <c r="S334" i="15" s="1"/>
  <c r="D334" i="15"/>
  <c r="Q315" i="15"/>
  <c r="Q334" i="15" s="1"/>
  <c r="U315" i="15"/>
  <c r="U334" i="15" s="1"/>
  <c r="T315" i="15"/>
  <c r="T334" i="15" s="1"/>
  <c r="P315" i="15"/>
  <c r="P334" i="15" s="1"/>
  <c r="H314" i="15"/>
  <c r="K334" i="15"/>
  <c r="H306" i="15"/>
  <c r="F306" i="15" s="1"/>
  <c r="H292" i="15"/>
  <c r="F292" i="15" s="1"/>
  <c r="AC311" i="15"/>
  <c r="W311" i="15"/>
  <c r="H288" i="15"/>
  <c r="F288" i="15" s="1"/>
  <c r="L311" i="15"/>
  <c r="AC279" i="15"/>
  <c r="S279" i="15"/>
  <c r="H279" i="15" s="1"/>
  <c r="AE279" i="15"/>
  <c r="O251" i="15"/>
  <c r="H248" i="15"/>
  <c r="F248" i="15" s="1"/>
  <c r="H226" i="15"/>
  <c r="F226" i="15" s="1"/>
  <c r="AF232" i="15"/>
  <c r="H201" i="15"/>
  <c r="F201" i="15" s="1"/>
  <c r="T174" i="15"/>
  <c r="Z174" i="15"/>
  <c r="AD174" i="15"/>
  <c r="AD202" i="15" s="1"/>
  <c r="AH174" i="15"/>
  <c r="V174" i="15"/>
  <c r="AB174" i="15"/>
  <c r="AF174" i="15"/>
  <c r="AJ174" i="15"/>
  <c r="W174" i="15"/>
  <c r="AG174" i="15"/>
  <c r="AC174" i="15"/>
  <c r="AK174" i="15"/>
  <c r="AE174" i="15"/>
  <c r="U174" i="15"/>
  <c r="R202" i="15"/>
  <c r="H155" i="15"/>
  <c r="F155" i="15" s="1"/>
  <c r="W159" i="15"/>
  <c r="H151" i="15"/>
  <c r="F151" i="15" s="1"/>
  <c r="AH159" i="15"/>
  <c r="AD159" i="15"/>
  <c r="Z159" i="15"/>
  <c r="V159" i="15"/>
  <c r="R159" i="15"/>
  <c r="N159" i="15"/>
  <c r="H141" i="15"/>
  <c r="F141" i="15" s="1"/>
  <c r="AG136" i="15"/>
  <c r="AK136" i="15"/>
  <c r="AE120" i="15"/>
  <c r="AE136" i="15" s="1"/>
  <c r="H95" i="15"/>
  <c r="F95" i="15" s="1"/>
  <c r="H85" i="15"/>
  <c r="F85" i="15" s="1"/>
  <c r="U87" i="15"/>
  <c r="AD71" i="15"/>
  <c r="AH71" i="15"/>
  <c r="AG71" i="15"/>
  <c r="AK71" i="15"/>
  <c r="AF71" i="15"/>
  <c r="AJ71" i="15"/>
  <c r="AE71" i="15"/>
  <c r="AI71" i="15"/>
  <c r="H70" i="15"/>
  <c r="F70" i="15" s="1"/>
  <c r="H61" i="15"/>
  <c r="F61" i="15" s="1"/>
  <c r="H479" i="15"/>
  <c r="F479" i="15" s="1"/>
  <c r="H439" i="15"/>
  <c r="F439" i="15" s="1"/>
  <c r="AB440" i="15"/>
  <c r="H405" i="15"/>
  <c r="F405" i="15" s="1"/>
  <c r="H403" i="15"/>
  <c r="F403" i="15" s="1"/>
  <c r="H401" i="15"/>
  <c r="F401" i="15" s="1"/>
  <c r="H353" i="15"/>
  <c r="F353" i="15" s="1"/>
  <c r="AB408" i="15"/>
  <c r="V408" i="15"/>
  <c r="R408" i="15"/>
  <c r="N408" i="15"/>
  <c r="H349" i="15"/>
  <c r="F349" i="15" s="1"/>
  <c r="H321" i="15"/>
  <c r="F321" i="15" s="1"/>
  <c r="Z334" i="15"/>
  <c r="R334" i="15"/>
  <c r="H298" i="15"/>
  <c r="F298" i="15" s="1"/>
  <c r="H290" i="15"/>
  <c r="F290" i="15" s="1"/>
  <c r="H274" i="15"/>
  <c r="F274" i="15" s="1"/>
  <c r="H263" i="15"/>
  <c r="F263" i="15" s="1"/>
  <c r="Z279" i="15"/>
  <c r="H206" i="15"/>
  <c r="F206" i="15" s="1"/>
  <c r="AB209" i="15"/>
  <c r="H209" i="15" s="1"/>
  <c r="H184" i="15"/>
  <c r="F184" i="15" s="1"/>
  <c r="D528" i="15"/>
  <c r="AG526" i="15"/>
  <c r="AG528" i="15" s="1"/>
  <c r="AE490" i="15"/>
  <c r="AA490" i="15"/>
  <c r="W490" i="15"/>
  <c r="S490" i="15"/>
  <c r="O490" i="15"/>
  <c r="W480" i="15"/>
  <c r="W487" i="15" s="1"/>
  <c r="H458" i="15"/>
  <c r="F458" i="15" s="1"/>
  <c r="F462" i="15" s="1"/>
  <c r="E462" i="15" s="1"/>
  <c r="Q440" i="15"/>
  <c r="H440" i="15" s="1"/>
  <c r="AJ440" i="15"/>
  <c r="H430" i="15"/>
  <c r="F430" i="15" s="1"/>
  <c r="V440" i="15"/>
  <c r="R440" i="15"/>
  <c r="R441" i="15" s="1"/>
  <c r="N440" i="15"/>
  <c r="N441" i="15" s="1"/>
  <c r="H428" i="15"/>
  <c r="F428" i="15" s="1"/>
  <c r="F440" i="15" s="1"/>
  <c r="E440" i="15" s="1"/>
  <c r="AG421" i="15"/>
  <c r="Z418" i="15"/>
  <c r="AD418" i="15"/>
  <c r="AD425" i="15" s="1"/>
  <c r="AD441" i="15" s="1"/>
  <c r="AH418" i="15"/>
  <c r="AB418" i="15"/>
  <c r="AF418" i="15"/>
  <c r="AJ418" i="15"/>
  <c r="M413" i="15"/>
  <c r="M425" i="15" s="1"/>
  <c r="M441" i="15" s="1"/>
  <c r="Q413" i="15"/>
  <c r="Q425" i="15" s="1"/>
  <c r="Q441" i="15" s="1"/>
  <c r="U413" i="15"/>
  <c r="U425" i="15" s="1"/>
  <c r="Y413" i="15"/>
  <c r="Y425" i="15" s="1"/>
  <c r="Y441" i="15" s="1"/>
  <c r="AC413" i="15"/>
  <c r="AC425" i="15" s="1"/>
  <c r="AC441" i="15" s="1"/>
  <c r="AG413" i="15"/>
  <c r="AG425" i="15" s="1"/>
  <c r="AG441" i="15" s="1"/>
  <c r="AK413" i="15"/>
  <c r="K413" i="15"/>
  <c r="O413" i="15"/>
  <c r="O425" i="15" s="1"/>
  <c r="O441" i="15" s="1"/>
  <c r="S413" i="15"/>
  <c r="S425" i="15" s="1"/>
  <c r="S441" i="15" s="1"/>
  <c r="W413" i="15"/>
  <c r="W425" i="15" s="1"/>
  <c r="W441" i="15" s="1"/>
  <c r="AA413" i="15"/>
  <c r="AA425" i="15" s="1"/>
  <c r="AA441" i="15" s="1"/>
  <c r="AE413" i="15"/>
  <c r="AE425" i="15" s="1"/>
  <c r="AE441" i="15" s="1"/>
  <c r="AI413" i="15"/>
  <c r="AI425" i="15" s="1"/>
  <c r="AI441" i="15" s="1"/>
  <c r="H367" i="15"/>
  <c r="F367" i="15" s="1"/>
  <c r="AH408" i="15"/>
  <c r="AD408" i="15"/>
  <c r="H339" i="15"/>
  <c r="AF339" i="15"/>
  <c r="H338" i="15"/>
  <c r="F338" i="15" s="1"/>
  <c r="F339" i="15" s="1"/>
  <c r="E339" i="15" s="1"/>
  <c r="AG334" i="15"/>
  <c r="N334" i="15"/>
  <c r="AH311" i="15"/>
  <c r="AD311" i="15"/>
  <c r="Z311" i="15"/>
  <c r="AA311" i="15"/>
  <c r="U311" i="15"/>
  <c r="N311" i="15"/>
  <c r="H276" i="15"/>
  <c r="F276" i="15" s="1"/>
  <c r="U279" i="15"/>
  <c r="H257" i="15"/>
  <c r="F257" i="15" s="1"/>
  <c r="H245" i="15"/>
  <c r="F245" i="15" s="1"/>
  <c r="T251" i="15"/>
  <c r="AB232" i="15"/>
  <c r="H224" i="15"/>
  <c r="F224" i="15" s="1"/>
  <c r="AH185" i="15"/>
  <c r="N202" i="15"/>
  <c r="H153" i="15"/>
  <c r="F153" i="15" s="1"/>
  <c r="H146" i="15"/>
  <c r="F146" i="15" s="1"/>
  <c r="AJ159" i="15"/>
  <c r="AF159" i="15"/>
  <c r="AB159" i="15"/>
  <c r="H94" i="15"/>
  <c r="F94" i="15" s="1"/>
  <c r="H86" i="15"/>
  <c r="F86" i="15" s="1"/>
  <c r="Z87" i="15"/>
  <c r="H59" i="15"/>
  <c r="F59" i="15" s="1"/>
  <c r="H368" i="15"/>
  <c r="F368" i="15" s="1"/>
  <c r="AJ365" i="15"/>
  <c r="AJ408" i="15" s="1"/>
  <c r="AE365" i="15"/>
  <c r="AE408" i="15" s="1"/>
  <c r="H332" i="15"/>
  <c r="F332" i="15" s="1"/>
  <c r="H327" i="15"/>
  <c r="F327" i="15" s="1"/>
  <c r="AH334" i="15"/>
  <c r="H307" i="15"/>
  <c r="F307" i="15" s="1"/>
  <c r="H305" i="15"/>
  <c r="F305" i="15" s="1"/>
  <c r="H303" i="15"/>
  <c r="F303" i="15" s="1"/>
  <c r="H301" i="15"/>
  <c r="F301" i="15" s="1"/>
  <c r="AI311" i="15"/>
  <c r="AE311" i="15"/>
  <c r="H291" i="15"/>
  <c r="F291" i="15" s="1"/>
  <c r="H287" i="15"/>
  <c r="F287" i="15" s="1"/>
  <c r="H266" i="15"/>
  <c r="F266" i="15" s="1"/>
  <c r="AB279" i="15"/>
  <c r="H249" i="15"/>
  <c r="F249" i="15" s="1"/>
  <c r="H231" i="15"/>
  <c r="F231" i="15" s="1"/>
  <c r="H225" i="15"/>
  <c r="F225" i="15" s="1"/>
  <c r="H221" i="15"/>
  <c r="F221" i="15" s="1"/>
  <c r="R232" i="15"/>
  <c r="H215" i="15"/>
  <c r="F215" i="15" s="1"/>
  <c r="U232" i="15"/>
  <c r="H211" i="15"/>
  <c r="F211" i="15" s="1"/>
  <c r="H194" i="15"/>
  <c r="F194" i="15" s="1"/>
  <c r="Z177" i="15"/>
  <c r="AD177" i="15"/>
  <c r="AH177" i="15"/>
  <c r="V177" i="15"/>
  <c r="AB177" i="15"/>
  <c r="AF177" i="15"/>
  <c r="AJ177" i="15"/>
  <c r="AA177" i="15"/>
  <c r="AI177" i="15"/>
  <c r="AE177" i="15"/>
  <c r="H170" i="15"/>
  <c r="F170" i="15" s="1"/>
  <c r="H373" i="15"/>
  <c r="F373" i="15" s="1"/>
  <c r="AC365" i="15"/>
  <c r="AG365" i="15"/>
  <c r="AK365" i="15"/>
  <c r="H363" i="15"/>
  <c r="F363" i="15" s="1"/>
  <c r="AJ334" i="15"/>
  <c r="AF334" i="15"/>
  <c r="H320" i="15"/>
  <c r="F320" i="15" s="1"/>
  <c r="H316" i="15"/>
  <c r="F316" i="15" s="1"/>
  <c r="L334" i="15"/>
  <c r="AK311" i="15"/>
  <c r="AG311" i="15"/>
  <c r="H289" i="15"/>
  <c r="F289" i="15" s="1"/>
  <c r="S311" i="15"/>
  <c r="H285" i="15"/>
  <c r="F285" i="15" s="1"/>
  <c r="H277" i="15"/>
  <c r="F277" i="15" s="1"/>
  <c r="H275" i="15"/>
  <c r="F275" i="15" s="1"/>
  <c r="AD279" i="15"/>
  <c r="H270" i="15"/>
  <c r="F270" i="15" s="1"/>
  <c r="V279" i="15"/>
  <c r="H259" i="15"/>
  <c r="F259" i="15" s="1"/>
  <c r="AD232" i="15"/>
  <c r="AA232" i="15"/>
  <c r="AC232" i="15"/>
  <c r="W232" i="15"/>
  <c r="H217" i="15"/>
  <c r="F217" i="15" s="1"/>
  <c r="O232" i="15"/>
  <c r="H232" i="15" s="1"/>
  <c r="H213" i="15"/>
  <c r="F213" i="15" s="1"/>
  <c r="W178" i="15"/>
  <c r="AC178" i="15"/>
  <c r="AG178" i="15"/>
  <c r="AK178" i="15"/>
  <c r="AA178" i="15"/>
  <c r="AE178" i="15"/>
  <c r="AI178" i="15"/>
  <c r="AF178" i="15"/>
  <c r="AB178" i="15"/>
  <c r="AJ178" i="15"/>
  <c r="H158" i="15"/>
  <c r="F158" i="15" s="1"/>
  <c r="AJ275" i="15"/>
  <c r="AJ279" i="15" s="1"/>
  <c r="H271" i="15"/>
  <c r="F271" i="15" s="1"/>
  <c r="H246" i="15"/>
  <c r="F246" i="15" s="1"/>
  <c r="H205" i="15"/>
  <c r="F205" i="15" s="1"/>
  <c r="H193" i="15"/>
  <c r="F193" i="15" s="1"/>
  <c r="H191" i="15"/>
  <c r="F191" i="15" s="1"/>
  <c r="AC187" i="15"/>
  <c r="AG187" i="15"/>
  <c r="AK187" i="15"/>
  <c r="AE187" i="15"/>
  <c r="AI187" i="15"/>
  <c r="H186" i="15"/>
  <c r="F186" i="15" s="1"/>
  <c r="Z180" i="15"/>
  <c r="Z202" i="15" s="1"/>
  <c r="AD180" i="15"/>
  <c r="AH180" i="15"/>
  <c r="AB180" i="15"/>
  <c r="AF180" i="15"/>
  <c r="AJ180" i="15"/>
  <c r="AF175" i="15"/>
  <c r="U172" i="15"/>
  <c r="AA172" i="15"/>
  <c r="AE172" i="15"/>
  <c r="AI172" i="15"/>
  <c r="S172" i="15"/>
  <c r="W172" i="15"/>
  <c r="W202" i="15" s="1"/>
  <c r="AC172" i="15"/>
  <c r="AG172" i="15"/>
  <c r="AK172" i="15"/>
  <c r="H171" i="15"/>
  <c r="F171" i="15" s="1"/>
  <c r="O166" i="15"/>
  <c r="H166" i="15" s="1"/>
  <c r="F166" i="15" s="1"/>
  <c r="S166" i="15"/>
  <c r="S202" i="15" s="1"/>
  <c r="W166" i="15"/>
  <c r="AC166" i="15"/>
  <c r="AG166" i="15"/>
  <c r="AG202" i="15" s="1"/>
  <c r="Q166" i="15"/>
  <c r="Q202" i="15" s="1"/>
  <c r="U166" i="15"/>
  <c r="AA166" i="15"/>
  <c r="AE166" i="15"/>
  <c r="AI166" i="15"/>
  <c r="AI202" i="15" s="1"/>
  <c r="D202" i="15"/>
  <c r="AF202" i="15"/>
  <c r="H164" i="15"/>
  <c r="F164" i="15" s="1"/>
  <c r="H148" i="15"/>
  <c r="F148" i="15" s="1"/>
  <c r="AE159" i="15"/>
  <c r="Q159" i="15"/>
  <c r="K159" i="15"/>
  <c r="AC136" i="15"/>
  <c r="W120" i="15"/>
  <c r="W136" i="15" s="1"/>
  <c r="S120" i="15"/>
  <c r="S136" i="15" s="1"/>
  <c r="H91" i="15"/>
  <c r="F91" i="15" s="1"/>
  <c r="Z51" i="15"/>
  <c r="AD51" i="15"/>
  <c r="AD75" i="15" s="1"/>
  <c r="AH51" i="15"/>
  <c r="AC51" i="15"/>
  <c r="AG51" i="15"/>
  <c r="AK51" i="15"/>
  <c r="AB51" i="15"/>
  <c r="AB75" i="15" s="1"/>
  <c r="AJ51" i="15"/>
  <c r="AF51" i="15"/>
  <c r="AF75" i="15" s="1"/>
  <c r="AI51" i="15"/>
  <c r="AI75" i="15" s="1"/>
  <c r="D75" i="15"/>
  <c r="AA51" i="15"/>
  <c r="H50" i="15"/>
  <c r="F50" i="15" s="1"/>
  <c r="H41" i="15"/>
  <c r="F41" i="15" s="1"/>
  <c r="H36" i="15"/>
  <c r="F36" i="15" s="1"/>
  <c r="AJ75" i="15"/>
  <c r="H32" i="15"/>
  <c r="F32" i="15" s="1"/>
  <c r="H269" i="15"/>
  <c r="F269" i="15" s="1"/>
  <c r="H261" i="15"/>
  <c r="F261" i="15" s="1"/>
  <c r="U251" i="15"/>
  <c r="AG232" i="15"/>
  <c r="H219" i="15"/>
  <c r="F219" i="15" s="1"/>
  <c r="H189" i="15"/>
  <c r="F189" i="15" s="1"/>
  <c r="H181" i="15"/>
  <c r="F181" i="15" s="1"/>
  <c r="U175" i="15"/>
  <c r="AA175" i="15"/>
  <c r="AE175" i="15"/>
  <c r="AI175" i="15"/>
  <c r="W175" i="15"/>
  <c r="AC175" i="15"/>
  <c r="AG175" i="15"/>
  <c r="AK175" i="15"/>
  <c r="H169" i="15"/>
  <c r="F169" i="15" s="1"/>
  <c r="H162" i="15"/>
  <c r="F162" i="15" s="1"/>
  <c r="H156" i="15"/>
  <c r="F156" i="15" s="1"/>
  <c r="H145" i="15"/>
  <c r="F145" i="15" s="1"/>
  <c r="AK159" i="15"/>
  <c r="AC159" i="15"/>
  <c r="S159" i="15"/>
  <c r="H143" i="15"/>
  <c r="F143" i="15" s="1"/>
  <c r="H57" i="15"/>
  <c r="F57" i="15" s="1"/>
  <c r="H42" i="15"/>
  <c r="F42" i="15" s="1"/>
  <c r="AJ186" i="15"/>
  <c r="AJ202" i="15" s="1"/>
  <c r="AH176" i="15"/>
  <c r="AD176" i="15"/>
  <c r="H176" i="15" s="1"/>
  <c r="F176" i="15" s="1"/>
  <c r="AJ173" i="15"/>
  <c r="AF173" i="15"/>
  <c r="AB173" i="15"/>
  <c r="H173" i="15" s="1"/>
  <c r="F173" i="15" s="1"/>
  <c r="U167" i="15"/>
  <c r="H167" i="15" s="1"/>
  <c r="F167" i="15" s="1"/>
  <c r="H157" i="15"/>
  <c r="F157" i="15" s="1"/>
  <c r="H150" i="15"/>
  <c r="F150" i="15" s="1"/>
  <c r="U136" i="15"/>
  <c r="AJ136" i="15"/>
  <c r="F136" i="15"/>
  <c r="AJ120" i="15"/>
  <c r="Z136" i="15"/>
  <c r="H92" i="15"/>
  <c r="F92" i="15" s="1"/>
  <c r="H82" i="15"/>
  <c r="F82" i="15" s="1"/>
  <c r="L87" i="15"/>
  <c r="H87" i="15" s="1"/>
  <c r="H58" i="15"/>
  <c r="F58" i="15" s="1"/>
  <c r="U47" i="15"/>
  <c r="U75" i="15" s="1"/>
  <c r="AA47" i="15"/>
  <c r="AE47" i="15"/>
  <c r="AI47" i="15"/>
  <c r="Z47" i="15"/>
  <c r="AD47" i="15"/>
  <c r="AH47" i="15"/>
  <c r="AC47" i="15"/>
  <c r="AK47" i="15"/>
  <c r="W47" i="15"/>
  <c r="AG47" i="15"/>
  <c r="H43" i="15"/>
  <c r="F43" i="15" s="1"/>
  <c r="H37" i="15"/>
  <c r="F37" i="15" s="1"/>
  <c r="V75" i="15"/>
  <c r="R75" i="15"/>
  <c r="N75" i="15"/>
  <c r="Z22" i="15"/>
  <c r="H17" i="15"/>
  <c r="F17" i="15" s="1"/>
  <c r="AE22" i="15"/>
  <c r="H12" i="15"/>
  <c r="F12" i="15" s="1"/>
  <c r="H163" i="15"/>
  <c r="F163" i="15" s="1"/>
  <c r="H142" i="15"/>
  <c r="F142" i="15" s="1"/>
  <c r="H140" i="15"/>
  <c r="F140" i="15" s="1"/>
  <c r="F159" i="15" s="1"/>
  <c r="E159" i="15" s="1"/>
  <c r="H96" i="15"/>
  <c r="F96" i="15" s="1"/>
  <c r="AA120" i="15"/>
  <c r="AA136" i="15"/>
  <c r="H93" i="15"/>
  <c r="F93" i="15" s="1"/>
  <c r="H83" i="15"/>
  <c r="F83" i="15" s="1"/>
  <c r="M87" i="15"/>
  <c r="H56" i="15"/>
  <c r="F56" i="15" s="1"/>
  <c r="H48" i="15"/>
  <c r="F48" i="15" s="1"/>
  <c r="H33" i="15"/>
  <c r="F33" i="15" s="1"/>
  <c r="Q75" i="15"/>
  <c r="M75" i="15"/>
  <c r="AG22" i="15"/>
  <c r="H21" i="15"/>
  <c r="F21" i="15" s="1"/>
  <c r="H97" i="15"/>
  <c r="F97" i="15" s="1"/>
  <c r="AB136" i="15"/>
  <c r="H84" i="15"/>
  <c r="F84" i="15" s="1"/>
  <c r="H69" i="15"/>
  <c r="F69" i="15" s="1"/>
  <c r="H49" i="15"/>
  <c r="F49" i="15" s="1"/>
  <c r="AE46" i="15"/>
  <c r="AE75" i="15" s="1"/>
  <c r="H38" i="15"/>
  <c r="F38" i="15" s="1"/>
  <c r="H34" i="15"/>
  <c r="F34" i="15" s="1"/>
  <c r="S75" i="15"/>
  <c r="O75" i="15"/>
  <c r="H30" i="15"/>
  <c r="F30" i="15" s="1"/>
  <c r="H25" i="15"/>
  <c r="T22" i="15"/>
  <c r="H22" i="15" s="1"/>
  <c r="H18" i="15"/>
  <c r="F18" i="15" s="1"/>
  <c r="AF136" i="15"/>
  <c r="AH120" i="15"/>
  <c r="AH136" i="15" s="1"/>
  <c r="AD120" i="15"/>
  <c r="AD136" i="15" s="1"/>
  <c r="Z120" i="15"/>
  <c r="T136" i="15"/>
  <c r="H63" i="15"/>
  <c r="F63" i="15" s="1"/>
  <c r="H62" i="15"/>
  <c r="F62" i="15" s="1"/>
  <c r="H54" i="15"/>
  <c r="F54" i="15" s="1"/>
  <c r="T46" i="15"/>
  <c r="Z46" i="15"/>
  <c r="Z75" i="15" s="1"/>
  <c r="AD46" i="15"/>
  <c r="AH46" i="15"/>
  <c r="AH75" i="15" s="1"/>
  <c r="W46" i="15"/>
  <c r="W75" i="15" s="1"/>
  <c r="AC46" i="15"/>
  <c r="AC75" i="15" s="1"/>
  <c r="AG46" i="15"/>
  <c r="AG75" i="15" s="1"/>
  <c r="AK46" i="15"/>
  <c r="AK75" i="15" s="1"/>
  <c r="H40" i="15"/>
  <c r="F40" i="15" s="1"/>
  <c r="H35" i="15"/>
  <c r="F35" i="15" s="1"/>
  <c r="H31" i="15"/>
  <c r="F31" i="15" s="1"/>
  <c r="AA75" i="15"/>
  <c r="O124" i="15"/>
  <c r="O136" i="15" s="1"/>
  <c r="D231" i="10"/>
  <c r="L40" i="14" l="1"/>
  <c r="H136" i="15"/>
  <c r="H487" i="15"/>
  <c r="H528" i="15"/>
  <c r="H563" i="15"/>
  <c r="H26" i="15"/>
  <c r="F25" i="15"/>
  <c r="H159" i="15"/>
  <c r="H187" i="15"/>
  <c r="F187" i="15" s="1"/>
  <c r="U202" i="15"/>
  <c r="H178" i="15"/>
  <c r="F178" i="15" s="1"/>
  <c r="H365" i="15"/>
  <c r="F365" i="15" s="1"/>
  <c r="H413" i="15"/>
  <c r="F413" i="15" s="1"/>
  <c r="K425" i="15"/>
  <c r="H311" i="15"/>
  <c r="H356" i="15"/>
  <c r="F356" i="15" s="1"/>
  <c r="F408" i="15" s="1"/>
  <c r="E408" i="15" s="1"/>
  <c r="Q408" i="15"/>
  <c r="AJ425" i="15"/>
  <c r="AJ441" i="15" s="1"/>
  <c r="H480" i="15"/>
  <c r="F480" i="15" s="1"/>
  <c r="F487" i="15" s="1"/>
  <c r="E487" i="15" s="1"/>
  <c r="H120" i="15"/>
  <c r="F87" i="15"/>
  <c r="E87" i="15" s="1"/>
  <c r="E136" i="15"/>
  <c r="H51" i="15"/>
  <c r="F51" i="15" s="1"/>
  <c r="AB202" i="15"/>
  <c r="AE202" i="15"/>
  <c r="O202" i="15"/>
  <c r="H315" i="15"/>
  <c r="F315" i="15" s="1"/>
  <c r="AK425" i="15"/>
  <c r="AK441" i="15" s="1"/>
  <c r="U441" i="15"/>
  <c r="H418" i="15"/>
  <c r="F418" i="15" s="1"/>
  <c r="Z425" i="15"/>
  <c r="Z441" i="15" s="1"/>
  <c r="H71" i="15"/>
  <c r="F71" i="15" s="1"/>
  <c r="AG408" i="15"/>
  <c r="H408" i="15"/>
  <c r="H526" i="15"/>
  <c r="F526" i="15" s="1"/>
  <c r="F528" i="15" s="1"/>
  <c r="E528" i="15" s="1"/>
  <c r="H47" i="15"/>
  <c r="F47" i="15" s="1"/>
  <c r="F120" i="15"/>
  <c r="E120" i="15" s="1"/>
  <c r="AA202" i="15"/>
  <c r="H202" i="15" s="1"/>
  <c r="AC202" i="15"/>
  <c r="H180" i="15"/>
  <c r="F180" i="15" s="1"/>
  <c r="H177" i="15"/>
  <c r="F177" i="15" s="1"/>
  <c r="F251" i="15"/>
  <c r="E251" i="15" s="1"/>
  <c r="V202" i="15"/>
  <c r="H174" i="15"/>
  <c r="F174" i="15" s="1"/>
  <c r="H334" i="15"/>
  <c r="H324" i="15"/>
  <c r="F324" i="15" s="1"/>
  <c r="H185" i="15"/>
  <c r="F185" i="15" s="1"/>
  <c r="H421" i="15"/>
  <c r="F421" i="15" s="1"/>
  <c r="H555" i="15"/>
  <c r="F555" i="15" s="1"/>
  <c r="F563" i="15" s="1"/>
  <c r="E563" i="15" s="1"/>
  <c r="H46" i="15"/>
  <c r="F46" i="15" s="1"/>
  <c r="F75" i="15" s="1"/>
  <c r="E75" i="15" s="1"/>
  <c r="T75" i="15"/>
  <c r="H75" i="15" s="1"/>
  <c r="F22" i="15"/>
  <c r="E22" i="15" s="1"/>
  <c r="H175" i="15"/>
  <c r="F175" i="15" s="1"/>
  <c r="F202" i="15" s="1"/>
  <c r="E202" i="15" s="1"/>
  <c r="AK202" i="15"/>
  <c r="H172" i="15"/>
  <c r="F172" i="15" s="1"/>
  <c r="F209" i="15"/>
  <c r="E209" i="15" s="1"/>
  <c r="F311" i="15"/>
  <c r="E311" i="15" s="1"/>
  <c r="F232" i="15"/>
  <c r="E232" i="15" s="1"/>
  <c r="F279" i="15"/>
  <c r="E279" i="15" s="1"/>
  <c r="AC334" i="15"/>
  <c r="AH425" i="15"/>
  <c r="AH441" i="15" s="1"/>
  <c r="T202" i="15"/>
  <c r="AH202" i="15"/>
  <c r="AB425" i="15"/>
  <c r="AB441" i="15" s="1"/>
  <c r="F447" i="15"/>
  <c r="E447" i="15" s="1"/>
  <c r="D147" i="10"/>
  <c r="F26" i="15" l="1"/>
  <c r="E26" i="15"/>
  <c r="F334" i="15"/>
  <c r="E334" i="15" s="1"/>
  <c r="H425" i="15"/>
  <c r="K441" i="15"/>
  <c r="H441" i="15" s="1"/>
  <c r="F425" i="15"/>
  <c r="E19" i="14"/>
  <c r="H18" i="14"/>
  <c r="F18" i="14"/>
  <c r="G18" i="14" s="1"/>
  <c r="D18" i="14"/>
  <c r="H17" i="14"/>
  <c r="F17" i="14"/>
  <c r="G17" i="14" s="1"/>
  <c r="D17" i="14"/>
  <c r="H16" i="14"/>
  <c r="D16" i="14" s="1"/>
  <c r="F16" i="14"/>
  <c r="G16" i="14" s="1"/>
  <c r="H15" i="14"/>
  <c r="D15" i="14" s="1"/>
  <c r="F15" i="14"/>
  <c r="G15" i="14" s="1"/>
  <c r="H14" i="14"/>
  <c r="F14" i="14"/>
  <c r="G14" i="14" s="1"/>
  <c r="D14" i="14"/>
  <c r="H13" i="14"/>
  <c r="F13" i="14"/>
  <c r="G13" i="14" s="1"/>
  <c r="D13" i="14"/>
  <c r="H12" i="14"/>
  <c r="D12" i="14" s="1"/>
  <c r="F12" i="14"/>
  <c r="G12" i="14" s="1"/>
  <c r="H11" i="14"/>
  <c r="D11" i="14" s="1"/>
  <c r="F11" i="14"/>
  <c r="G11" i="14" s="1"/>
  <c r="H10" i="14"/>
  <c r="F10" i="14"/>
  <c r="G10" i="14" s="1"/>
  <c r="D10" i="14"/>
  <c r="H9" i="14"/>
  <c r="F9" i="14"/>
  <c r="G9" i="14" s="1"/>
  <c r="D9" i="14"/>
  <c r="H8" i="14"/>
  <c r="H19" i="14" s="1"/>
  <c r="F8" i="14"/>
  <c r="G8" i="14" s="1"/>
  <c r="H7" i="14"/>
  <c r="D7" i="14" s="1"/>
  <c r="F7" i="14"/>
  <c r="F19" i="14" s="1"/>
  <c r="D8" i="14" l="1"/>
  <c r="D19" i="14" s="1"/>
  <c r="G7" i="14"/>
  <c r="G19" i="14" s="1"/>
  <c r="E425" i="15"/>
  <c r="F441" i="15"/>
  <c r="E441" i="15" s="1"/>
  <c r="D245" i="10"/>
  <c r="D244" i="10"/>
  <c r="D241" i="10"/>
  <c r="D170" i="10"/>
  <c r="A2" i="12"/>
  <c r="A1" i="12"/>
  <c r="E23" i="5"/>
  <c r="D28" i="5"/>
  <c r="C19" i="4" l="1"/>
  <c r="F31" i="1"/>
  <c r="C35" i="1"/>
  <c r="D27" i="13"/>
  <c r="D15" i="13"/>
  <c r="A4" i="13"/>
  <c r="H31" i="12" l="1"/>
  <c r="G31" i="12"/>
  <c r="F31" i="12"/>
  <c r="E31" i="12"/>
  <c r="D31" i="12"/>
  <c r="J29" i="12"/>
  <c r="J28" i="12"/>
  <c r="J25" i="12"/>
  <c r="J24" i="12"/>
  <c r="J23" i="12"/>
  <c r="J22" i="12"/>
  <c r="J21" i="12"/>
  <c r="J20" i="12"/>
  <c r="J19" i="12"/>
  <c r="J18" i="12"/>
  <c r="J15" i="12"/>
  <c r="L15" i="12" s="1"/>
  <c r="J12" i="12"/>
  <c r="J11" i="12"/>
  <c r="D158" i="10"/>
  <c r="D157" i="10"/>
  <c r="D90" i="10"/>
  <c r="D89" i="10"/>
  <c r="D88" i="10"/>
  <c r="D87" i="10"/>
  <c r="D80" i="10"/>
  <c r="C15" i="4"/>
  <c r="C16" i="4" s="1"/>
  <c r="C18" i="4" s="1"/>
  <c r="C23" i="4" s="1"/>
  <c r="F33" i="1"/>
  <c r="F28" i="1"/>
  <c r="F16" i="1"/>
  <c r="C46" i="1"/>
  <c r="C30" i="1"/>
  <c r="C16" i="1"/>
  <c r="C22" i="1" s="1"/>
  <c r="K17" i="8"/>
  <c r="M15" i="8"/>
  <c r="M20" i="8" s="1"/>
  <c r="M25" i="8" s="1"/>
  <c r="M28" i="8" s="1"/>
  <c r="I15" i="8"/>
  <c r="I20" i="8" s="1"/>
  <c r="I25" i="8" s="1"/>
  <c r="I28" i="8" s="1"/>
  <c r="D15" i="8"/>
  <c r="C15" i="8"/>
  <c r="J31" i="12" l="1"/>
  <c r="L18" i="12"/>
  <c r="L28" i="12"/>
  <c r="L11" i="12"/>
  <c r="D228" i="10" s="1"/>
  <c r="D229" i="10"/>
  <c r="D272" i="10"/>
  <c r="D271" i="10"/>
  <c r="K270" i="10"/>
  <c r="C270" i="10"/>
  <c r="B270" i="10"/>
  <c r="I264" i="10"/>
  <c r="D15" i="10" s="1"/>
  <c r="I255" i="10"/>
  <c r="D246" i="10"/>
  <c r="E244" i="10" s="1"/>
  <c r="G245" i="10"/>
  <c r="G244" i="10"/>
  <c r="D232" i="10"/>
  <c r="G230" i="10"/>
  <c r="G228" i="10"/>
  <c r="L227" i="10"/>
  <c r="L222" i="10"/>
  <c r="L228" i="10" s="1"/>
  <c r="L220" i="10"/>
  <c r="I214" i="10"/>
  <c r="I216" i="10" s="1"/>
  <c r="I211" i="10"/>
  <c r="D207" i="10"/>
  <c r="D205" i="10"/>
  <c r="K204" i="10"/>
  <c r="D204" i="10"/>
  <c r="B204" i="10"/>
  <c r="D178" i="10"/>
  <c r="D182" i="10" s="1"/>
  <c r="D174" i="10"/>
  <c r="D171" i="10"/>
  <c r="F169" i="10"/>
  <c r="F165" i="10"/>
  <c r="D160" i="10"/>
  <c r="B159" i="10"/>
  <c r="B157" i="10"/>
  <c r="I153" i="10"/>
  <c r="F151" i="10"/>
  <c r="F149" i="10"/>
  <c r="F150" i="10" s="1"/>
  <c r="I146" i="10"/>
  <c r="D140" i="10"/>
  <c r="D138" i="10"/>
  <c r="K137" i="10"/>
  <c r="D137" i="10"/>
  <c r="B137" i="10"/>
  <c r="D108" i="10"/>
  <c r="F106" i="10"/>
  <c r="D99" i="10"/>
  <c r="B98" i="10"/>
  <c r="B97" i="10"/>
  <c r="D96" i="10"/>
  <c r="D92" i="10"/>
  <c r="F91" i="10"/>
  <c r="B91" i="10"/>
  <c r="B99" i="10" s="1"/>
  <c r="F90" i="10"/>
  <c r="B90" i="10"/>
  <c r="G89" i="10"/>
  <c r="F89" i="10"/>
  <c r="B89" i="10"/>
  <c r="F88" i="10"/>
  <c r="F110" i="10" s="1"/>
  <c r="B88" i="10"/>
  <c r="B96" i="10" s="1"/>
  <c r="G87" i="10"/>
  <c r="F87" i="10"/>
  <c r="B87" i="10"/>
  <c r="B95" i="10" s="1"/>
  <c r="D74" i="10"/>
  <c r="D72" i="10"/>
  <c r="K71" i="10"/>
  <c r="D71" i="10"/>
  <c r="B71" i="10"/>
  <c r="I42" i="10"/>
  <c r="I41" i="10"/>
  <c r="D32" i="10"/>
  <c r="I38" i="10" s="1"/>
  <c r="I30" i="10"/>
  <c r="F15" i="10"/>
  <c r="D14" i="10"/>
  <c r="L31" i="12" l="1"/>
  <c r="I244" i="10"/>
  <c r="I224" i="10"/>
  <c r="G14" i="10"/>
  <c r="G80" i="10"/>
  <c r="E229" i="10"/>
  <c r="G229" i="10" s="1"/>
  <c r="D37" i="10"/>
  <c r="I37" i="10"/>
  <c r="D36" i="10"/>
  <c r="D38" i="10"/>
  <c r="E245" i="10"/>
  <c r="I245" i="10" s="1"/>
  <c r="D33" i="10"/>
  <c r="G15" i="10"/>
  <c r="I15" i="10" s="1"/>
  <c r="I36" i="10"/>
  <c r="I246" i="10" l="1"/>
  <c r="I249" i="10" s="1"/>
  <c r="E246" i="10"/>
  <c r="G88" i="10"/>
  <c r="I80" i="10"/>
  <c r="G17" i="10"/>
  <c r="I17" i="10" s="1"/>
  <c r="G16" i="10"/>
  <c r="I16" i="10" s="1"/>
  <c r="I14" i="10"/>
  <c r="I18" i="10" s="1"/>
  <c r="D175" i="10"/>
  <c r="I88" i="10" l="1"/>
  <c r="I96" i="10" s="1"/>
  <c r="G110" i="10"/>
  <c r="G157" i="10" l="1"/>
  <c r="I157" i="10" s="1"/>
  <c r="I110" i="10"/>
  <c r="D19" i="5" l="1"/>
  <c r="D31" i="5" s="1"/>
  <c r="E19" i="5"/>
  <c r="E31" i="5" s="1"/>
  <c r="C19" i="5"/>
  <c r="F18" i="5"/>
  <c r="F16" i="5"/>
  <c r="F13" i="5"/>
  <c r="F11" i="5"/>
  <c r="G9" i="8"/>
  <c r="F45" i="1"/>
  <c r="F56" i="1" s="1"/>
  <c r="F54" i="1"/>
  <c r="C54" i="1"/>
  <c r="C56" i="1" s="1"/>
  <c r="C20" i="8"/>
  <c r="C25" i="8" s="1"/>
  <c r="G15" i="8"/>
  <c r="E15" i="8"/>
  <c r="E20" i="8"/>
  <c r="E25" i="8" s="1"/>
  <c r="E28" i="8" s="1"/>
  <c r="F15" i="8"/>
  <c r="F20" i="8"/>
  <c r="F25" i="8"/>
  <c r="F28" i="8"/>
  <c r="G27" i="8"/>
  <c r="K27" i="8" s="1"/>
  <c r="G19" i="8"/>
  <c r="G17" i="8"/>
  <c r="G14" i="8"/>
  <c r="G13" i="8"/>
  <c r="G12" i="8"/>
  <c r="G11" i="8"/>
  <c r="G18" i="8"/>
  <c r="A1" i="8"/>
  <c r="A4" i="8"/>
  <c r="G24" i="8"/>
  <c r="G23" i="8"/>
  <c r="G22" i="8"/>
  <c r="A1" i="4"/>
  <c r="A4" i="4"/>
  <c r="C27" i="4"/>
  <c r="C28" i="4" s="1"/>
  <c r="C31" i="4" s="1"/>
  <c r="F29" i="5"/>
  <c r="D148" i="10" s="1"/>
  <c r="F27" i="5"/>
  <c r="F28" i="5"/>
  <c r="F25" i="5"/>
  <c r="F23" i="5"/>
  <c r="F15" i="5"/>
  <c r="F10" i="5"/>
  <c r="A1" i="5"/>
  <c r="A4" i="5"/>
  <c r="F21" i="5"/>
  <c r="D145" i="10" s="1"/>
  <c r="I219" i="10" s="1"/>
  <c r="A1" i="7"/>
  <c r="A4" i="7"/>
  <c r="D20" i="8"/>
  <c r="D25" i="8" s="1"/>
  <c r="D28" i="8" s="1"/>
  <c r="I221" i="10" l="1"/>
  <c r="I223" i="10" s="1"/>
  <c r="I225" i="10" s="1"/>
  <c r="K14" i="8"/>
  <c r="K15" i="8" s="1"/>
  <c r="D79" i="10"/>
  <c r="D95" i="10" s="1"/>
  <c r="F19" i="5"/>
  <c r="F31" i="5" s="1"/>
  <c r="D154" i="10"/>
  <c r="D113" i="10" s="1"/>
  <c r="D116" i="10" s="1"/>
  <c r="D82" i="10"/>
  <c r="K19" i="8"/>
  <c r="K18" i="8"/>
  <c r="D81" i="10"/>
  <c r="F57" i="1"/>
  <c r="G25" i="8"/>
  <c r="C28" i="8"/>
  <c r="G28" i="8" s="1"/>
  <c r="D238" i="10" s="1"/>
  <c r="G236" i="10" s="1"/>
  <c r="G20" i="8"/>
  <c r="G114" i="10" l="1"/>
  <c r="I114" i="10" s="1"/>
  <c r="G145" i="10"/>
  <c r="K20" i="8"/>
  <c r="K25" i="8" s="1"/>
  <c r="K28" i="8" s="1"/>
  <c r="D98" i="10"/>
  <c r="D97" i="10"/>
  <c r="D84" i="10"/>
  <c r="G151" i="10" l="1"/>
  <c r="I151" i="10" s="1"/>
  <c r="I145" i="10"/>
  <c r="G147" i="10"/>
  <c r="I147" i="10" s="1"/>
  <c r="D100" i="10"/>
  <c r="D118" i="10" s="1"/>
  <c r="D185" i="10" s="1"/>
  <c r="D181" i="10" s="1"/>
  <c r="D183" i="10" s="1"/>
  <c r="D188" i="10" s="1"/>
  <c r="D197" i="10" s="1"/>
  <c r="I236" i="10"/>
  <c r="K236" i="10" s="1"/>
  <c r="G231" i="10"/>
  <c r="G232" i="10"/>
  <c r="I232" i="10"/>
  <c r="G150" i="10" s="1"/>
  <c r="I150" i="10" s="1"/>
  <c r="G158" i="10"/>
  <c r="G164" i="10" l="1"/>
  <c r="I158" i="10"/>
  <c r="G83" i="10"/>
  <c r="G152" i="10"/>
  <c r="I148" i="10"/>
  <c r="G82" i="10"/>
  <c r="G149" i="10"/>
  <c r="I149" i="10" s="1"/>
  <c r="I83" i="10" l="1"/>
  <c r="G91" i="10"/>
  <c r="I91" i="10" s="1"/>
  <c r="I82" i="10"/>
  <c r="G90" i="10"/>
  <c r="I90" i="10" s="1"/>
  <c r="I154" i="10"/>
  <c r="I113" i="10" s="1"/>
  <c r="I164" i="10"/>
  <c r="G165" i="10"/>
  <c r="I165" i="10" s="1"/>
  <c r="I152" i="10"/>
  <c r="G159" i="10"/>
  <c r="I159" i="10" s="1"/>
  <c r="I160" i="10" s="1"/>
  <c r="I98" i="10" l="1"/>
  <c r="I100" i="10" s="1"/>
  <c r="G100" i="10" s="1"/>
  <c r="I84" i="10"/>
  <c r="G84" i="10" s="1"/>
  <c r="I99" i="10"/>
  <c r="I92" i="10"/>
  <c r="G115" i="10" l="1"/>
  <c r="I115" i="10" s="1"/>
  <c r="I116" i="10" s="1"/>
  <c r="G167" i="10"/>
  <c r="G182" i="10"/>
  <c r="I182" i="10" s="1"/>
  <c r="G104" i="10"/>
  <c r="G169" i="10" l="1"/>
  <c r="I167" i="10"/>
  <c r="I104" i="10"/>
  <c r="G105" i="10"/>
  <c r="I105" i="10" l="1"/>
  <c r="G107" i="10"/>
  <c r="I107" i="10" s="1"/>
  <c r="G106" i="10"/>
  <c r="I106" i="10" s="1"/>
  <c r="G170" i="10"/>
  <c r="I170" i="10" s="1"/>
  <c r="I169" i="10"/>
  <c r="I171" i="10" s="1"/>
  <c r="I108" i="10"/>
  <c r="I118" i="10" s="1"/>
  <c r="I185" i="10" s="1"/>
  <c r="I181" i="10" l="1"/>
  <c r="I183" i="10" s="1"/>
  <c r="I188" i="10" s="1"/>
  <c r="I197" i="10" s="1"/>
  <c r="I11" i="10" s="1"/>
  <c r="I20" i="10" s="1"/>
  <c r="N19" i="14" l="1"/>
  <c r="L18" i="14"/>
  <c r="L19" i="14" s="1"/>
  <c r="O19" i="14"/>
</calcChain>
</file>

<file path=xl/comments1.xml><?xml version="1.0" encoding="utf-8"?>
<comments xmlns="http://schemas.openxmlformats.org/spreadsheetml/2006/main">
  <authors>
    <author>karen</author>
  </authors>
  <commentList>
    <comment ref="F31" authorId="0">
      <text>
        <r>
          <rPr>
            <sz val="9"/>
            <color indexed="81"/>
            <rFont val="Tahoma"/>
            <family val="2"/>
          </rPr>
          <t>Compensated Absences and OPEB</t>
        </r>
      </text>
    </comment>
  </commentList>
</comments>
</file>

<file path=xl/comments2.xml><?xml version="1.0" encoding="utf-8"?>
<comments xmlns="http://schemas.openxmlformats.org/spreadsheetml/2006/main">
  <authors>
    <author>karen</author>
  </authors>
  <commentList>
    <comment ref="C19" authorId="0">
      <text>
        <r>
          <rPr>
            <sz val="9"/>
            <color indexed="81"/>
            <rFont val="Tahoma"/>
            <family val="2"/>
          </rPr>
          <t>Interest income and rent</t>
        </r>
      </text>
    </comment>
  </commentList>
</comments>
</file>

<file path=xl/comments3.xml><?xml version="1.0" encoding="utf-8"?>
<comments xmlns="http://schemas.openxmlformats.org/spreadsheetml/2006/main">
  <authors>
    <author>Karen Weeden</author>
  </authors>
  <commentList>
    <comment ref="D21" authorId="0">
      <text>
        <r>
          <rPr>
            <b/>
            <sz val="9"/>
            <color indexed="81"/>
            <rFont val="Tahoma"/>
            <family val="2"/>
          </rPr>
          <t>Karen Weeden:</t>
        </r>
        <r>
          <rPr>
            <sz val="9"/>
            <color indexed="81"/>
            <rFont val="Tahoma"/>
            <family val="2"/>
          </rPr>
          <t xml:space="preserve">
Northern Cities and IS Del Trans charges</t>
        </r>
      </text>
    </comment>
  </commentList>
</comments>
</file>

<file path=xl/sharedStrings.xml><?xml version="1.0" encoding="utf-8"?>
<sst xmlns="http://schemas.openxmlformats.org/spreadsheetml/2006/main" count="1399" uniqueCount="1073">
  <si>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</si>
  <si>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</si>
  <si>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</si>
  <si>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</si>
  <si>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</si>
  <si>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</si>
  <si>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</si>
  <si>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</si>
  <si>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</si>
  <si>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</si>
  <si>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</si>
  <si>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</si>
  <si>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</si>
  <si>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</si>
  <si>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</si>
  <si>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</si>
  <si>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</si>
  <si>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</si>
  <si>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</si>
  <si>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</si>
  <si>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</si>
  <si>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</si>
  <si>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</si>
  <si>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</si>
  <si>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</si>
  <si>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</si>
  <si>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</si>
  <si>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</si>
  <si>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</si>
  <si>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</si>
  <si>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</si>
  <si>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</si>
  <si>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</si>
  <si>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</si>
  <si>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</si>
  <si>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</si>
  <si>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</si>
  <si>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</si>
  <si>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</si>
  <si>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</si>
  <si>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</si>
  <si>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</si>
  <si>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</si>
  <si>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</si>
  <si>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</si>
  <si>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</si>
  <si>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</si>
  <si>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</si>
  <si>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</si>
  <si>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</si>
  <si>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</si>
  <si>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</si>
  <si>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</si>
  <si>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</si>
  <si>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</si>
  <si>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</si>
  <si>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</si>
  <si>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</si>
  <si>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</si>
  <si>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</si>
  <si>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</si>
  <si>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</si>
  <si>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</si>
  <si>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</si>
  <si>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</si>
  <si>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</si>
  <si>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</si>
  <si>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</si>
  <si>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</si>
  <si>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</si>
  <si>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</si>
  <si>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</si>
  <si>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</si>
  <si>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</si>
  <si>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</si>
  <si>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</si>
  <si>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</si>
  <si>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</si>
  <si>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</si>
  <si>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</si>
  <si>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</si>
  <si>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</si>
  <si>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</si>
  <si>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</si>
  <si>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</si>
  <si>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</si>
  <si>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</si>
  <si>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</si>
  <si>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</si>
  <si>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</si>
  <si>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</si>
  <si>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</si>
  <si>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</si>
  <si>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</si>
  <si>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</si>
  <si>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</si>
  <si>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</si>
  <si>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</si>
  <si>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</si>
  <si>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</si>
  <si>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</si>
  <si>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</si>
  <si>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</si>
  <si>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</si>
  <si>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</si>
  <si>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</si>
  <si>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</si>
  <si>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</si>
  <si>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</si>
  <si>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</si>
  <si>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</si>
  <si>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</si>
  <si>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</si>
  <si>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</si>
  <si>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</si>
  <si>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</si>
  <si>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</si>
  <si>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</si>
  <si>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</si>
  <si>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</si>
  <si>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</si>
  <si>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</si>
  <si>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</si>
  <si>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</si>
  <si>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</si>
  <si>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</si>
  <si>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</si>
  <si>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</si>
  <si>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</si>
  <si>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</si>
  <si>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</si>
  <si>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</si>
  <si>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</si>
  <si>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</si>
  <si>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</si>
  <si>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</si>
  <si>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</si>
  <si>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</si>
  <si>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</si>
  <si>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</si>
  <si>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</si>
  <si>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</si>
  <si>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</si>
  <si>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</si>
  <si>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</si>
  <si>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</si>
  <si>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</si>
  <si>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</si>
  <si>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</si>
  <si>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</si>
  <si>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</si>
  <si>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</si>
  <si>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</si>
  <si>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</si>
  <si>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</si>
  <si>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</si>
  <si>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</si>
  <si>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</si>
  <si>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</si>
  <si>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</si>
  <si>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</si>
  <si>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</si>
  <si>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</si>
  <si>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</si>
  <si>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</si>
  <si>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</si>
  <si>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</si>
  <si>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</si>
  <si>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</si>
  <si>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</si>
  <si>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</si>
  <si>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</si>
  <si>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Note for Line 8 - Sternberg Sub</t>
  </si>
  <si>
    <t>XXXXXXXXXXXXX</t>
  </si>
  <si>
    <t>XXXXXXXXXXX</t>
  </si>
  <si>
    <t>Schedule 2</t>
  </si>
  <si>
    <t>Schedule 3</t>
  </si>
  <si>
    <t>Schedule 4</t>
  </si>
  <si>
    <t>Schedule 5</t>
  </si>
  <si>
    <t>Schedule 7</t>
  </si>
  <si>
    <t>(a)</t>
  </si>
  <si>
    <t>(b)</t>
  </si>
  <si>
    <t>(d)</t>
  </si>
  <si>
    <t>(c)</t>
  </si>
  <si>
    <t>Page 1 of 5</t>
  </si>
  <si>
    <t xml:space="preserve">Formula Rate - Non-Levelized </t>
  </si>
  <si>
    <t xml:space="preserve">   Rate Formula Template</t>
  </si>
  <si>
    <t>Utilizing EIA Form 412 Data</t>
  </si>
  <si>
    <t>Benson (Minnesota) Municipal Utilities</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</si>
  <si>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</si>
  <si>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</si>
  <si>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</si>
  <si>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</si>
  <si>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</si>
  <si>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</si>
  <si>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</si>
  <si>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</si>
  <si>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</si>
  <si>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</si>
  <si>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</si>
  <si>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</si>
  <si>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</si>
  <si>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</si>
  <si>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</si>
  <si>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</si>
  <si>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</si>
  <si>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</si>
  <si>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</si>
  <si>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</si>
  <si>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</si>
  <si>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</si>
  <si>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</si>
  <si>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</si>
  <si>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</si>
  <si>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</si>
  <si>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</si>
  <si>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</si>
  <si>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</si>
  <si>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</si>
  <si>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</si>
  <si>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</si>
  <si>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</si>
  <si>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</si>
  <si>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</si>
  <si>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</si>
  <si>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</si>
  <si>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</si>
  <si>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</si>
  <si>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</si>
  <si>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</si>
  <si>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</si>
  <si>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</si>
  <si>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</si>
  <si>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</si>
  <si>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</si>
  <si>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</si>
  <si>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</si>
  <si>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</si>
  <si>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</si>
  <si>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</si>
  <si>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</si>
  <si>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</si>
  <si>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</si>
  <si>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</si>
  <si>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</si>
  <si>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</si>
  <si>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</si>
  <si>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</si>
  <si>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</si>
  <si>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</si>
  <si>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</si>
  <si>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</si>
  <si>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</si>
  <si>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</si>
  <si>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</si>
  <si>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</si>
  <si>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</si>
  <si>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</si>
  <si>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</si>
  <si>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</si>
  <si>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</si>
  <si>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</si>
  <si>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</si>
  <si>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</si>
  <si>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</si>
  <si>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</si>
  <si>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</si>
  <si>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</si>
  <si>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</si>
  <si>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</si>
  <si>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</si>
  <si>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</si>
  <si>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</si>
  <si>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</si>
  <si>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</si>
  <si>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</si>
  <si>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</si>
  <si>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</si>
  <si>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</si>
  <si>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</si>
  <si>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</si>
  <si>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</si>
  <si>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</si>
  <si>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</si>
  <si>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</si>
  <si>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</si>
  <si>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</si>
  <si>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</si>
  <si>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</si>
  <si>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</si>
  <si>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</si>
  <si>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</si>
  <si>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</si>
  <si>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</si>
  <si>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</si>
  <si>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</si>
  <si>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</si>
  <si>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</si>
  <si>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</si>
  <si>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</si>
  <si>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</si>
  <si>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</si>
  <si>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</si>
  <si>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</si>
  <si>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</si>
  <si>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</si>
  <si>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</si>
  <si>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</si>
  <si>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</si>
  <si>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</si>
  <si>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</si>
  <si>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</si>
  <si>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</si>
  <si>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</si>
  <si>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</si>
  <si>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</si>
  <si>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</si>
  <si>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</si>
  <si>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</si>
  <si>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</si>
  <si>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</si>
  <si>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</si>
  <si>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</si>
  <si>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</si>
  <si>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</si>
  <si>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</si>
  <si>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</si>
  <si>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</si>
  <si>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</si>
  <si>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</si>
  <si>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</si>
  <si>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</si>
  <si>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</si>
  <si>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</si>
  <si>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</si>
  <si>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</si>
  <si>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</si>
  <si>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</si>
  <si>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</si>
  <si>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</si>
  <si>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</si>
  <si>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</si>
  <si>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</si>
  <si>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</si>
  <si>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</si>
  <si>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</si>
  <si>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</si>
  <si>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</si>
  <si>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</si>
  <si>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</si>
  <si>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</si>
  <si>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</si>
  <si>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</si>
  <si>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</si>
  <si>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</si>
  <si>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</si>
  <si>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Acct 561 included in Line 7?</t>
  </si>
  <si>
    <t>Total transmission expenses  (page 3, line 1, column 3)</t>
  </si>
  <si>
    <t>Acct 561.BA for Schedule 24</t>
  </si>
  <si>
    <t>Less transmission expenses included in OATT Ancillary Services  (Note L)</t>
  </si>
  <si>
    <t>Acct 561 available for Schedule 1</t>
  </si>
  <si>
    <t>Included transmission expenses ( line 6 less line 7)</t>
  </si>
  <si>
    <t>Revenue Credits for Sched 1/Acct 561</t>
  </si>
  <si>
    <t>transactions &lt;1 yr</t>
  </si>
  <si>
    <t>Percentage of transmission expenses after adjustment  (line 8 divided by line 6)</t>
  </si>
  <si>
    <t>non-firm</t>
  </si>
  <si>
    <t>Percentage of transmission plant included in ISO Rates  (line 5)</t>
  </si>
  <si>
    <t>transactions w/ load not in divisor</t>
  </si>
  <si>
    <t>Percentage of transmission expenses included in ISO Rates  (line 9 times line 10)</t>
  </si>
  <si>
    <t>TE=</t>
  </si>
  <si>
    <t>total Revenue Credits</t>
  </si>
  <si>
    <t>Net Schedule 1 Expenses (Acct 561 minus Credits)</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</si>
  <si>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</si>
  <si>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</si>
  <si>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</si>
  <si>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</si>
  <si>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</si>
  <si>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</si>
  <si>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</si>
  <si>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</si>
  <si>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</si>
  <si>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</si>
  <si>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</si>
  <si>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</si>
  <si>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</si>
  <si>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</si>
  <si>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</si>
  <si>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</si>
  <si>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</si>
  <si>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</si>
  <si>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</si>
  <si>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</si>
  <si>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</si>
  <si>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</si>
  <si>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</si>
  <si>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</si>
  <si>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</si>
  <si>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</si>
  <si>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</si>
  <si>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</si>
  <si>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</si>
  <si>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</si>
  <si>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</si>
  <si>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</si>
  <si>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</si>
  <si>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</si>
  <si>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</si>
  <si>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</si>
  <si>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</si>
  <si>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</si>
  <si>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</si>
  <si>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</si>
  <si>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</si>
  <si>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</si>
  <si>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</si>
  <si>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</si>
  <si>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</si>
  <si>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</si>
  <si>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32b</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</si>
  <si>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</si>
  <si>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</si>
  <si>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</si>
  <si>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</si>
  <si>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</si>
  <si>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</si>
  <si>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</si>
  <si>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</si>
  <si>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</si>
  <si>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</si>
  <si>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</si>
  <si>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</si>
  <si>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</si>
  <si>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</si>
  <si>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</si>
  <si>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</si>
  <si>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</si>
  <si>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</si>
  <si>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</si>
  <si>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</si>
  <si>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</si>
  <si>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</si>
  <si>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</si>
  <si>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</si>
  <si>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</si>
  <si>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</si>
  <si>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</si>
  <si>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</si>
  <si>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</si>
  <si>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</si>
  <si>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</si>
  <si>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</si>
  <si>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</si>
  <si>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</si>
  <si>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</si>
  <si>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</si>
  <si>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</si>
  <si>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</si>
  <si>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</si>
  <si>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</si>
  <si>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</si>
  <si>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</si>
  <si>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</si>
  <si>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</si>
  <si>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</si>
  <si>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</si>
  <si>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</si>
  <si>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</si>
  <si>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</si>
  <si>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</si>
  <si>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</si>
  <si>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</si>
  <si>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</si>
  <si>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</si>
  <si>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</si>
  <si>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</si>
  <si>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</si>
  <si>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</si>
  <si>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</si>
  <si>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</si>
  <si>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</si>
  <si>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O-EIA Non-Levelized Generic</t>
  </si>
  <si>
    <t>Line 4 supported by schedules.</t>
  </si>
  <si>
    <t>Line 5 supported by schedules.</t>
  </si>
  <si>
    <t>Amortized Investment Tax Credit (enter negative)</t>
  </si>
  <si>
    <t>LESS ATTACHMENT MM ADJUSTMENT [Attachment MM, page 2, line 3, column 14]  (Note Y)</t>
  </si>
  <si>
    <t>Please fill out info requested in the box below</t>
  </si>
  <si>
    <t>Schedule 1 Recoveralbe Expenses</t>
  </si>
  <si>
    <t xml:space="preserve">  c. Transmission charges from Schedules associated with Attachment GG  (Note X)</t>
  </si>
  <si>
    <t xml:space="preserve">  d. Transmission charges from Schedules associated with Attachment MM  (Note Z)</t>
  </si>
  <si>
    <t>Line 31 supported by notes in Form 412 or detailed Schedule</t>
  </si>
  <si>
    <t>Line 32 supported by notes in Form 412 or detailed Schedule</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</si>
  <si>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</si>
  <si>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</si>
  <si>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SIT work papers if required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</si>
  <si>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</si>
  <si>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</si>
  <si>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</si>
  <si>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</si>
  <si>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</si>
  <si>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</si>
  <si>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Accumulated</t>
  </si>
  <si>
    <t>Depreciation</t>
  </si>
  <si>
    <t>Net Assets</t>
  </si>
  <si>
    <t>Expense</t>
  </si>
  <si>
    <t>Distribution</t>
  </si>
  <si>
    <t>Salaries and Benefits - Benson Staff Salaries for the Wage &amp; Salary Allocator</t>
  </si>
  <si>
    <t>FICA, other payroll taxes, and retirement benefits include only those expenses that are directly allocated to each account.</t>
  </si>
  <si>
    <t>Salaries</t>
  </si>
  <si>
    <t>FICA</t>
  </si>
  <si>
    <t xml:space="preserve">Other </t>
  </si>
  <si>
    <t>Retirement</t>
  </si>
  <si>
    <t>Accounts</t>
  </si>
  <si>
    <t>Taxes</t>
  </si>
  <si>
    <t>Payroll Taxes</t>
  </si>
  <si>
    <t>Benefits</t>
  </si>
  <si>
    <t>Production / Generation</t>
  </si>
  <si>
    <t>Operation Supervision Salary</t>
  </si>
  <si>
    <t>Maintenance of Generating Equip. Salary</t>
  </si>
  <si>
    <t>Transmission:</t>
  </si>
  <si>
    <t>Maintenance Supervisor Salary</t>
  </si>
  <si>
    <t>Equipment Maintenance</t>
  </si>
  <si>
    <t>Maintenance of Lines</t>
  </si>
  <si>
    <t>Maintenance of Street Lighting</t>
  </si>
  <si>
    <t>Building Maintenance</t>
  </si>
  <si>
    <t>Management Fees</t>
  </si>
  <si>
    <t>Station Salary</t>
  </si>
  <si>
    <t>Maintenance Lines Salary</t>
  </si>
  <si>
    <t>Customer Accounts &amp; Service</t>
  </si>
  <si>
    <t>Other Salaries</t>
  </si>
  <si>
    <t>Customer Records &amp; Collection Salary</t>
  </si>
  <si>
    <t>Meter Reading Salary</t>
  </si>
  <si>
    <t>Total Benson Staff Salaries</t>
  </si>
  <si>
    <t>Not applicable as there is no Common Plant</t>
  </si>
  <si>
    <t>Salaries Tab - Salaries shown are Benson employees only.</t>
  </si>
  <si>
    <t>Benson's load is included in the MRES filing.</t>
  </si>
  <si>
    <t>For the 12 months ended 12/31/2013</t>
  </si>
  <si>
    <t>Data Required for EIA-412</t>
  </si>
  <si>
    <t>Line No.</t>
  </si>
  <si>
    <t xml:space="preserve">Rental Income Related to </t>
  </si>
  <si>
    <t>Example - Pole rental</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</si>
  <si>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</si>
  <si>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</si>
  <si>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</si>
  <si>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</si>
  <si>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</si>
  <si>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</si>
  <si>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</si>
  <si>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</si>
  <si>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</si>
  <si>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</si>
  <si>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</si>
  <si>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</si>
  <si>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</si>
  <si>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</si>
  <si>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</si>
  <si>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</si>
  <si>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</si>
  <si>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</si>
  <si>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</si>
  <si>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</si>
  <si>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For the Year Ended December 31, 2013</t>
  </si>
  <si>
    <t>2013</t>
  </si>
  <si>
    <t>2013 Depreciation</t>
  </si>
  <si>
    <t>Rents, Gain on Disposal of Assets</t>
  </si>
  <si>
    <t>Loss on Investments</t>
  </si>
  <si>
    <t>None</t>
  </si>
  <si>
    <t>Joint Pricing Zone payments (JPZ)</t>
  </si>
  <si>
    <t xml:space="preserve">   from Otter Tail Power</t>
  </si>
  <si>
    <t xml:space="preserve">  (43.4%)</t>
  </si>
  <si>
    <t xml:space="preserve">  (56.6%)</t>
  </si>
  <si>
    <t>ITA Rev</t>
  </si>
  <si>
    <t>MRES Rev</t>
  </si>
  <si>
    <t>received 3/26/12</t>
  </si>
  <si>
    <t>Total Amt.</t>
  </si>
  <si>
    <t>MRES Amt.</t>
  </si>
  <si>
    <t>002-131070</t>
  </si>
  <si>
    <t>001-131000</t>
  </si>
  <si>
    <t>BMU &amp; DL</t>
  </si>
  <si>
    <t xml:space="preserve">  January</t>
  </si>
  <si>
    <t xml:space="preserve">   DL = $771.49, BMU = $342.75</t>
  </si>
  <si>
    <t xml:space="preserve">  February</t>
  </si>
  <si>
    <t xml:space="preserve">   DL = $653.64, BMU = $290.39</t>
  </si>
  <si>
    <t xml:space="preserve">  March</t>
  </si>
  <si>
    <t xml:space="preserve">   DL = $1034.69, BMU = $459.68</t>
  </si>
  <si>
    <t xml:space="preserve">  April</t>
  </si>
  <si>
    <t xml:space="preserve">   DL = $854.11, BMU = $379.45</t>
  </si>
  <si>
    <t xml:space="preserve">  May</t>
  </si>
  <si>
    <t xml:space="preserve">   DL = $1061.64, BMU = $471.65</t>
  </si>
  <si>
    <t xml:space="preserve">  June</t>
  </si>
  <si>
    <t xml:space="preserve">   DL = $875.74, BMU = $389.06</t>
  </si>
  <si>
    <t xml:space="preserve">  July</t>
  </si>
  <si>
    <t xml:space="preserve">   DL = $1079.74, BMU = $479.69</t>
  </si>
  <si>
    <t xml:space="preserve">  August</t>
  </si>
  <si>
    <t xml:space="preserve">   DL = $1014.72, BMU = $450.81</t>
  </si>
  <si>
    <t xml:space="preserve">  September</t>
  </si>
  <si>
    <t xml:space="preserve">   DL = $932.08, BMU = $414.09</t>
  </si>
  <si>
    <t xml:space="preserve">  October</t>
  </si>
  <si>
    <t xml:space="preserve">   DL = $1106.50, BMU = $491.58</t>
  </si>
  <si>
    <t xml:space="preserve">  November</t>
  </si>
  <si>
    <t xml:space="preserve">   DL = $740.60, BMU = $329.03</t>
  </si>
  <si>
    <t xml:space="preserve">  December</t>
  </si>
  <si>
    <t xml:space="preserve">   DL = $1102.55, BMU = $489.83</t>
  </si>
  <si>
    <t xml:space="preserve">           2013 Total</t>
  </si>
  <si>
    <t>Benson</t>
  </si>
  <si>
    <t>&lt;--INSERT ROW</t>
  </si>
  <si>
    <t>/WIR~</t>
  </si>
  <si>
    <t>\R</t>
  </si>
  <si>
    <t>&lt;--INSERT COLUMN</t>
  </si>
  <si>
    <t>/WIC~</t>
  </si>
  <si>
    <t>\C</t>
  </si>
  <si>
    <t>&lt;--PRINT WORKSHEET</t>
  </si>
  <si>
    <t>/PPR{?}~AGAQ</t>
  </si>
  <si>
    <t>\P</t>
  </si>
  <si>
    <t>&lt;--SAVE FILE UNDER SAME NAME</t>
  </si>
  <si>
    <t>/FS~R</t>
  </si>
  <si>
    <t>\S</t>
  </si>
  <si>
    <t>/RFD1~</t>
  </si>
  <si>
    <t>&lt;--AUTO DATE ENTRY</t>
  </si>
  <si>
    <t>@DATE({?},{?},1)~</t>
  </si>
  <si>
    <t>\D</t>
  </si>
  <si>
    <t>&lt;--ADD COLUMN SEPARATORS</t>
  </si>
  <si>
    <t>^|~/C~.{DOWN}</t>
  </si>
  <si>
    <t>\V</t>
  </si>
  <si>
    <t>&lt;--ADD ROW SEPARATORS</t>
  </si>
  <si>
    <t>\-~/C~.{RIGHT}</t>
  </si>
  <si>
    <t>\U</t>
  </si>
  <si>
    <t>&lt;--WIDEN COLUMN</t>
  </si>
  <si>
    <t>/WCS{?}~</t>
  </si>
  <si>
    <t>\W</t>
  </si>
  <si>
    <t>&lt;--ERASE CURRENT CELL</t>
  </si>
  <si>
    <t>/RE~</t>
  </si>
  <si>
    <t>\E</t>
  </si>
  <si>
    <t>Popcorn Popper</t>
  </si>
  <si>
    <t>freezer</t>
  </si>
  <si>
    <t>2 sharp er410 registers</t>
  </si>
  <si>
    <t>Minute Man Floor Scrubber</t>
  </si>
  <si>
    <t>Scotsman Ice Machine</t>
  </si>
  <si>
    <t>Bottle Basic 702 System</t>
  </si>
  <si>
    <t>19"Samsung,27" Zenith TV's</t>
  </si>
  <si>
    <t>Sound System</t>
  </si>
  <si>
    <t>Chest Freezer</t>
  </si>
  <si>
    <t>SECURITY CAMERAS</t>
  </si>
  <si>
    <t>SHELVING</t>
  </si>
  <si>
    <t>ICE BIN</t>
  </si>
  <si>
    <t>AUTOFRY</t>
  </si>
  <si>
    <t>36 BARSTOOLS</t>
  </si>
  <si>
    <t>CREDIT CARD MACHINE</t>
  </si>
  <si>
    <t>5 FOLDING TABLES</t>
  </si>
  <si>
    <t>PERCON PT2000 SCANNER</t>
  </si>
  <si>
    <t>KF36 FREEZER</t>
  </si>
  <si>
    <t>Inventory Program upgrade</t>
  </si>
  <si>
    <t>Plasma TV and installation</t>
  </si>
  <si>
    <t>GLASSWASHER</t>
  </si>
  <si>
    <t>3 F90 HONEYWELL AIR CLEANERS</t>
  </si>
  <si>
    <t>COMPRESSOR FOR COOLER</t>
  </si>
  <si>
    <t>OFF SALE COUNTER</t>
  </si>
  <si>
    <t>BEERTAP, FROSTER, STAINLESS</t>
  </si>
  <si>
    <t>AWNING</t>
  </si>
  <si>
    <t>GLASS DOORS IN OFF SALE</t>
  </si>
  <si>
    <t>REFRIGERATION</t>
  </si>
  <si>
    <t>UNDERBAR</t>
  </si>
  <si>
    <t>NEW BAR TOP</t>
  </si>
  <si>
    <t>LIGHTS AROUND OUTSIDE BUILDING</t>
  </si>
  <si>
    <t xml:space="preserve">             </t>
  </si>
  <si>
    <t>BOOTHS &amp; SEATING</t>
  </si>
  <si>
    <t>FURNITURE &amp; EQUIPMENT   16400</t>
  </si>
  <si>
    <t>SIDEWALK</t>
  </si>
  <si>
    <t>Resurface Parking Lot</t>
  </si>
  <si>
    <t>Tile floor, Offsale &amp; Lounge Area's</t>
  </si>
  <si>
    <t>Awning-Off Sale</t>
  </si>
  <si>
    <t>3 COMPARTMENT SINK</t>
  </si>
  <si>
    <t>NEW DOOR</t>
  </si>
  <si>
    <t>UPGRADE SIGN</t>
  </si>
  <si>
    <t>AIR CONDITIONING</t>
  </si>
  <si>
    <t>CURB, GUTTER, SIDEWALK</t>
  </si>
  <si>
    <t>WIRE ELECTRIC HEAT</t>
  </si>
  <si>
    <t>OTHER IMPROVEMENTS  16300</t>
  </si>
  <si>
    <t>NEW ROOF</t>
  </si>
  <si>
    <t>RESTROOM REMODELING</t>
  </si>
  <si>
    <t>REMODELING</t>
  </si>
  <si>
    <t>Trash Enclosure</t>
  </si>
  <si>
    <t>Off Sale Automatic Doors</t>
  </si>
  <si>
    <t>BUILDING</t>
  </si>
  <si>
    <t>BUILDING              16200</t>
  </si>
  <si>
    <t>LAND</t>
  </si>
  <si>
    <t>MUNICIPAL LIQUOR STORE</t>
  </si>
  <si>
    <t>|::</t>
  </si>
  <si>
    <t>GARAGE DOORS</t>
  </si>
  <si>
    <t>ROOF &amp; OTHER IMP.</t>
  </si>
  <si>
    <t>ELECTRIC HEAT</t>
  </si>
  <si>
    <t>DOORS &amp; DOOR OPENERS</t>
  </si>
  <si>
    <t>BUILDING &amp; IMPROVEMENTS</t>
  </si>
  <si>
    <t>STORAGE BUILDING - MN/DAK (16491)</t>
  </si>
  <si>
    <t>Substation</t>
  </si>
  <si>
    <t>Substation Transformers</t>
  </si>
  <si>
    <t>SUBSTATION (16487)</t>
  </si>
  <si>
    <t>LONG REACH CHAIN SAW</t>
  </si>
  <si>
    <t>BRUSH CHIPPER</t>
  </si>
  <si>
    <t>BCT 500 PRESS</t>
  </si>
  <si>
    <t>STIHL SAW TS</t>
  </si>
  <si>
    <t>AIR COMPRESSOR</t>
  </si>
  <si>
    <t>20' SCK-96</t>
  </si>
  <si>
    <t>TOOLS</t>
  </si>
  <si>
    <t>LOCATOR &amp; CLAMP</t>
  </si>
  <si>
    <t>METER TEST BOARD W/COMPUTER</t>
  </si>
  <si>
    <t>LINE TRACER</t>
  </si>
  <si>
    <t>CHAIN SAWS</t>
  </si>
  <si>
    <t>HASTINGS CONDUCTOR SUPPORTS</t>
  </si>
  <si>
    <t>HYD DRILL,COUPLINGS,HOSE</t>
  </si>
  <si>
    <t>(2) 45W RADIOS</t>
  </si>
  <si>
    <t>CROSS ARMS</t>
  </si>
  <si>
    <t>CHAN SCAN</t>
  </si>
  <si>
    <t>(3) MAX I METERS</t>
  </si>
  <si>
    <t>TOOLS &amp; EQUIPMENT</t>
  </si>
  <si>
    <t>RADIOS &amp; RADIO EQUIPMENT</t>
  </si>
  <si>
    <t>POWER PANEL</t>
  </si>
  <si>
    <t>FROST DIGGER &amp; EARTH REPACKER</t>
  </si>
  <si>
    <t>TOOLS &amp; EQUIPMENT (16484)</t>
  </si>
  <si>
    <t>Overhead door</t>
  </si>
  <si>
    <t>REROOF LINE GARAGE</t>
  </si>
  <si>
    <t>IMPROVEMENT</t>
  </si>
  <si>
    <t>INSULATED STEEL DOOR</t>
  </si>
  <si>
    <t>GARAGE</t>
  </si>
  <si>
    <t>DISTRIBUTION GARAGE (16475 &amp; 16478)</t>
  </si>
  <si>
    <t>Fence for transformers</t>
  </si>
  <si>
    <t>WAREHOUSE BUILDING (16476)</t>
  </si>
  <si>
    <t>pave parking lot</t>
  </si>
  <si>
    <t>PARKING LOT (16473)</t>
  </si>
  <si>
    <t>16471 and 16470 Total</t>
  </si>
  <si>
    <t>ASBESTOS REMOVAL</t>
  </si>
  <si>
    <t>Cat Diesel's - Building Improvements</t>
  </si>
  <si>
    <t>Fuel Tank monitor</t>
  </si>
  <si>
    <t>POWER PLANT ROOF</t>
  </si>
  <si>
    <t>STEEL ENTRY DOORS</t>
  </si>
  <si>
    <t>BRONZE LETTERS</t>
  </si>
  <si>
    <t>NEW DOORS</t>
  </si>
  <si>
    <t>TESTING RELAYS</t>
  </si>
  <si>
    <t>NEW FLOOR IN POWER PLANT</t>
  </si>
  <si>
    <t>OVERHEAD DOOR IN NORTH WALL</t>
  </si>
  <si>
    <t>PAVE LOT BETWEEN PLANT &amp; C/H</t>
  </si>
  <si>
    <t>PRODUCTIONS - STRUCTURE IMPROVEMENTS (16470)</t>
  </si>
  <si>
    <t>EXPAND S. GARAGE DOOR</t>
  </si>
  <si>
    <t>Power plant upgrades</t>
  </si>
  <si>
    <t>Sales tax refund</t>
  </si>
  <si>
    <t>Cat engine final expenses</t>
  </si>
  <si>
    <t>SWITCH GEAR Modifications</t>
  </si>
  <si>
    <t xml:space="preserve">    125 Volt DC Batteries</t>
  </si>
  <si>
    <t xml:space="preserve">    Switchgear</t>
  </si>
  <si>
    <t xml:space="preserve">    Engines and Generators</t>
  </si>
  <si>
    <t>5 Cat Diesel Engines Project</t>
  </si>
  <si>
    <t>Old generation updates</t>
  </si>
  <si>
    <t>GENERATION UPGRADES</t>
  </si>
  <si>
    <t>PRODUCTION EQUIPMENT</t>
  </si>
  <si>
    <t>PRODUCTIONS - GENERATION PLANT (16471)</t>
  </si>
  <si>
    <t>LIBRARY HEAT PUMP</t>
  </si>
  <si>
    <t>2400 TO 13.8 CONVERSION</t>
  </si>
  <si>
    <t>RETRO VACCUUM BREAKER</t>
  </si>
  <si>
    <t>ELECTRIC HEAT PROJECT</t>
  </si>
  <si>
    <t>MCT'S LOT</t>
  </si>
  <si>
    <t>POWER FACTOR CONTROLS</t>
  </si>
  <si>
    <t>LIQUOR STORE UNDERGROUND</t>
  </si>
  <si>
    <t>TRANSFORMER PARALLELING</t>
  </si>
  <si>
    <t>13.8KV TIE LINE</t>
  </si>
  <si>
    <t>TRANSFORMERS</t>
  </si>
  <si>
    <t>Highway 12 project</t>
  </si>
  <si>
    <t>AMR Meters</t>
  </si>
  <si>
    <t>Transformers</t>
  </si>
  <si>
    <t>Hospital Addition Project</t>
  </si>
  <si>
    <t>Antolick Project</t>
  </si>
  <si>
    <t>Agvise Project</t>
  </si>
  <si>
    <t>Well 33 Transformer</t>
  </si>
  <si>
    <t>Water treatment plant service</t>
  </si>
  <si>
    <t>Randy Weber Transformer</t>
  </si>
  <si>
    <t>North American Fertilizer Transformer</t>
  </si>
  <si>
    <t>Kansas Ave Conversion Project</t>
  </si>
  <si>
    <t>Conversion Project</t>
  </si>
  <si>
    <t>Goff Farms Transformer</t>
  </si>
  <si>
    <t>MN Ave Feeder 5</t>
  </si>
  <si>
    <t>transformers</t>
  </si>
  <si>
    <t>Maple Ave Conversion</t>
  </si>
  <si>
    <t>Street Department Conversion</t>
  </si>
  <si>
    <t>North American Fertilizer Feeder</t>
  </si>
  <si>
    <t>School crossing signs</t>
  </si>
  <si>
    <t>New Feeder Line</t>
  </si>
  <si>
    <t xml:space="preserve">    "          "</t>
  </si>
  <si>
    <t>EXTENSIONS &amp; METERS</t>
  </si>
  <si>
    <t>EXTENSION LOOP FEEDER</t>
  </si>
  <si>
    <t>STREET LIGHTING SYSTEM</t>
  </si>
  <si>
    <t>LINES &amp; TRANSFORMERS</t>
  </si>
  <si>
    <t>TRANSFORMER &amp; VOLTAGE REGULATOR</t>
  </si>
  <si>
    <t>SWITCH GEAR &amp; TRANSFORMER</t>
  </si>
  <si>
    <t>PLANT ADDITION</t>
  </si>
  <si>
    <t>DISTRIBUTION SYSTEM (16480)</t>
  </si>
  <si>
    <t>115 KV Transmission line</t>
  </si>
  <si>
    <t>POLES TOWER &amp; FIXTURES (16482)</t>
  </si>
  <si>
    <t>TRANSMISSION SYSTEM</t>
  </si>
  <si>
    <t>INSTALLATIONS</t>
  </si>
  <si>
    <t>AMR System</t>
  </si>
  <si>
    <t>COMPUTOR BASED LM SYSTEM</t>
  </si>
  <si>
    <t>LOENS - FUTURE PRODUCTS</t>
  </si>
  <si>
    <t>RECEIVER UNITS</t>
  </si>
  <si>
    <t>ABOVE ITEM LESS EQUIP SOLD AGRALITE</t>
  </si>
  <si>
    <t>CONTROLS,INSTALLS,CNTRL UNITS</t>
  </si>
  <si>
    <t>LOAD MANAGEMENT SYSTEM (16462)</t>
  </si>
  <si>
    <t>POWER WASHER</t>
  </si>
  <si>
    <t xml:space="preserve"> 2012 Brush chipper</t>
  </si>
  <si>
    <t xml:space="preserve"> 2009 Bucket Truck</t>
  </si>
  <si>
    <t>Felling Trailer</t>
  </si>
  <si>
    <t>Air Compressor</t>
  </si>
  <si>
    <t>2008 Chev Silverado Pickup</t>
  </si>
  <si>
    <t>2005 Chev Trailblazer</t>
  </si>
  <si>
    <t>2007 Ford F550 W/Versalift</t>
  </si>
  <si>
    <t>J2020M1 Boring Machine</t>
  </si>
  <si>
    <t>2007 Chev Silverado Pickup</t>
  </si>
  <si>
    <t>Super Jet Vacuum</t>
  </si>
  <si>
    <t>1993 Ford Pickup</t>
  </si>
  <si>
    <t>Impact Wrench-ABM</t>
  </si>
  <si>
    <t>Hyd pole tamper-ABM</t>
  </si>
  <si>
    <t>2001 Freightliner w/versalift</t>
  </si>
  <si>
    <t>20' DRESSEN TRAILOR</t>
  </si>
  <si>
    <t>1997 CARAVAN</t>
  </si>
  <si>
    <t>GL6500S DIESEL GENERATOR</t>
  </si>
  <si>
    <t>CASE 560 TRENCHER</t>
  </si>
  <si>
    <t>1999 CARGO VAN</t>
  </si>
  <si>
    <t>MAST ASSY</t>
  </si>
  <si>
    <t>HAMMER DRILL</t>
  </si>
  <si>
    <t>STRINGING BLOCK</t>
  </si>
  <si>
    <t>FIBERGLASS TRUCK BODY</t>
  </si>
  <si>
    <t>24" CARBIT AUGER &amp; EXTENSION</t>
  </si>
  <si>
    <t>3 IN 1 REEL TRAILOR</t>
  </si>
  <si>
    <t>TRANSPORTATION EQUIPMENT (16440)</t>
  </si>
  <si>
    <t>ADDL COMPUTOR EQUIP</t>
  </si>
  <si>
    <t>Upper level city hall built in cabinets</t>
  </si>
  <si>
    <t>AS400</t>
  </si>
  <si>
    <t>GPS Equipment</t>
  </si>
  <si>
    <t>Point of Sale System</t>
  </si>
  <si>
    <t>HP Computor</t>
  </si>
  <si>
    <t>Handheld meter reader</t>
  </si>
  <si>
    <t>2 dell optiplex</t>
  </si>
  <si>
    <t>AS400 UPS</t>
  </si>
  <si>
    <t>Dell Pc's Val. Gail, Nancy</t>
  </si>
  <si>
    <t>HP Designjet</t>
  </si>
  <si>
    <t>Dell Pentium III</t>
  </si>
  <si>
    <t>Half Nortel Phone System</t>
  </si>
  <si>
    <t>Serial Sign connection</t>
  </si>
  <si>
    <t>ELECTRONIC SIGN</t>
  </si>
  <si>
    <t>OFFICE CHAIRS</t>
  </si>
  <si>
    <t>IBM 6400 PRINTER</t>
  </si>
  <si>
    <t>PANASONIC TYPEWRITER</t>
  </si>
  <si>
    <t>FURNITURE</t>
  </si>
  <si>
    <t>HEATER INSTALLED ROSS</t>
  </si>
  <si>
    <t>OFFICE FURNITURE &amp; EQUIPMENT (16424)</t>
  </si>
  <si>
    <t>CHAIRS, DESKS, &amp; SIDE CHAIRS</t>
  </si>
  <si>
    <t>COUNCIL ROOM FURNITURE (16422)</t>
  </si>
  <si>
    <t>AIR CONDITIONER</t>
  </si>
  <si>
    <t>EXTERIOR STUCCO</t>
  </si>
  <si>
    <t>REMODEL</t>
  </si>
  <si>
    <t>INSULATE</t>
  </si>
  <si>
    <t xml:space="preserve">            </t>
  </si>
  <si>
    <t xml:space="preserve">          </t>
  </si>
  <si>
    <t>BILLING OFFICE (16420)</t>
  </si>
  <si>
    <t>PRODUCTIONS LAND (16100)</t>
  </si>
  <si>
    <t>ELECTRIC FUND</t>
  </si>
  <si>
    <t>General Assets</t>
  </si>
  <si>
    <t>Distribution Assets</t>
  </si>
  <si>
    <t>Transmission Assets</t>
  </si>
  <si>
    <t>Production Assets</t>
  </si>
  <si>
    <t>SNAPPER LAWN MOWER</t>
  </si>
  <si>
    <t>GAS MONITOR</t>
  </si>
  <si>
    <t>HALF COST JD 317 SKID STEER</t>
  </si>
  <si>
    <t>Refrigerated sampler</t>
  </si>
  <si>
    <t>4 gas monitor</t>
  </si>
  <si>
    <t>Dissolved Oxegen Meter</t>
  </si>
  <si>
    <t>Trench Supports</t>
  </si>
  <si>
    <t>97 Vac Con</t>
  </si>
  <si>
    <t>Fold out Ext. &amp; lift for '01 ram pickup</t>
  </si>
  <si>
    <t>3" TRASH PUMP</t>
  </si>
  <si>
    <t>VAC REG.,NOZZELS</t>
  </si>
  <si>
    <t>Loader Forks</t>
  </si>
  <si>
    <t>Tripod, hooks, cables</t>
  </si>
  <si>
    <t>97 FORD F350 92537</t>
  </si>
  <si>
    <t>1/4 cost of bridge jack</t>
  </si>
  <si>
    <t>LIETZ LEVEL W/TRIPOD</t>
  </si>
  <si>
    <t>USED PIPELINE LASER</t>
  </si>
  <si>
    <t>AMPEROMETER TITRATOR</t>
  </si>
  <si>
    <t>CHAN SCAN CONTROL STATION</t>
  </si>
  <si>
    <t>RADIOS &amp; ANTENNA</t>
  </si>
  <si>
    <t>GAS DETECTOR</t>
  </si>
  <si>
    <t>MACHINERY &amp; EQUIPMENT COLLECTION</t>
  </si>
  <si>
    <t>Half Cost of Dell Computer</t>
  </si>
  <si>
    <t>Metrotech Flexisonde</t>
  </si>
  <si>
    <t>Gravity Convrct Oven</t>
  </si>
  <si>
    <t>OFFICE</t>
  </si>
  <si>
    <t>MANHOLE REHAB</t>
  </si>
  <si>
    <t>Sandy's Lift Station</t>
  </si>
  <si>
    <t>Kansas &amp; 13th</t>
  </si>
  <si>
    <t>12th St S</t>
  </si>
  <si>
    <t>Minnesota and 10th</t>
  </si>
  <si>
    <t>Utah and 11th</t>
  </si>
  <si>
    <t>Fibrominn Lift upgrade</t>
  </si>
  <si>
    <t>NE Storm Water Mgmt Plan</t>
  </si>
  <si>
    <t>Nevada Ave Project</t>
  </si>
  <si>
    <t>Fibrominn Sewer</t>
  </si>
  <si>
    <t>Hockey Lift Station</t>
  </si>
  <si>
    <t>Roosevelt Lift Station</t>
  </si>
  <si>
    <t>Cottage Square</t>
  </si>
  <si>
    <t>Hawleywood 4th</t>
  </si>
  <si>
    <t>Homewood 8th</t>
  </si>
  <si>
    <t>MN Avenue Forcemain</t>
  </si>
  <si>
    <t>2004 PROJECTS</t>
  </si>
  <si>
    <t>2003 PROJECTS</t>
  </si>
  <si>
    <t>2002 PROJECTS</t>
  </si>
  <si>
    <t>2001 PROJECTS</t>
  </si>
  <si>
    <t>2000 PROJECTS</t>
  </si>
  <si>
    <t>1999 PROJECTS</t>
  </si>
  <si>
    <t>1998 PROJECTS</t>
  </si>
  <si>
    <t>HAWLEYWOOD LIFT STATION</t>
  </si>
  <si>
    <t>1997 PROJECTS</t>
  </si>
  <si>
    <t>1996 PROJECTS</t>
  </si>
  <si>
    <t>1995 PROJECTS</t>
  </si>
  <si>
    <t>1994 PROJECTS</t>
  </si>
  <si>
    <t>1993 PROJECTS</t>
  </si>
  <si>
    <t>1992 PROJECTS</t>
  </si>
  <si>
    <t>REPLACE MANHOLES</t>
  </si>
  <si>
    <t>1991 WORK</t>
  </si>
  <si>
    <t>TELEVISE 6550'</t>
  </si>
  <si>
    <t>1989/90 CONSTRUCTION</t>
  </si>
  <si>
    <t>1989 WORK</t>
  </si>
  <si>
    <t>SEWER WORK</t>
  </si>
  <si>
    <t>EUROTHANE ROOF</t>
  </si>
  <si>
    <t>2001</t>
  </si>
  <si>
    <t>facilities plan</t>
  </si>
  <si>
    <t>FACILITIES PLAN</t>
  </si>
  <si>
    <t>RBC REPAIR</t>
  </si>
  <si>
    <t>VACUUM REGULATOR</t>
  </si>
  <si>
    <t>RBC REPLACEMENT</t>
  </si>
  <si>
    <t>RECOAT ROOF</t>
  </si>
  <si>
    <t>Doors replacements</t>
  </si>
  <si>
    <t>Cabinets</t>
  </si>
  <si>
    <t>2006 improvement</t>
  </si>
  <si>
    <t>2005 improvement</t>
  </si>
  <si>
    <t>FEDERAL CONTRIBUTION</t>
  </si>
  <si>
    <t>STATE CONTRIBUTION</t>
  </si>
  <si>
    <t>CITY CONTRIBUTION</t>
  </si>
  <si>
    <t>1983 EXPENDITURES</t>
  </si>
  <si>
    <t>1982 EXPENDITURES</t>
  </si>
  <si>
    <t>1981 EXPENDITURES</t>
  </si>
  <si>
    <t>BUILDINGS</t>
  </si>
  <si>
    <t>SEWER FUND</t>
  </si>
  <si>
    <t>WELL - GOLF COURSE #40 (old #4)</t>
  </si>
  <si>
    <t>Fibrominn Level Loggers</t>
  </si>
  <si>
    <t>Meter Vault - Well 33</t>
  </si>
  <si>
    <t>Well #33</t>
  </si>
  <si>
    <t>Pitless unit &amp; well pump-Well 32</t>
  </si>
  <si>
    <t>Meter - Well 32</t>
  </si>
  <si>
    <t>Well replacement #32</t>
  </si>
  <si>
    <t>Meter Vault - Well 31</t>
  </si>
  <si>
    <t>REFURBISH WELL #31</t>
  </si>
  <si>
    <t>Well 31</t>
  </si>
  <si>
    <t>REFURBISH WELL #11</t>
  </si>
  <si>
    <t>WELL 11 (old 1a)</t>
  </si>
  <si>
    <t>WELLS PUMPS &amp; EQUIPMENT (16489)</t>
  </si>
  <si>
    <t>Chemical Feed System</t>
  </si>
  <si>
    <t>Plant &amp; Building improvements</t>
  </si>
  <si>
    <t>Polyphosphate Equipment</t>
  </si>
  <si>
    <t>Flouride Equipment</t>
  </si>
  <si>
    <t>Chlorinaton Equipment</t>
  </si>
  <si>
    <t>Filter Media</t>
  </si>
  <si>
    <t>Filter Equipment</t>
  </si>
  <si>
    <t>Submersible Centrifugal Pumps</t>
  </si>
  <si>
    <t>Centrifugal Pumps</t>
  </si>
  <si>
    <t>Backwash Tank</t>
  </si>
  <si>
    <t>Process Control Description</t>
  </si>
  <si>
    <t>Process Measurement Devices</t>
  </si>
  <si>
    <t>Switchboards and Panelboards</t>
  </si>
  <si>
    <t>SCADA</t>
  </si>
  <si>
    <t>Motor Controls</t>
  </si>
  <si>
    <t>Interior lighting</t>
  </si>
  <si>
    <t>Parking lot and grounds</t>
  </si>
  <si>
    <t>Office Computers</t>
  </si>
  <si>
    <t>Water Treatment Plant #2 Upgrade</t>
  </si>
  <si>
    <t>Fiber from WTP #2 to Water Tower</t>
  </si>
  <si>
    <t>Plant #1 Filter rehab</t>
  </si>
  <si>
    <t>polling master control</t>
  </si>
  <si>
    <t>Doors for Pumphouse #1</t>
  </si>
  <si>
    <t>Windows - Pumphouse #1</t>
  </si>
  <si>
    <t>Pumpouse 1 roof</t>
  </si>
  <si>
    <t>METER HEAD ASSY-PH1</t>
  </si>
  <si>
    <t>METER HEAD ASSY-PH 1</t>
  </si>
  <si>
    <t>ELECTRIC HEAT IN PUMPHOUSE 1</t>
  </si>
  <si>
    <t>PUMP HOUSE 2 - GOLF COURSE</t>
  </si>
  <si>
    <t>WATER WORKS PLANT (16487)</t>
  </si>
  <si>
    <t>WELLS PUMPS &amp; EQUIPMENT (16486)</t>
  </si>
  <si>
    <t>TAMPER</t>
  </si>
  <si>
    <t>RADIOS</t>
  </si>
  <si>
    <t>OLD</t>
  </si>
  <si>
    <t>TREATMENT EQUIPMENT</t>
  </si>
  <si>
    <t>LAB EQUIPMENT-WATER TREATMENT (16468)</t>
  </si>
  <si>
    <t>EXTENSIONS</t>
  </si>
  <si>
    <t>1988/89 CONSTRUCTION</t>
  </si>
  <si>
    <t>MAIN FROM 1985 ST PROJECT</t>
  </si>
  <si>
    <t>Golf Course Well test</t>
  </si>
  <si>
    <t>Watermain 16th ST S</t>
  </si>
  <si>
    <t>Watermain-16th St and Aldridge</t>
  </si>
  <si>
    <t>Water Supply Study</t>
  </si>
  <si>
    <t>Fibrominn</t>
  </si>
  <si>
    <t>WATERMAINS</t>
  </si>
  <si>
    <t>UNDERGROUND WATER SYSTEM (16466)</t>
  </si>
  <si>
    <t>500,000 Elevated Tank</t>
  </si>
  <si>
    <t>WATER GROUND STORAGE  (16464)</t>
  </si>
  <si>
    <t xml:space="preserve"> 2010 Ford F-150</t>
  </si>
  <si>
    <t>1994 FORD 675D BACKHOE</t>
  </si>
  <si>
    <t>Portable Diaphram Pump</t>
  </si>
  <si>
    <t>Hammer Kit- Backhoe</t>
  </si>
  <si>
    <t>Air pack</t>
  </si>
  <si>
    <t>TAPPING MACHINE</t>
  </si>
  <si>
    <t>1983 BACKHOE TRACTOR &amp; LOADER</t>
  </si>
  <si>
    <t>675D BACKHOE ENGINE</t>
  </si>
  <si>
    <t>2005 CHEV SILVERADO 6795</t>
  </si>
  <si>
    <t>TRANSPORTATION EQUIPMENT  (16440)</t>
  </si>
  <si>
    <t>OFFICE FURNITURE  (16424)</t>
  </si>
  <si>
    <t>WATER FUND</t>
  </si>
  <si>
    <t>2003</t>
  </si>
  <si>
    <t>2002</t>
  </si>
  <si>
    <t>2000</t>
  </si>
  <si>
    <t>1999</t>
  </si>
  <si>
    <t>1998</t>
  </si>
  <si>
    <t>1997</t>
  </si>
  <si>
    <t>1996</t>
  </si>
  <si>
    <t>1995</t>
  </si>
  <si>
    <t>1994</t>
  </si>
  <si>
    <t>1993</t>
  </si>
  <si>
    <t>1992</t>
  </si>
  <si>
    <t>1991</t>
  </si>
  <si>
    <t>1990</t>
  </si>
  <si>
    <t>1989</t>
  </si>
  <si>
    <t>1988</t>
  </si>
  <si>
    <t>RATE</t>
  </si>
  <si>
    <t>PRIOR YRS</t>
  </si>
  <si>
    <t>Thru '2013</t>
  </si>
  <si>
    <t>COST</t>
  </si>
  <si>
    <t>DATE ACQ.</t>
  </si>
  <si>
    <t>PROPERTY DESCRIPTION</t>
  </si>
  <si>
    <t>Year</t>
  </si>
  <si>
    <t>YEAR</t>
  </si>
  <si>
    <t>NEW</t>
  </si>
  <si>
    <t>PRESENT</t>
  </si>
  <si>
    <t>DEP. IN</t>
  </si>
  <si>
    <t>PRE</t>
  </si>
  <si>
    <t>1988 TO</t>
  </si>
  <si>
    <t>2013 DEPRECIATION</t>
  </si>
  <si>
    <t>Added in 2013</t>
  </si>
  <si>
    <t>Removed from service</t>
  </si>
  <si>
    <t>January - October</t>
  </si>
  <si>
    <t>Included in 2013 revenues</t>
  </si>
  <si>
    <t>January - October 2013 payments.  November and December were included in 2014.</t>
  </si>
  <si>
    <t>Transmisison and distribution maintenance salaries are contracted; therefore, excluded.</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</si>
  <si>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</si>
  <si>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</si>
  <si>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</si>
  <si>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</si>
  <si>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</si>
  <si>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</si>
  <si>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</si>
  <si>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</si>
  <si>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</si>
  <si>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</si>
  <si>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</si>
  <si>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</si>
  <si>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Acct 456.1</t>
  </si>
  <si>
    <t>Sched 7&amp;8</t>
  </si>
  <si>
    <t>Sched 9</t>
  </si>
  <si>
    <t>Total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</si>
</sst>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0.0"/>
    <numFmt numFmtId="176" formatCode="#,###,##0.00;\(#,###,##0.00\)"/>
    <numFmt numFmtId="177" formatCode="0.00_)"/>
    <numFmt numFmtId="178" formatCode="m/d/yy;@"/>
    <numFmt numFmtId="179" formatCode="0_)"/>
    <numFmt numFmtId="180" formatCode="0.0_)"/>
    <numFmt numFmtId="181" formatCode="dd\-mmm\-yy_)"/>
    <numFmt numFmtId="182" formatCode="[$-409]d\-mmm\-yy;@"/>
    <numFmt numFmtId="183" formatCode="0.00_);\(0.00\)"/>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b/>
      <sz val="12"/>
      <color indexed="12"/>
      <name val="Arial"/>
      <family val="2"/>
    </font>
    <font>
      <sz val="10"/>
      <name val="Arial"/>
      <family val="2"/>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9"/>
      <color indexed="81"/>
      <name val="Tahoma"/>
      <family val="2"/>
    </font>
    <font>
      <b/>
      <sz val="12"/>
      <name val="Calibri"/>
      <family val="2"/>
      <scheme val="minor"/>
    </font>
    <font>
      <sz val="12"/>
      <name val="Calibri"/>
      <family val="2"/>
      <scheme val="minor"/>
    </font>
    <font>
      <b/>
      <sz val="12"/>
      <color rgb="FFFF66CC"/>
      <name val="Calibri"/>
      <family val="2"/>
      <scheme val="minor"/>
    </font>
    <font>
      <sz val="11"/>
      <color theme="0"/>
      <name val="Calibri"/>
      <family val="2"/>
      <scheme val="minor"/>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0"/>
      <color indexed="0"/>
      <name val="Arial"/>
      <family val="2"/>
    </font>
    <font>
      <b/>
      <sz val="14"/>
      <name val="Book Antiqua"/>
      <family val="1"/>
    </font>
    <font>
      <i/>
      <sz val="10"/>
      <name val="Book Antiqua"/>
      <family val="1"/>
    </font>
    <font>
      <b/>
      <i/>
      <sz val="16"/>
      <name val="Helv"/>
    </font>
    <font>
      <sz val="8"/>
      <name val="Tms Rmn"/>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1"/>
      <color rgb="FFFF0000"/>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1"/>
      <color rgb="FF00B050"/>
      <name val="Calibri"/>
      <family val="2"/>
      <scheme val="minor"/>
    </font>
    <font>
      <u/>
      <sz val="12"/>
      <name val="Calibri"/>
      <family val="2"/>
      <scheme val="minor"/>
    </font>
    <font>
      <strike/>
      <sz val="12"/>
      <name val="Calibri"/>
      <family val="2"/>
      <scheme val="minor"/>
    </font>
    <font>
      <b/>
      <sz val="11"/>
      <name val="Calibri"/>
      <family val="2"/>
      <scheme val="minor"/>
    </font>
    <font>
      <b/>
      <sz val="9"/>
      <color indexed="81"/>
      <name val="Tahoma"/>
      <family val="2"/>
    </font>
    <font>
      <sz val="11"/>
      <name val="Calibri"/>
      <family val="2"/>
      <scheme val="minor"/>
    </font>
    <font>
      <sz val="12"/>
      <color theme="1"/>
      <name val="Calibri"/>
      <family val="2"/>
      <scheme val="minor"/>
    </font>
  </fonts>
  <fills count="14">
    <fill>
      <patternFill patternType="none"/>
    </fill>
    <fill>
      <patternFill patternType="gray125"/>
    </fill>
    <fill>
      <patternFill patternType="solid">
        <fgColor indexed="43"/>
        <bgColor indexed="64"/>
      </patternFill>
    </fill>
    <fill>
      <patternFill patternType="solid">
        <fgColor rgb="FF7030A0"/>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s>
  <borders count="3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s>
  <cellStyleXfs count="225">
    <xf numFmtId="0" fontId="0" fillId="0" borderId="0"/>
    <xf numFmtId="43" fontId="8" fillId="0" borderId="0" applyFont="0" applyFill="0" applyBorder="0" applyAlignment="0" applyProtection="0"/>
    <xf numFmtId="44" fontId="8" fillId="0" borderId="0" applyFont="0" applyFill="0" applyBorder="0" applyAlignment="0" applyProtection="0"/>
    <xf numFmtId="166" fontId="14" fillId="0" borderId="0" applyProtection="0"/>
    <xf numFmtId="43" fontId="13"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7" fillId="0" borderId="0"/>
    <xf numFmtId="0" fontId="7" fillId="0" borderId="0"/>
    <xf numFmtId="166" fontId="14" fillId="0" borderId="0" applyProtection="0"/>
    <xf numFmtId="39" fontId="14" fillId="0" borderId="0"/>
    <xf numFmtId="9" fontId="13" fillId="0" borderId="0" applyFont="0" applyFill="0" applyBorder="0" applyAlignment="0" applyProtection="0"/>
    <xf numFmtId="0" fontId="13" fillId="0" borderId="0"/>
    <xf numFmtId="0" fontId="6" fillId="0" borderId="0"/>
    <xf numFmtId="0" fontId="8" fillId="0" borderId="0"/>
    <xf numFmtId="0" fontId="5" fillId="0" borderId="0"/>
    <xf numFmtId="0" fontId="27" fillId="4" borderId="0" applyNumberFormat="0" applyBorder="0" applyAlignment="0" applyProtection="0"/>
    <xf numFmtId="166" fontId="28" fillId="0" borderId="0" applyFill="0"/>
    <xf numFmtId="166" fontId="28" fillId="0" borderId="0">
      <alignment horizontal="center"/>
    </xf>
    <xf numFmtId="0" fontId="28" fillId="0" borderId="0" applyFill="0">
      <alignment horizontal="center"/>
    </xf>
    <xf numFmtId="166" fontId="29" fillId="0" borderId="35" applyFill="0"/>
    <xf numFmtId="0" fontId="8" fillId="0" borderId="0" applyFont="0" applyAlignment="0"/>
    <xf numFmtId="0" fontId="30" fillId="0" borderId="0" applyFill="0">
      <alignment vertical="top"/>
    </xf>
    <xf numFmtId="0" fontId="29" fillId="0" borderId="0" applyFill="0">
      <alignment horizontal="left" vertical="top"/>
    </xf>
    <xf numFmtId="166" fontId="31" fillId="0" borderId="19" applyFill="0"/>
    <xf numFmtId="0" fontId="8" fillId="0" borderId="0" applyNumberFormat="0" applyFont="0" applyAlignment="0"/>
    <xf numFmtId="0" fontId="30" fillId="0" borderId="0" applyFill="0">
      <alignment wrapText="1"/>
    </xf>
    <xf numFmtId="0" fontId="29" fillId="0" borderId="0" applyFill="0">
      <alignment horizontal="left" vertical="top" wrapText="1"/>
    </xf>
    <xf numFmtId="166" fontId="11" fillId="0" borderId="0" applyFill="0"/>
    <xf numFmtId="0" fontId="32" fillId="0" borderId="0" applyNumberFormat="0" applyFont="0" applyAlignment="0">
      <alignment horizontal="center"/>
    </xf>
    <xf numFmtId="0" fontId="33" fillId="0" borderId="0" applyFill="0">
      <alignment vertical="top" wrapText="1"/>
    </xf>
    <xf numFmtId="0" fontId="31" fillId="0" borderId="0" applyFill="0">
      <alignment horizontal="left" vertical="top" wrapText="1"/>
    </xf>
    <xf numFmtId="166" fontId="8" fillId="0" borderId="0" applyFill="0"/>
    <xf numFmtId="0" fontId="32" fillId="0" borderId="0" applyNumberFormat="0" applyFont="0" applyAlignment="0">
      <alignment horizontal="center"/>
    </xf>
    <xf numFmtId="0" fontId="34" fillId="0" borderId="0" applyFill="0">
      <alignment vertical="center" wrapText="1"/>
    </xf>
    <xf numFmtId="0" fontId="10" fillId="0" borderId="0">
      <alignment horizontal="left" vertical="center" wrapText="1"/>
    </xf>
    <xf numFmtId="166"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8" fillId="0" borderId="0" applyFill="0">
      <alignment horizontal="center" vertical="center" wrapText="1"/>
    </xf>
    <xf numFmtId="166"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66"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5" fontId="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0" fontId="4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3" fontId="8" fillId="0" borderId="0" applyFont="0" applyFill="0" applyBorder="0" applyAlignment="0" applyProtection="0"/>
    <xf numFmtId="7" fontId="8"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14"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76" fontId="44" fillId="0" borderId="0"/>
    <xf numFmtId="38" fontId="28" fillId="5" borderId="0" applyNumberFormat="0" applyBorder="0" applyAlignment="0" applyProtection="0"/>
    <xf numFmtId="0" fontId="45" fillId="0" borderId="27"/>
    <xf numFmtId="0" fontId="46" fillId="0" borderId="0"/>
    <xf numFmtId="10" fontId="28" fillId="6" borderId="5" applyNumberFormat="0" applyBorder="0" applyAlignment="0" applyProtection="0"/>
    <xf numFmtId="177" fontId="47" fillId="0" borderId="0"/>
    <xf numFmtId="0" fontId="42" fillId="0" borderId="0"/>
    <xf numFmtId="0" fontId="42" fillId="0" borderId="0"/>
    <xf numFmtId="0" fontId="42" fillId="0" borderId="0"/>
    <xf numFmtId="0" fontId="8" fillId="0" borderId="0"/>
    <xf numFmtId="166" fontId="14" fillId="0" borderId="0" applyProtection="0"/>
    <xf numFmtId="0" fontId="48" fillId="0" borderId="0"/>
    <xf numFmtId="0" fontId="6" fillId="0" borderId="0"/>
    <xf numFmtId="0" fontId="6" fillId="0" borderId="0"/>
    <xf numFmtId="0" fontId="6" fillId="0" borderId="0"/>
    <xf numFmtId="0" fontId="6" fillId="0" borderId="0"/>
    <xf numFmtId="0" fontId="14" fillId="0" borderId="0"/>
    <xf numFmtId="0" fontId="14" fillId="0" borderId="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8" fillId="0" borderId="0">
      <alignment horizontal="left" vertical="top"/>
    </xf>
    <xf numFmtId="0" fontId="50" fillId="0" borderId="27">
      <alignment horizontal="center"/>
    </xf>
    <xf numFmtId="3" fontId="43" fillId="0" borderId="0" applyFont="0" applyFill="0" applyBorder="0" applyAlignment="0" applyProtection="0"/>
    <xf numFmtId="0" fontId="43" fillId="7" borderId="0" applyNumberFormat="0" applyFont="0" applyBorder="0" applyAlignment="0" applyProtection="0"/>
    <xf numFmtId="3" fontId="8" fillId="0" borderId="0">
      <alignment horizontal="right" vertical="top"/>
    </xf>
    <xf numFmtId="41" fontId="10" fillId="5" borderId="3" applyFill="0"/>
    <xf numFmtId="0" fontId="51" fillId="0" borderId="0">
      <alignment horizontal="left" indent="7"/>
    </xf>
    <xf numFmtId="41" fontId="10" fillId="0" borderId="3" applyFill="0">
      <alignment horizontal="left" indent="2"/>
    </xf>
    <xf numFmtId="166" fontId="52" fillId="0" borderId="1" applyFill="0">
      <alignment horizontal="right"/>
    </xf>
    <xf numFmtId="0" fontId="9" fillId="0" borderId="5" applyNumberFormat="0" applyFont="0" applyBorder="0">
      <alignment horizontal="right"/>
    </xf>
    <xf numFmtId="0" fontId="53" fillId="0" borderId="0" applyFill="0"/>
    <xf numFmtId="0" fontId="31" fillId="0" borderId="0" applyFill="0"/>
    <xf numFmtId="4" fontId="52" fillId="0" borderId="1" applyFill="0"/>
    <xf numFmtId="0" fontId="8" fillId="0" borderId="0" applyNumberFormat="0" applyFont="0" applyBorder="0" applyAlignment="0"/>
    <xf numFmtId="0" fontId="33" fillId="0" borderId="0" applyFill="0">
      <alignment horizontal="left" indent="1"/>
    </xf>
    <xf numFmtId="0" fontId="54" fillId="0" borderId="0" applyFill="0">
      <alignment horizontal="left" indent="1"/>
    </xf>
    <xf numFmtId="4" fontId="35" fillId="0" borderId="0" applyFill="0"/>
    <xf numFmtId="0" fontId="8" fillId="0" borderId="0" applyNumberFormat="0" applyFont="0" applyFill="0" applyBorder="0" applyAlignment="0"/>
    <xf numFmtId="0" fontId="33" fillId="0" borderId="0" applyFill="0">
      <alignment horizontal="left" indent="2"/>
    </xf>
    <xf numFmtId="0" fontId="31" fillId="0" borderId="0" applyFill="0">
      <alignment horizontal="left" indent="2"/>
    </xf>
    <xf numFmtId="4" fontId="35" fillId="0" borderId="0" applyFill="0"/>
    <xf numFmtId="0" fontId="8" fillId="0" borderId="0" applyNumberFormat="0" applyFont="0" applyBorder="0" applyAlignment="0"/>
    <xf numFmtId="0" fontId="55" fillId="0" borderId="0">
      <alignment horizontal="left" indent="3"/>
    </xf>
    <xf numFmtId="0" fontId="56" fillId="0" borderId="0" applyFill="0">
      <alignment horizontal="left" indent="3"/>
    </xf>
    <xf numFmtId="4" fontId="35" fillId="0" borderId="0" applyFill="0"/>
    <xf numFmtId="0" fontId="8" fillId="0" borderId="0" applyNumberFormat="0" applyFont="0" applyBorder="0" applyAlignment="0"/>
    <xf numFmtId="0" fontId="36" fillId="0" borderId="0">
      <alignment horizontal="left" indent="4"/>
    </xf>
    <xf numFmtId="0" fontId="8" fillId="0" borderId="0" applyFill="0">
      <alignment horizontal="left" indent="4"/>
    </xf>
    <xf numFmtId="4" fontId="37" fillId="0" borderId="0" applyFill="0"/>
    <xf numFmtId="0" fontId="8"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8"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49" fillId="0" borderId="0" applyNumberFormat="0" applyBorder="0" applyAlignment="0"/>
    <xf numFmtId="0" fontId="57" fillId="0" borderId="0" applyNumberFormat="0" applyBorder="0" applyAlignment="0"/>
    <xf numFmtId="0" fontId="58" fillId="0" borderId="0" applyNumberFormat="0" applyBorder="0" applyAlignment="0"/>
    <xf numFmtId="0" fontId="49" fillId="0" borderId="0" applyNumberFormat="0" applyBorder="0" applyAlignment="0"/>
    <xf numFmtId="0" fontId="4" fillId="0" borderId="0"/>
    <xf numFmtId="44" fontId="14" fillId="0" borderId="0" applyFont="0" applyFill="0" applyBorder="0" applyAlignment="0" applyProtection="0"/>
    <xf numFmtId="44" fontId="4" fillId="0" borderId="0" applyFont="0" applyFill="0" applyBorder="0" applyAlignment="0" applyProtection="0"/>
    <xf numFmtId="0" fontId="8"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485">
    <xf numFmtId="0" fontId="0" fillId="0" borderId="0" xfId="0"/>
    <xf numFmtId="0" fontId="9" fillId="0" borderId="3" xfId="0" applyFont="1" applyBorder="1" applyAlignment="1">
      <alignment horizontal="center"/>
    </xf>
    <xf numFmtId="0" fontId="9" fillId="0" borderId="6" xfId="0" applyFont="1" applyBorder="1" applyAlignment="1">
      <alignment horizontal="center"/>
    </xf>
    <xf numFmtId="37" fontId="0" fillId="0" borderId="0" xfId="0" applyNumberFormat="1"/>
    <xf numFmtId="0" fontId="9" fillId="0" borderId="3" xfId="0" applyFont="1" applyBorder="1"/>
    <xf numFmtId="0" fontId="9" fillId="0" borderId="5" xfId="0" applyFont="1" applyBorder="1"/>
    <xf numFmtId="0" fontId="9" fillId="0" borderId="3" xfId="0" applyFont="1" applyFill="1" applyBorder="1" applyAlignment="1">
      <alignment horizontal="center"/>
    </xf>
    <xf numFmtId="0" fontId="9" fillId="0" borderId="4" xfId="0" applyFont="1" applyBorder="1" applyAlignment="1">
      <alignment horizontal="center"/>
    </xf>
    <xf numFmtId="14" fontId="10" fillId="0" borderId="0" xfId="0" applyNumberFormat="1" applyFont="1" applyAlignment="1">
      <alignment horizontal="center"/>
    </xf>
    <xf numFmtId="0" fontId="0" fillId="0" borderId="0" xfId="0" applyAlignment="1">
      <alignment horizontal="left"/>
    </xf>
    <xf numFmtId="0" fontId="10" fillId="0" borderId="0" xfId="0" applyFont="1" applyAlignment="1">
      <alignment horizontal="left"/>
    </xf>
    <xf numFmtId="14" fontId="10" fillId="0" borderId="0" xfId="0" applyNumberFormat="1" applyFont="1" applyAlignment="1">
      <alignment horizontal="left"/>
    </xf>
    <xf numFmtId="0" fontId="11" fillId="0" borderId="0" xfId="0" applyFont="1" applyBorder="1" applyAlignment="1">
      <alignment horizontal="left"/>
    </xf>
    <xf numFmtId="0" fontId="9" fillId="0" borderId="13" xfId="0" applyFont="1" applyBorder="1"/>
    <xf numFmtId="0" fontId="9" fillId="0" borderId="15" xfId="0" applyFont="1" applyFill="1" applyBorder="1"/>
    <xf numFmtId="0" fontId="9" fillId="0" borderId="18" xfId="0" applyFont="1" applyFill="1" applyBorder="1"/>
    <xf numFmtId="0" fontId="9" fillId="0" borderId="15" xfId="0" applyFont="1" applyBorder="1"/>
    <xf numFmtId="0" fontId="9" fillId="0" borderId="2" xfId="0" applyFont="1" applyBorder="1"/>
    <xf numFmtId="0" fontId="9" fillId="0" borderId="20" xfId="0" applyFont="1" applyBorder="1"/>
    <xf numFmtId="0" fontId="9" fillId="0" borderId="6" xfId="0" applyFont="1" applyBorder="1"/>
    <xf numFmtId="0" fontId="9" fillId="0" borderId="2" xfId="0" applyFont="1" applyFill="1" applyBorder="1"/>
    <xf numFmtId="0" fontId="9" fillId="0" borderId="21" xfId="0" applyFont="1" applyBorder="1"/>
    <xf numFmtId="164" fontId="9" fillId="0" borderId="16" xfId="1" applyNumberFormat="1" applyFont="1" applyBorder="1"/>
    <xf numFmtId="164" fontId="9" fillId="0" borderId="3" xfId="1" applyNumberFormat="1" applyFont="1" applyBorder="1"/>
    <xf numFmtId="165" fontId="9" fillId="0" borderId="16" xfId="2" applyNumberFormat="1" applyFont="1" applyBorder="1"/>
    <xf numFmtId="164" fontId="9" fillId="0" borderId="23" xfId="1" applyNumberFormat="1" applyFont="1" applyBorder="1"/>
    <xf numFmtId="165" fontId="9" fillId="0" borderId="24" xfId="2" applyNumberFormat="1" applyFont="1" applyBorder="1"/>
    <xf numFmtId="165" fontId="9" fillId="0" borderId="5" xfId="2" applyNumberFormat="1" applyFont="1" applyBorder="1"/>
    <xf numFmtId="164" fontId="9" fillId="0" borderId="5" xfId="1" applyNumberFormat="1" applyFont="1" applyBorder="1"/>
    <xf numFmtId="164" fontId="9" fillId="0" borderId="6" xfId="1" applyNumberFormat="1" applyFont="1" applyBorder="1"/>
    <xf numFmtId="165" fontId="9" fillId="0" borderId="4" xfId="2" applyNumberFormat="1" applyFont="1" applyBorder="1"/>
    <xf numFmtId="165" fontId="9" fillId="0" borderId="25" xfId="2" applyNumberFormat="1" applyFont="1" applyBorder="1"/>
    <xf numFmtId="165" fontId="9" fillId="0" borderId="14" xfId="2" applyNumberFormat="1" applyFont="1" applyBorder="1"/>
    <xf numFmtId="37" fontId="9" fillId="0" borderId="4" xfId="0" applyNumberFormat="1" applyFont="1" applyBorder="1"/>
    <xf numFmtId="165" fontId="9" fillId="0" borderId="13" xfId="2" applyNumberFormat="1" applyFont="1" applyBorder="1"/>
    <xf numFmtId="165" fontId="9" fillId="0" borderId="23" xfId="2" applyNumberFormat="1" applyFont="1" applyBorder="1"/>
    <xf numFmtId="165" fontId="8" fillId="0" borderId="8" xfId="2" applyNumberFormat="1" applyFont="1" applyBorder="1"/>
    <xf numFmtId="164" fontId="8" fillId="0" borderId="8" xfId="1" applyNumberFormat="1" applyFont="1" applyBorder="1"/>
    <xf numFmtId="164" fontId="8" fillId="0" borderId="7" xfId="1" applyNumberFormat="1" applyFont="1" applyBorder="1"/>
    <xf numFmtId="164" fontId="8" fillId="0" borderId="11" xfId="1" applyNumberFormat="1" applyFont="1" applyBorder="1"/>
    <xf numFmtId="166" fontId="15" fillId="0" borderId="0" xfId="3" applyFont="1" applyAlignment="1"/>
    <xf numFmtId="0" fontId="15" fillId="0" borderId="0" xfId="3" applyNumberFormat="1" applyFont="1" applyAlignment="1" applyProtection="1">
      <protection locked="0"/>
    </xf>
    <xf numFmtId="0" fontId="15" fillId="0" borderId="0" xfId="3" applyNumberFormat="1" applyFont="1" applyAlignment="1" applyProtection="1">
      <alignment horizontal="left"/>
      <protection locked="0"/>
    </xf>
    <xf numFmtId="0" fontId="15" fillId="0" borderId="0" xfId="3" applyNumberFormat="1" applyFont="1" applyProtection="1">
      <protection locked="0"/>
    </xf>
    <xf numFmtId="0" fontId="15" fillId="0" borderId="0" xfId="3" applyNumberFormat="1" applyFont="1"/>
    <xf numFmtId="0" fontId="15" fillId="0" borderId="0" xfId="3" applyNumberFormat="1" applyFont="1" applyAlignment="1">
      <alignment horizontal="right"/>
    </xf>
    <xf numFmtId="0" fontId="15" fillId="0" borderId="0" xfId="3" applyNumberFormat="1" applyFont="1" applyAlignment="1">
      <alignment horizontal="center"/>
    </xf>
    <xf numFmtId="0" fontId="15" fillId="0" borderId="0" xfId="3" applyNumberFormat="1" applyFont="1" applyFill="1"/>
    <xf numFmtId="3" fontId="15" fillId="0" borderId="0" xfId="3" applyNumberFormat="1" applyFont="1" applyFill="1" applyAlignment="1"/>
    <xf numFmtId="0" fontId="15" fillId="0" borderId="0" xfId="3" applyNumberFormat="1" applyFont="1" applyAlignment="1" applyProtection="1">
      <alignment horizontal="center"/>
      <protection locked="0"/>
    </xf>
    <xf numFmtId="49" fontId="15" fillId="0" borderId="0" xfId="3" applyNumberFormat="1" applyFont="1"/>
    <xf numFmtId="0" fontId="15" fillId="0" borderId="27" xfId="3" applyNumberFormat="1" applyFont="1" applyBorder="1" applyAlignment="1" applyProtection="1">
      <alignment horizontal="center"/>
      <protection locked="0"/>
    </xf>
    <xf numFmtId="3" fontId="15" fillId="0" borderId="0" xfId="3" applyNumberFormat="1" applyFont="1"/>
    <xf numFmtId="42" fontId="15" fillId="0" borderId="0" xfId="3" applyNumberFormat="1" applyFont="1"/>
    <xf numFmtId="0" fontId="15" fillId="0" borderId="0" xfId="3" applyNumberFormat="1" applyFont="1" applyAlignment="1"/>
    <xf numFmtId="3" fontId="15" fillId="0" borderId="0" xfId="3" applyNumberFormat="1" applyFont="1" applyAlignment="1"/>
    <xf numFmtId="0" fontId="15" fillId="0" borderId="27" xfId="3" applyNumberFormat="1" applyFont="1" applyBorder="1" applyAlignment="1" applyProtection="1">
      <alignment horizontal="centerContinuous"/>
      <protection locked="0"/>
    </xf>
    <xf numFmtId="167" fontId="15" fillId="0" borderId="0" xfId="3" applyNumberFormat="1" applyFont="1" applyAlignment="1"/>
    <xf numFmtId="3" fontId="15" fillId="2" borderId="0" xfId="3" applyNumberFormat="1" applyFont="1" applyFill="1"/>
    <xf numFmtId="0" fontId="16" fillId="0" borderId="0" xfId="3" applyNumberFormat="1" applyFont="1"/>
    <xf numFmtId="3" fontId="15" fillId="0" borderId="27" xfId="3" applyNumberFormat="1" applyFont="1" applyBorder="1" applyAlignment="1"/>
    <xf numFmtId="3" fontId="15" fillId="0" borderId="0" xfId="3" applyNumberFormat="1" applyFont="1" applyAlignment="1">
      <alignment horizontal="fill"/>
    </xf>
    <xf numFmtId="42" fontId="15" fillId="0" borderId="28" xfId="3" applyNumberFormat="1" applyFont="1" applyBorder="1" applyAlignment="1" applyProtection="1">
      <alignment horizontal="right"/>
      <protection locked="0"/>
    </xf>
    <xf numFmtId="3" fontId="15" fillId="0" borderId="0" xfId="3" applyNumberFormat="1" applyFont="1" applyFill="1" applyBorder="1"/>
    <xf numFmtId="3" fontId="15" fillId="2" borderId="0" xfId="3" applyNumberFormat="1" applyFont="1" applyFill="1" applyBorder="1"/>
    <xf numFmtId="3" fontId="15" fillId="2" borderId="27" xfId="3" applyNumberFormat="1" applyFont="1" applyFill="1" applyBorder="1"/>
    <xf numFmtId="168" fontId="15" fillId="0" borderId="0" xfId="3" applyNumberFormat="1" applyFont="1"/>
    <xf numFmtId="168" fontId="15" fillId="0" borderId="0" xfId="3" applyNumberFormat="1" applyFont="1" applyAlignment="1">
      <alignment horizontal="center"/>
    </xf>
    <xf numFmtId="166" fontId="15" fillId="0" borderId="0" xfId="3" applyFont="1" applyAlignment="1">
      <alignment horizontal="center"/>
    </xf>
    <xf numFmtId="169" fontId="15" fillId="0" borderId="0" xfId="3" applyNumberFormat="1" applyFont="1" applyAlignment="1"/>
    <xf numFmtId="169" fontId="15" fillId="2" borderId="0" xfId="3" applyNumberFormat="1" applyFont="1" applyFill="1" applyProtection="1">
      <protection locked="0"/>
    </xf>
    <xf numFmtId="169" fontId="15" fillId="0" borderId="0" xfId="3" applyNumberFormat="1" applyFont="1" applyProtection="1">
      <protection locked="0"/>
    </xf>
    <xf numFmtId="0" fontId="15" fillId="0" borderId="0" xfId="3" applyNumberFormat="1" applyFont="1" applyAlignment="1">
      <alignment horizontal="left"/>
    </xf>
    <xf numFmtId="49" fontId="15" fillId="0" borderId="0" xfId="3" applyNumberFormat="1" applyFont="1" applyAlignment="1">
      <alignment horizontal="left"/>
    </xf>
    <xf numFmtId="49" fontId="15" fillId="0" borderId="0" xfId="3" applyNumberFormat="1" applyFont="1" applyAlignment="1">
      <alignment horizontal="center"/>
    </xf>
    <xf numFmtId="3" fontId="17" fillId="0" borderId="0" xfId="3" applyNumberFormat="1" applyFont="1" applyAlignment="1">
      <alignment horizontal="center"/>
    </xf>
    <xf numFmtId="0" fontId="17" fillId="0" borderId="0" xfId="3" applyNumberFormat="1" applyFont="1" applyAlignment="1" applyProtection="1">
      <alignment horizontal="center"/>
      <protection locked="0"/>
    </xf>
    <xf numFmtId="0" fontId="17" fillId="0" borderId="0" xfId="3" applyNumberFormat="1" applyFont="1" applyAlignment="1"/>
    <xf numFmtId="166" fontId="17" fillId="0" borderId="0" xfId="3" applyFont="1" applyAlignment="1">
      <alignment horizontal="center"/>
    </xf>
    <xf numFmtId="3" fontId="17" fillId="0" borderId="0" xfId="3" applyNumberFormat="1" applyFont="1" applyAlignment="1"/>
    <xf numFmtId="0" fontId="15" fillId="0" borderId="0" xfId="3" applyNumberFormat="1" applyFont="1" applyFill="1" applyAlignment="1"/>
    <xf numFmtId="3" fontId="15" fillId="2" borderId="0" xfId="3" applyNumberFormat="1" applyFont="1" applyFill="1" applyBorder="1" applyAlignment="1"/>
    <xf numFmtId="170" fontId="15" fillId="0" borderId="0" xfId="3" applyNumberFormat="1" applyFont="1" applyAlignment="1"/>
    <xf numFmtId="3" fontId="15" fillId="2" borderId="27" xfId="3" applyNumberFormat="1" applyFont="1" applyFill="1" applyBorder="1" applyAlignment="1"/>
    <xf numFmtId="171" fontId="15" fillId="0" borderId="0" xfId="3" applyNumberFormat="1" applyFont="1" applyAlignment="1">
      <alignment horizontal="center"/>
    </xf>
    <xf numFmtId="3" fontId="15" fillId="2" borderId="0" xfId="3" applyNumberFormat="1" applyFont="1" applyFill="1" applyAlignment="1"/>
    <xf numFmtId="0" fontId="15" fillId="0" borderId="0" xfId="3" applyNumberFormat="1" applyFont="1" applyAlignment="1">
      <alignment horizontal="fill"/>
    </xf>
    <xf numFmtId="170" fontId="15" fillId="0" borderId="0" xfId="3" applyNumberFormat="1" applyFont="1" applyAlignment="1">
      <alignment horizontal="right"/>
    </xf>
    <xf numFmtId="3" fontId="15" fillId="0" borderId="0" xfId="3" applyNumberFormat="1" applyFont="1" applyAlignment="1">
      <alignment horizontal="center"/>
    </xf>
    <xf numFmtId="166" fontId="15" fillId="0" borderId="27" xfId="3" applyFont="1" applyBorder="1" applyAlignment="1"/>
    <xf numFmtId="3" fontId="15" fillId="0" borderId="28" xfId="3" applyNumberFormat="1" applyFont="1" applyBorder="1" applyAlignment="1"/>
    <xf numFmtId="3" fontId="15" fillId="0" borderId="0" xfId="3" applyNumberFormat="1" applyFont="1" applyAlignment="1">
      <alignment horizontal="right"/>
    </xf>
    <xf numFmtId="0" fontId="15" fillId="0" borderId="0" xfId="3" applyNumberFormat="1" applyFont="1" applyFill="1" applyAlignment="1" applyProtection="1">
      <alignment horizontal="center"/>
      <protection locked="0"/>
    </xf>
    <xf numFmtId="166" fontId="15" fillId="0" borderId="0" xfId="3" applyFont="1" applyFill="1" applyAlignment="1"/>
    <xf numFmtId="3" fontId="18" fillId="0" borderId="0" xfId="3" applyNumberFormat="1" applyFont="1" applyAlignment="1"/>
    <xf numFmtId="0" fontId="15" fillId="0" borderId="0" xfId="3" applyNumberFormat="1" applyFont="1" applyFill="1" applyAlignment="1">
      <alignment horizontal="fill"/>
    </xf>
    <xf numFmtId="3" fontId="15" fillId="0" borderId="0" xfId="3" applyNumberFormat="1" applyFont="1" applyAlignment="1">
      <alignment horizontal="left"/>
    </xf>
    <xf numFmtId="167" fontId="15" fillId="0" borderId="0" xfId="3" applyNumberFormat="1" applyFont="1" applyAlignment="1">
      <alignment horizontal="right"/>
    </xf>
    <xf numFmtId="10" fontId="15" fillId="0" borderId="0" xfId="3" applyNumberFormat="1" applyFont="1" applyAlignment="1">
      <alignment horizontal="left"/>
    </xf>
    <xf numFmtId="167" fontId="15" fillId="0" borderId="0" xfId="3" applyNumberFormat="1" applyFont="1" applyAlignment="1">
      <alignment horizontal="center"/>
    </xf>
    <xf numFmtId="171" fontId="15" fillId="0" borderId="0" xfId="3" applyNumberFormat="1" applyFont="1" applyAlignment="1">
      <alignment horizontal="left"/>
    </xf>
    <xf numFmtId="10" fontId="15" fillId="0" borderId="0" xfId="3" applyNumberFormat="1" applyFont="1" applyFill="1" applyAlignment="1">
      <alignment horizontal="right"/>
    </xf>
    <xf numFmtId="172" fontId="15" fillId="0" borderId="0" xfId="3" applyNumberFormat="1" applyFont="1" applyFill="1" applyAlignment="1">
      <alignment horizontal="right"/>
    </xf>
    <xf numFmtId="171" fontId="15" fillId="0" borderId="0" xfId="3" applyNumberFormat="1" applyFont="1" applyAlignment="1" applyProtection="1">
      <alignment horizontal="left"/>
      <protection locked="0"/>
    </xf>
    <xf numFmtId="3" fontId="15" fillId="0" borderId="0" xfId="3" applyNumberFormat="1" applyFont="1" applyFill="1" applyAlignment="1">
      <alignment horizontal="right"/>
    </xf>
    <xf numFmtId="173" fontId="15" fillId="0" borderId="0" xfId="3" applyNumberFormat="1" applyFont="1" applyAlignment="1"/>
    <xf numFmtId="3" fontId="15" fillId="0" borderId="0" xfId="3" applyNumberFormat="1" applyFont="1" applyBorder="1" applyAlignment="1"/>
    <xf numFmtId="0" fontId="15" fillId="2" borderId="0" xfId="3" applyNumberFormat="1" applyFont="1" applyFill="1" applyBorder="1" applyAlignment="1"/>
    <xf numFmtId="0" fontId="15" fillId="2" borderId="27" xfId="3" applyNumberFormat="1" applyFont="1" applyFill="1" applyBorder="1" applyAlignment="1"/>
    <xf numFmtId="3" fontId="15" fillId="0" borderId="28" xfId="3" applyNumberFormat="1" applyFont="1" applyFill="1" applyBorder="1" applyAlignment="1"/>
    <xf numFmtId="0" fontId="19" fillId="0" borderId="0" xfId="3" applyNumberFormat="1" applyFont="1" applyAlignment="1" applyProtection="1">
      <alignment horizontal="center"/>
      <protection locked="0"/>
    </xf>
    <xf numFmtId="166" fontId="19" fillId="0" borderId="0" xfId="3" applyFont="1" applyAlignment="1"/>
    <xf numFmtId="3" fontId="19" fillId="0" borderId="0" xfId="3" applyNumberFormat="1" applyFont="1" applyAlignment="1"/>
    <xf numFmtId="0" fontId="19" fillId="0" borderId="0" xfId="3" applyNumberFormat="1" applyFont="1"/>
    <xf numFmtId="0" fontId="19" fillId="0" borderId="0" xfId="3" applyNumberFormat="1" applyFont="1" applyAlignment="1">
      <alignment horizontal="center"/>
    </xf>
    <xf numFmtId="166" fontId="15" fillId="0" borderId="0" xfId="3" applyFont="1" applyAlignment="1">
      <alignment horizontal="right"/>
    </xf>
    <xf numFmtId="0" fontId="20" fillId="0" borderId="0" xfId="3" applyNumberFormat="1" applyFont="1"/>
    <xf numFmtId="0" fontId="15" fillId="0" borderId="27" xfId="3" applyNumberFormat="1" applyFont="1" applyBorder="1" applyProtection="1">
      <protection locked="0"/>
    </xf>
    <xf numFmtId="0" fontId="15" fillId="0" borderId="27" xfId="3" applyNumberFormat="1" applyFont="1" applyBorder="1"/>
    <xf numFmtId="166" fontId="21" fillId="0" borderId="0" xfId="3" applyFont="1" applyAlignment="1"/>
    <xf numFmtId="49" fontId="15" fillId="0" borderId="0" xfId="3" applyNumberFormat="1" applyFont="1" applyAlignment="1"/>
    <xf numFmtId="174" fontId="15" fillId="0" borderId="17" xfId="3" applyNumberFormat="1" applyFont="1" applyBorder="1" applyAlignment="1"/>
    <xf numFmtId="3" fontId="16" fillId="0" borderId="0" xfId="3" applyNumberFormat="1" applyFont="1" applyBorder="1" applyAlignment="1"/>
    <xf numFmtId="0" fontId="15" fillId="0" borderId="0" xfId="3" applyNumberFormat="1" applyFont="1" applyBorder="1"/>
    <xf numFmtId="0" fontId="15" fillId="0" borderId="0" xfId="3" applyNumberFormat="1" applyFont="1" applyBorder="1" applyAlignment="1"/>
    <xf numFmtId="166" fontId="15" fillId="0" borderId="7" xfId="3" applyFont="1" applyBorder="1" applyAlignment="1"/>
    <xf numFmtId="174" fontId="15" fillId="2" borderId="2" xfId="3" applyNumberFormat="1" applyFont="1" applyFill="1" applyBorder="1" applyAlignment="1"/>
    <xf numFmtId="166" fontId="16" fillId="0" borderId="0" xfId="3" applyFont="1" applyBorder="1" applyAlignment="1"/>
    <xf numFmtId="166" fontId="15" fillId="0" borderId="0" xfId="3" applyFont="1" applyBorder="1" applyAlignment="1"/>
    <xf numFmtId="0" fontId="15" fillId="0" borderId="17" xfId="3" applyNumberFormat="1" applyFont="1" applyBorder="1" applyAlignment="1">
      <alignment horizontal="center"/>
    </xf>
    <xf numFmtId="166" fontId="22" fillId="0" borderId="0" xfId="3" applyFont="1" applyBorder="1"/>
    <xf numFmtId="0" fontId="15" fillId="0" borderId="0" xfId="3" applyNumberFormat="1" applyFont="1" applyBorder="1" applyAlignment="1">
      <alignment horizontal="center"/>
    </xf>
    <xf numFmtId="0" fontId="15" fillId="0" borderId="7" xfId="3" applyNumberFormat="1" applyFont="1" applyBorder="1" applyAlignment="1">
      <alignment horizontal="center"/>
    </xf>
    <xf numFmtId="174" fontId="15" fillId="2" borderId="17" xfId="3" applyNumberFormat="1" applyFont="1" applyFill="1" applyBorder="1" applyAlignment="1"/>
    <xf numFmtId="166" fontId="16" fillId="0" borderId="0" xfId="3" applyFont="1" applyBorder="1"/>
    <xf numFmtId="170" fontId="15" fillId="0" borderId="0" xfId="3" applyNumberFormat="1" applyFont="1"/>
    <xf numFmtId="167" fontId="15" fillId="0" borderId="0" xfId="3" applyNumberFormat="1" applyFont="1"/>
    <xf numFmtId="174" fontId="15" fillId="0" borderId="17" xfId="3" applyNumberFormat="1" applyFont="1" applyFill="1" applyBorder="1" applyAlignment="1"/>
    <xf numFmtId="174" fontId="15" fillId="0" borderId="2" xfId="3" applyNumberFormat="1" applyFont="1" applyBorder="1" applyAlignment="1"/>
    <xf numFmtId="166" fontId="16" fillId="0" borderId="1" xfId="3" applyFont="1" applyBorder="1" applyAlignment="1"/>
    <xf numFmtId="166" fontId="15" fillId="0" borderId="1" xfId="3" applyFont="1" applyBorder="1" applyAlignment="1"/>
    <xf numFmtId="166" fontId="15" fillId="0" borderId="8" xfId="3" applyFont="1" applyBorder="1" applyAlignment="1"/>
    <xf numFmtId="3" fontId="15" fillId="0" borderId="27" xfId="3" applyNumberFormat="1" applyFont="1" applyBorder="1" applyAlignment="1">
      <alignment horizontal="center"/>
    </xf>
    <xf numFmtId="4" fontId="15" fillId="0" borderId="0" xfId="3" applyNumberFormat="1" applyFont="1" applyAlignment="1"/>
    <xf numFmtId="174" fontId="15" fillId="0" borderId="0" xfId="3" applyNumberFormat="1" applyFont="1" applyBorder="1" applyAlignment="1"/>
    <xf numFmtId="3" fontId="15" fillId="0" borderId="0" xfId="3" applyNumberFormat="1" applyFont="1" applyBorder="1" applyAlignment="1">
      <alignment horizontal="center"/>
    </xf>
    <xf numFmtId="167" fontId="15" fillId="0" borderId="0" xfId="3" applyNumberFormat="1" applyFont="1" applyAlignment="1" applyProtection="1">
      <alignment horizontal="center"/>
      <protection locked="0"/>
    </xf>
    <xf numFmtId="0" fontId="15" fillId="0" borderId="27" xfId="3" applyNumberFormat="1" applyFont="1" applyBorder="1" applyAlignment="1"/>
    <xf numFmtId="174" fontId="15" fillId="2" borderId="0" xfId="3" applyNumberFormat="1" applyFont="1" applyFill="1" applyAlignment="1"/>
    <xf numFmtId="9" fontId="15" fillId="0" borderId="0" xfId="3" applyNumberFormat="1" applyFont="1" applyAlignment="1"/>
    <xf numFmtId="172" fontId="15" fillId="0" borderId="0" xfId="3" applyNumberFormat="1" applyFont="1" applyAlignment="1"/>
    <xf numFmtId="10" fontId="15" fillId="0" borderId="0" xfId="3" applyNumberFormat="1" applyFont="1" applyAlignment="1"/>
    <xf numFmtId="3" fontId="15" fillId="0" borderId="0" xfId="3" quotePrefix="1" applyNumberFormat="1" applyFont="1" applyAlignment="1"/>
    <xf numFmtId="9" fontId="15" fillId="0" borderId="27" xfId="3" applyNumberFormat="1" applyFont="1" applyBorder="1" applyAlignment="1"/>
    <xf numFmtId="172" fontId="15" fillId="0" borderId="27" xfId="3" applyNumberFormat="1" applyFont="1" applyBorder="1" applyAlignment="1"/>
    <xf numFmtId="9" fontId="15" fillId="0" borderId="0" xfId="3" applyNumberFormat="1" applyFont="1" applyFill="1" applyAlignment="1"/>
    <xf numFmtId="10" fontId="15" fillId="2" borderId="0" xfId="3" applyNumberFormat="1" applyFont="1" applyFill="1" applyAlignment="1"/>
    <xf numFmtId="0" fontId="19" fillId="0" borderId="0" xfId="3" applyNumberFormat="1" applyFont="1" applyProtection="1">
      <protection locked="0"/>
    </xf>
    <xf numFmtId="166" fontId="15" fillId="0" borderId="0" xfId="3" applyFont="1" applyFill="1" applyAlignment="1" applyProtection="1"/>
    <xf numFmtId="0" fontId="15" fillId="0" borderId="0" xfId="3" applyNumberFormat="1" applyFont="1" applyBorder="1" applyProtection="1">
      <protection locked="0"/>
    </xf>
    <xf numFmtId="169" fontId="15" fillId="0" borderId="0" xfId="3" applyNumberFormat="1" applyFont="1" applyBorder="1" applyProtection="1">
      <protection locked="0"/>
    </xf>
    <xf numFmtId="174" fontId="15" fillId="0" borderId="0" xfId="3" applyNumberFormat="1" applyFont="1" applyFill="1" applyBorder="1" applyProtection="1"/>
    <xf numFmtId="174" fontId="15" fillId="2" borderId="0" xfId="3" applyNumberFormat="1" applyFont="1" applyFill="1" applyBorder="1" applyProtection="1"/>
    <xf numFmtId="174" fontId="15" fillId="2" borderId="0" xfId="3" applyNumberFormat="1" applyFont="1" applyFill="1" applyBorder="1" applyAlignment="1" applyProtection="1">
      <protection locked="0"/>
    </xf>
    <xf numFmtId="0" fontId="15" fillId="0" borderId="0" xfId="3" applyNumberFormat="1" applyFont="1" applyBorder="1" applyAlignment="1" applyProtection="1">
      <protection locked="0"/>
    </xf>
    <xf numFmtId="174" fontId="15" fillId="2" borderId="27" xfId="3" applyNumberFormat="1" applyFont="1" applyFill="1" applyBorder="1" applyAlignment="1" applyProtection="1">
      <protection locked="0"/>
    </xf>
    <xf numFmtId="174" fontId="15" fillId="0" borderId="0" xfId="3" applyNumberFormat="1" applyFont="1" applyFill="1" applyBorder="1" applyAlignment="1" applyProtection="1"/>
    <xf numFmtId="3" fontId="16" fillId="0" borderId="0" xfId="3" applyNumberFormat="1" applyFont="1" applyAlignment="1">
      <alignment horizontal="left"/>
    </xf>
    <xf numFmtId="166" fontId="15" fillId="0" borderId="0" xfId="3" applyNumberFormat="1" applyFont="1" applyAlignment="1" applyProtection="1">
      <protection locked="0"/>
    </xf>
    <xf numFmtId="0" fontId="19" fillId="0" borderId="0" xfId="3" applyNumberFormat="1" applyFont="1" applyAlignment="1" applyProtection="1">
      <protection locked="0"/>
    </xf>
    <xf numFmtId="0" fontId="19" fillId="0" borderId="0" xfId="3" applyNumberFormat="1" applyFont="1" applyAlignment="1"/>
    <xf numFmtId="3" fontId="15" fillId="0" borderId="0" xfId="3" applyNumberFormat="1" applyFont="1" applyProtection="1">
      <protection locked="0"/>
    </xf>
    <xf numFmtId="174" fontId="15" fillId="0" borderId="0" xfId="3" applyNumberFormat="1" applyFont="1" applyAlignment="1" applyProtection="1">
      <alignment horizontal="right"/>
      <protection locked="0"/>
    </xf>
    <xf numFmtId="174" fontId="15" fillId="0" borderId="0" xfId="3" applyNumberFormat="1" applyFont="1" applyProtection="1">
      <protection locked="0"/>
    </xf>
    <xf numFmtId="3" fontId="15" fillId="0" borderId="0" xfId="3" applyNumberFormat="1" applyFont="1" applyFill="1" applyAlignment="1" applyProtection="1"/>
    <xf numFmtId="0" fontId="15" fillId="0" borderId="0" xfId="3" applyNumberFormat="1" applyFont="1" applyAlignment="1" applyProtection="1">
      <alignment horizontal="left" indent="8"/>
      <protection locked="0"/>
    </xf>
    <xf numFmtId="0" fontId="15" fillId="0" borderId="0" xfId="3" applyNumberFormat="1" applyFont="1" applyAlignment="1" applyProtection="1">
      <alignment horizontal="center" vertical="top" wrapText="1"/>
      <protection locked="0"/>
    </xf>
    <xf numFmtId="0" fontId="15" fillId="0" borderId="0" xfId="3" applyNumberFormat="1" applyFont="1" applyFill="1" applyAlignment="1" applyProtection="1">
      <alignment horizontal="left" vertical="top" wrapText="1" indent="8"/>
      <protection locked="0"/>
    </xf>
    <xf numFmtId="0" fontId="15" fillId="0" borderId="0" xfId="3" applyNumberFormat="1" applyFont="1" applyFill="1" applyAlignment="1" applyProtection="1">
      <alignment vertical="top" wrapText="1"/>
      <protection locked="0"/>
    </xf>
    <xf numFmtId="10" fontId="15" fillId="2" borderId="0" xfId="3" applyNumberFormat="1" applyFont="1" applyFill="1" applyAlignment="1" applyProtection="1">
      <alignment vertical="top" wrapText="1"/>
      <protection locked="0"/>
    </xf>
    <xf numFmtId="3" fontId="15" fillId="0" borderId="0" xfId="3" applyNumberFormat="1" applyFont="1" applyAlignment="1">
      <alignment vertical="top" wrapText="1"/>
    </xf>
    <xf numFmtId="0" fontId="15" fillId="0" borderId="0" xfId="3" applyNumberFormat="1" applyFont="1" applyAlignment="1" applyProtection="1">
      <alignment vertical="top" wrapText="1"/>
      <protection locked="0"/>
    </xf>
    <xf numFmtId="0" fontId="16" fillId="0" borderId="0" xfId="3" applyNumberFormat="1" applyFont="1" applyFill="1" applyAlignment="1" applyProtection="1">
      <alignment horizontal="left"/>
      <protection locked="0"/>
    </xf>
    <xf numFmtId="166" fontId="15" fillId="0" borderId="0" xfId="3" applyFont="1" applyAlignment="1">
      <alignment horizontal="center" vertical="top" wrapText="1"/>
    </xf>
    <xf numFmtId="166" fontId="15" fillId="0" borderId="0" xfId="3" applyFont="1" applyFill="1" applyAlignment="1">
      <alignment horizontal="center" vertical="top" wrapText="1"/>
    </xf>
    <xf numFmtId="0" fontId="15" fillId="0" borderId="0" xfId="3" applyNumberFormat="1" applyFont="1" applyFill="1" applyAlignment="1">
      <alignment horizontal="left" vertical="top"/>
    </xf>
    <xf numFmtId="0" fontId="15" fillId="0" borderId="0" xfId="3" applyNumberFormat="1" applyFont="1" applyFill="1" applyAlignment="1">
      <alignment vertical="top"/>
    </xf>
    <xf numFmtId="0" fontId="15" fillId="0" borderId="0" xfId="3" applyNumberFormat="1" applyFont="1" applyFill="1" applyAlignment="1">
      <alignment vertical="top" wrapText="1"/>
    </xf>
    <xf numFmtId="0" fontId="15" fillId="2" borderId="0" xfId="3" applyNumberFormat="1" applyFont="1" applyFill="1" applyProtection="1">
      <protection locked="0"/>
    </xf>
    <xf numFmtId="166" fontId="15" fillId="2" borderId="0" xfId="3" applyFont="1" applyFill="1" applyAlignment="1"/>
    <xf numFmtId="0" fontId="15" fillId="2" borderId="0" xfId="3" applyNumberFormat="1" applyFont="1" applyFill="1"/>
    <xf numFmtId="0" fontId="15" fillId="2" borderId="0" xfId="3" applyNumberFormat="1" applyFont="1" applyFill="1" applyAlignment="1" applyProtection="1">
      <alignment horizontal="right"/>
      <protection locked="0"/>
    </xf>
    <xf numFmtId="49" fontId="15" fillId="2" borderId="0" xfId="3" applyNumberFormat="1" applyFont="1" applyFill="1"/>
    <xf numFmtId="0" fontId="15" fillId="0" borderId="0" xfId="3" applyNumberFormat="1" applyFont="1" applyFill="1" applyBorder="1" applyAlignment="1" applyProtection="1">
      <protection locked="0"/>
    </xf>
    <xf numFmtId="0" fontId="15" fillId="0" borderId="0" xfId="3" applyNumberFormat="1" applyFont="1" applyFill="1" applyBorder="1" applyProtection="1">
      <protection locked="0"/>
    </xf>
    <xf numFmtId="0" fontId="15" fillId="0" borderId="27" xfId="3" applyNumberFormat="1" applyFont="1" applyFill="1" applyBorder="1" applyAlignment="1" applyProtection="1">
      <protection locked="0"/>
    </xf>
    <xf numFmtId="0" fontId="15" fillId="0" borderId="27" xfId="3" applyNumberFormat="1" applyFont="1" applyFill="1" applyBorder="1" applyProtection="1">
      <protection locked="0"/>
    </xf>
    <xf numFmtId="0" fontId="19" fillId="0" borderId="0" xfId="3" applyNumberFormat="1" applyFont="1" applyAlignment="1" applyProtection="1">
      <alignment vertical="top" wrapText="1"/>
      <protection locked="0"/>
    </xf>
    <xf numFmtId="166" fontId="19" fillId="0" borderId="0" xfId="3" applyFont="1" applyAlignment="1">
      <alignment horizontal="center" vertical="top" wrapText="1"/>
    </xf>
    <xf numFmtId="0" fontId="19" fillId="0" borderId="0" xfId="3" applyNumberFormat="1" applyFont="1" applyFill="1" applyAlignment="1">
      <alignment vertical="top" wrapText="1"/>
    </xf>
    <xf numFmtId="165" fontId="9" fillId="0" borderId="25" xfId="6" applyNumberFormat="1" applyFont="1" applyBorder="1"/>
    <xf numFmtId="165" fontId="9" fillId="0" borderId="4" xfId="6" applyNumberFormat="1" applyFont="1" applyBorder="1"/>
    <xf numFmtId="165" fontId="9" fillId="0" borderId="14" xfId="6" applyNumberFormat="1" applyFont="1" applyFill="1" applyBorder="1"/>
    <xf numFmtId="165" fontId="9" fillId="0" borderId="4" xfId="6" applyNumberFormat="1" applyFont="1" applyFill="1" applyBorder="1"/>
    <xf numFmtId="165" fontId="9" fillId="0" borderId="16" xfId="6" applyNumberFormat="1" applyFont="1" applyBorder="1"/>
    <xf numFmtId="165" fontId="9" fillId="0" borderId="0" xfId="6" applyNumberFormat="1" applyFont="1" applyFill="1" applyBorder="1"/>
    <xf numFmtId="165" fontId="9" fillId="0" borderId="16" xfId="6" applyNumberFormat="1" applyFont="1" applyFill="1" applyBorder="1"/>
    <xf numFmtId="37" fontId="9" fillId="0" borderId="16" xfId="4" applyNumberFormat="1" applyFont="1" applyFill="1" applyBorder="1"/>
    <xf numFmtId="37" fontId="9" fillId="0" borderId="6" xfId="4" applyNumberFormat="1" applyFont="1" applyFill="1" applyBorder="1"/>
    <xf numFmtId="164" fontId="9" fillId="0" borderId="16" xfId="4" applyNumberFormat="1" applyFont="1" applyFill="1" applyBorder="1"/>
    <xf numFmtId="164" fontId="9" fillId="0" borderId="23" xfId="4" applyNumberFormat="1" applyFont="1" applyFill="1" applyBorder="1"/>
    <xf numFmtId="0" fontId="15" fillId="0" borderId="0" xfId="0" applyNumberFormat="1" applyFont="1" applyAlignment="1"/>
    <xf numFmtId="0" fontId="25" fillId="0" borderId="0" xfId="13" applyFont="1"/>
    <xf numFmtId="14" fontId="24" fillId="0" borderId="0" xfId="13" applyNumberFormat="1" applyFont="1" applyAlignment="1">
      <alignment horizontal="center"/>
    </xf>
    <xf numFmtId="0" fontId="25" fillId="0" borderId="26" xfId="13" applyFont="1" applyBorder="1"/>
    <xf numFmtId="0" fontId="25" fillId="0" borderId="10" xfId="13" applyFont="1" applyBorder="1"/>
    <xf numFmtId="0" fontId="25" fillId="0" borderId="0" xfId="13" applyFont="1" applyBorder="1"/>
    <xf numFmtId="0" fontId="25" fillId="0" borderId="26" xfId="13" applyFont="1" applyBorder="1" applyAlignment="1">
      <alignment horizontal="center"/>
    </xf>
    <xf numFmtId="0" fontId="25" fillId="0" borderId="6" xfId="13" applyFont="1" applyBorder="1" applyAlignment="1">
      <alignment horizontal="center"/>
    </xf>
    <xf numFmtId="0" fontId="25" fillId="0" borderId="0" xfId="13" applyFont="1" applyBorder="1" applyAlignment="1">
      <alignment horizontal="center"/>
    </xf>
    <xf numFmtId="0" fontId="25" fillId="0" borderId="0" xfId="13" applyFont="1" applyBorder="1" applyAlignment="1">
      <alignment horizontal="left"/>
    </xf>
    <xf numFmtId="0" fontId="25" fillId="0" borderId="5" xfId="13" applyFont="1" applyBorder="1" applyAlignment="1">
      <alignment horizontal="center"/>
    </xf>
    <xf numFmtId="0" fontId="25" fillId="0" borderId="2" xfId="13" applyFont="1" applyBorder="1" applyAlignment="1">
      <alignment horizontal="center"/>
    </xf>
    <xf numFmtId="0" fontId="25" fillId="0" borderId="4" xfId="13" applyFont="1" applyBorder="1" applyAlignment="1">
      <alignment horizontal="center"/>
    </xf>
    <xf numFmtId="165" fontId="25" fillId="0" borderId="0" xfId="6" applyNumberFormat="1" applyFont="1"/>
    <xf numFmtId="165" fontId="25" fillId="0" borderId="0" xfId="6" applyNumberFormat="1" applyFont="1" applyFill="1"/>
    <xf numFmtId="165" fontId="25" fillId="0" borderId="0" xfId="6" applyNumberFormat="1" applyFont="1" applyBorder="1"/>
    <xf numFmtId="165" fontId="25" fillId="0" borderId="29" xfId="6" applyNumberFormat="1" applyFont="1" applyBorder="1"/>
    <xf numFmtId="0" fontId="26" fillId="0" borderId="0" xfId="13" applyFont="1"/>
    <xf numFmtId="0" fontId="24" fillId="0" borderId="0" xfId="13" applyFont="1"/>
    <xf numFmtId="165" fontId="24" fillId="0" borderId="29" xfId="6" applyNumberFormat="1" applyFont="1" applyBorder="1"/>
    <xf numFmtId="165" fontId="24" fillId="0" borderId="0" xfId="6" applyNumberFormat="1" applyFont="1" applyBorder="1"/>
    <xf numFmtId="0" fontId="25" fillId="0" borderId="0" xfId="13" applyFont="1" applyAlignment="1">
      <alignment horizontal="left"/>
    </xf>
    <xf numFmtId="0" fontId="15" fillId="0" borderId="0" xfId="0" applyFont="1" applyAlignment="1"/>
    <xf numFmtId="166" fontId="25" fillId="0" borderId="0" xfId="3" applyFont="1" applyAlignment="1"/>
    <xf numFmtId="0" fontId="25" fillId="0" borderId="0" xfId="5" applyNumberFormat="1" applyFont="1" applyAlignment="1">
      <alignment horizontal="center"/>
    </xf>
    <xf numFmtId="0" fontId="25" fillId="0" borderId="0" xfId="3" applyNumberFormat="1" applyFont="1" applyAlignment="1"/>
    <xf numFmtId="166" fontId="8" fillId="0" borderId="6" xfId="3" quotePrefix="1" applyFont="1" applyBorder="1" applyAlignment="1">
      <alignment horizontal="center"/>
    </xf>
    <xf numFmtId="166" fontId="8" fillId="0" borderId="6" xfId="3" applyFont="1" applyBorder="1" applyAlignment="1">
      <alignment horizontal="center"/>
    </xf>
    <xf numFmtId="0" fontId="8" fillId="0" borderId="0" xfId="0" applyFont="1"/>
    <xf numFmtId="0" fontId="10" fillId="0" borderId="0" xfId="0" applyFont="1" applyAlignment="1">
      <alignment horizontal="center"/>
    </xf>
    <xf numFmtId="0" fontId="8" fillId="0" borderId="0" xfId="0" applyFont="1" applyAlignment="1">
      <alignment horizontal="left"/>
    </xf>
    <xf numFmtId="0" fontId="8" fillId="0" borderId="6" xfId="0" applyFont="1" applyBorder="1"/>
    <xf numFmtId="0" fontId="8" fillId="0" borderId="10" xfId="0" applyFont="1" applyBorder="1"/>
    <xf numFmtId="0" fontId="8" fillId="0" borderId="10" xfId="0" applyFont="1" applyBorder="1" applyAlignment="1">
      <alignment horizontal="center"/>
    </xf>
    <xf numFmtId="0" fontId="8" fillId="0" borderId="4" xfId="0" applyFont="1" applyBorder="1"/>
    <xf numFmtId="0" fontId="8" fillId="0" borderId="8" xfId="0" applyFont="1" applyBorder="1"/>
    <xf numFmtId="0" fontId="8" fillId="0" borderId="8" xfId="0" applyFont="1" applyBorder="1" applyAlignment="1">
      <alignment horizontal="center"/>
    </xf>
    <xf numFmtId="0" fontId="8" fillId="0" borderId="4" xfId="0" applyFont="1" applyBorder="1" applyAlignment="1">
      <alignment horizontal="center"/>
    </xf>
    <xf numFmtId="165" fontId="8" fillId="0" borderId="8" xfId="6" applyNumberFormat="1" applyFont="1" applyFill="1" applyBorder="1"/>
    <xf numFmtId="164" fontId="8" fillId="0" borderId="8" xfId="4" applyNumberFormat="1" applyFont="1" applyFill="1" applyBorder="1"/>
    <xf numFmtId="0" fontId="8" fillId="0" borderId="5" xfId="0" applyFont="1" applyBorder="1" applyAlignment="1">
      <alignment horizontal="center"/>
    </xf>
    <xf numFmtId="0" fontId="8" fillId="0" borderId="11" xfId="0" applyFont="1" applyBorder="1"/>
    <xf numFmtId="164" fontId="8" fillId="0" borderId="11" xfId="4" applyNumberFormat="1" applyFont="1" applyFill="1" applyBorder="1"/>
    <xf numFmtId="0" fontId="8" fillId="0" borderId="3" xfId="0" applyFont="1" applyBorder="1" applyAlignment="1">
      <alignment horizontal="center"/>
    </xf>
    <xf numFmtId="0" fontId="8" fillId="0" borderId="7" xfId="0" applyFont="1" applyBorder="1"/>
    <xf numFmtId="164" fontId="8" fillId="0" borderId="7" xfId="4" applyNumberFormat="1" applyFont="1" applyFill="1" applyBorder="1"/>
    <xf numFmtId="0" fontId="8" fillId="0" borderId="14" xfId="0" applyFont="1" applyBorder="1" applyAlignment="1">
      <alignment horizontal="center"/>
    </xf>
    <xf numFmtId="0" fontId="8" fillId="0" borderId="13" xfId="0" applyFont="1" applyBorder="1"/>
    <xf numFmtId="0" fontId="8" fillId="0" borderId="0" xfId="0" applyFont="1" applyBorder="1"/>
    <xf numFmtId="37" fontId="8" fillId="0" borderId="0" xfId="0" applyNumberFormat="1" applyFont="1" applyBorder="1"/>
    <xf numFmtId="37" fontId="8" fillId="0" borderId="0" xfId="0" applyNumberFormat="1" applyFont="1"/>
    <xf numFmtId="0" fontId="8" fillId="0" borderId="6" xfId="0" applyFont="1" applyBorder="1" applyAlignment="1">
      <alignment horizontal="center"/>
    </xf>
    <xf numFmtId="0" fontId="8" fillId="0" borderId="7" xfId="0" applyFont="1" applyBorder="1" applyAlignment="1">
      <alignment horizontal="center"/>
    </xf>
    <xf numFmtId="43" fontId="8" fillId="0" borderId="6" xfId="1" applyFont="1" applyBorder="1"/>
    <xf numFmtId="0" fontId="8" fillId="0" borderId="3" xfId="0" applyFont="1" applyBorder="1"/>
    <xf numFmtId="37" fontId="8" fillId="0" borderId="3" xfId="1" applyNumberFormat="1" applyFont="1" applyBorder="1"/>
    <xf numFmtId="0" fontId="8" fillId="0" borderId="4" xfId="0" applyFont="1" applyBorder="1" applyAlignment="1">
      <alignment horizontal="left" indent="1"/>
    </xf>
    <xf numFmtId="165" fontId="8" fillId="0" borderId="4" xfId="6" applyNumberFormat="1" applyFont="1" applyFill="1" applyBorder="1"/>
    <xf numFmtId="165" fontId="8" fillId="0" borderId="4" xfId="2" applyNumberFormat="1" applyFont="1" applyBorder="1"/>
    <xf numFmtId="0" fontId="8" fillId="0" borderId="5" xfId="0" applyFont="1" applyBorder="1"/>
    <xf numFmtId="37" fontId="8" fillId="0" borderId="5" xfId="4" applyNumberFormat="1" applyFont="1" applyFill="1" applyBorder="1"/>
    <xf numFmtId="0" fontId="8" fillId="0" borderId="5" xfId="0" applyFont="1" applyFill="1" applyBorder="1"/>
    <xf numFmtId="37" fontId="8" fillId="0" borderId="5" xfId="1" applyNumberFormat="1" applyFont="1" applyBorder="1"/>
    <xf numFmtId="37" fontId="8" fillId="0" borderId="3" xfId="4" applyNumberFormat="1" applyFont="1" applyFill="1" applyBorder="1"/>
    <xf numFmtId="0" fontId="8" fillId="0" borderId="3" xfId="0" applyFont="1" applyBorder="1" applyAlignment="1">
      <alignment horizontal="left" indent="1"/>
    </xf>
    <xf numFmtId="0" fontId="8" fillId="0" borderId="11" xfId="0" applyFont="1" applyFill="1" applyBorder="1" applyAlignment="1">
      <alignment horizontal="center"/>
    </xf>
    <xf numFmtId="0" fontId="8" fillId="0" borderId="6" xfId="0" applyFont="1" applyFill="1" applyBorder="1" applyAlignment="1">
      <alignment horizontal="center"/>
    </xf>
    <xf numFmtId="0" fontId="8" fillId="0" borderId="3" xfId="0" applyFont="1" applyFill="1" applyBorder="1"/>
    <xf numFmtId="37" fontId="8" fillId="0" borderId="7" xfId="4" applyNumberFormat="1" applyFont="1" applyFill="1" applyBorder="1"/>
    <xf numFmtId="0" fontId="8" fillId="0" borderId="3" xfId="0" applyFont="1" applyFill="1" applyBorder="1" applyAlignment="1">
      <alignment horizontal="center"/>
    </xf>
    <xf numFmtId="0" fontId="8" fillId="0" borderId="17" xfId="0" applyFont="1" applyBorder="1"/>
    <xf numFmtId="37" fontId="8" fillId="0" borderId="4" xfId="4" applyNumberFormat="1" applyFont="1" applyFill="1" applyBorder="1"/>
    <xf numFmtId="0" fontId="8" fillId="0" borderId="19" xfId="0" applyFont="1" applyBorder="1" applyAlignment="1">
      <alignment horizontal="center"/>
    </xf>
    <xf numFmtId="164" fontId="8" fillId="0" borderId="4" xfId="4" applyNumberFormat="1" applyFont="1" applyFill="1" applyBorder="1"/>
    <xf numFmtId="0" fontId="8" fillId="0" borderId="4" xfId="0" applyFont="1" applyFill="1" applyBorder="1" applyAlignment="1">
      <alignment horizontal="left" indent="1"/>
    </xf>
    <xf numFmtId="164" fontId="8" fillId="0" borderId="3" xfId="4" applyNumberFormat="1" applyFont="1" applyFill="1" applyBorder="1"/>
    <xf numFmtId="164" fontId="8" fillId="0" borderId="6" xfId="4" applyNumberFormat="1" applyFont="1" applyFill="1" applyBorder="1"/>
    <xf numFmtId="164" fontId="8" fillId="0" borderId="5" xfId="4" applyNumberFormat="1" applyFont="1" applyFill="1" applyBorder="1"/>
    <xf numFmtId="0" fontId="8" fillId="0" borderId="5" xfId="0" applyFont="1" applyFill="1" applyBorder="1" applyAlignment="1">
      <alignment horizontal="center"/>
    </xf>
    <xf numFmtId="164" fontId="8" fillId="0" borderId="4" xfId="1" applyNumberFormat="1" applyFont="1" applyBorder="1"/>
    <xf numFmtId="164" fontId="8" fillId="0" borderId="3" xfId="1" applyNumberFormat="1" applyFont="1" applyBorder="1"/>
    <xf numFmtId="0" fontId="8" fillId="0" borderId="4" xfId="0" applyFont="1" applyFill="1" applyBorder="1" applyAlignment="1">
      <alignment horizontal="center"/>
    </xf>
    <xf numFmtId="0" fontId="8" fillId="0" borderId="4" xfId="0" quotePrefix="1" applyFont="1" applyBorder="1" applyAlignment="1">
      <alignment horizontal="left" indent="1"/>
    </xf>
    <xf numFmtId="0" fontId="8" fillId="0" borderId="9" xfId="0" applyFont="1" applyBorder="1" applyAlignment="1">
      <alignment horizontal="center"/>
    </xf>
    <xf numFmtId="0" fontId="8" fillId="0" borderId="22" xfId="0" applyFont="1" applyBorder="1" applyAlignment="1">
      <alignment horizontal="center"/>
    </xf>
    <xf numFmtId="37" fontId="8" fillId="0" borderId="0" xfId="1" applyNumberFormat="1" applyFont="1" applyBorder="1"/>
    <xf numFmtId="43" fontId="8" fillId="0" borderId="0" xfId="1" applyFont="1" applyBorder="1"/>
    <xf numFmtId="166" fontId="8" fillId="0" borderId="0" xfId="3" applyFont="1"/>
    <xf numFmtId="166" fontId="8" fillId="0" borderId="0" xfId="3" applyFont="1" applyFill="1"/>
    <xf numFmtId="166" fontId="14" fillId="0" borderId="0" xfId="3" applyFont="1"/>
    <xf numFmtId="166" fontId="14" fillId="0" borderId="0" xfId="3" applyFont="1" applyFill="1"/>
    <xf numFmtId="166" fontId="8" fillId="0" borderId="0" xfId="3" applyFont="1" applyFill="1" applyBorder="1" applyAlignment="1">
      <alignment horizontal="center"/>
    </xf>
    <xf numFmtId="166" fontId="8" fillId="0" borderId="4" xfId="3" applyFont="1" applyFill="1" applyBorder="1" applyAlignment="1">
      <alignment horizontal="center"/>
    </xf>
    <xf numFmtId="166" fontId="8" fillId="0" borderId="3" xfId="3" applyFont="1" applyFill="1" applyBorder="1" applyAlignment="1">
      <alignment horizontal="center"/>
    </xf>
    <xf numFmtId="165" fontId="8" fillId="0" borderId="5" xfId="2" applyNumberFormat="1" applyFont="1" applyBorder="1"/>
    <xf numFmtId="165" fontId="8" fillId="0" borderId="0" xfId="6" applyNumberFormat="1" applyFont="1" applyFill="1" applyBorder="1"/>
    <xf numFmtId="165" fontId="8" fillId="0" borderId="5" xfId="6" applyNumberFormat="1" applyFont="1" applyFill="1" applyBorder="1"/>
    <xf numFmtId="165" fontId="8" fillId="0" borderId="5" xfId="6" applyNumberFormat="1" applyFont="1" applyBorder="1"/>
    <xf numFmtId="164" fontId="8" fillId="0" borderId="5" xfId="1" applyNumberFormat="1" applyFont="1" applyBorder="1"/>
    <xf numFmtId="164" fontId="8" fillId="0" borderId="5" xfId="1" applyNumberFormat="1" applyFont="1" applyFill="1" applyBorder="1"/>
    <xf numFmtId="164" fontId="8" fillId="0" borderId="6" xfId="1" applyNumberFormat="1" applyFont="1" applyBorder="1"/>
    <xf numFmtId="165" fontId="8" fillId="0" borderId="6" xfId="6" applyNumberFormat="1" applyFont="1" applyFill="1" applyBorder="1"/>
    <xf numFmtId="165" fontId="8" fillId="0" borderId="0" xfId="6" applyNumberFormat="1" applyFont="1" applyFill="1"/>
    <xf numFmtId="44" fontId="8" fillId="0" borderId="5" xfId="6" applyNumberFormat="1" applyFont="1" applyFill="1" applyBorder="1"/>
    <xf numFmtId="165" fontId="8" fillId="0" borderId="2" xfId="6" applyNumberFormat="1" applyFont="1" applyFill="1" applyBorder="1"/>
    <xf numFmtId="165" fontId="8" fillId="0" borderId="4" xfId="6" applyNumberFormat="1" applyFont="1" applyBorder="1"/>
    <xf numFmtId="165" fontId="8" fillId="0" borderId="6" xfId="6" applyNumberFormat="1" applyFont="1" applyBorder="1"/>
    <xf numFmtId="37" fontId="8" fillId="0" borderId="0" xfId="3" applyNumberFormat="1" applyFont="1" applyFill="1"/>
    <xf numFmtId="165" fontId="8" fillId="0" borderId="0" xfId="3" applyNumberFormat="1" applyFont="1" applyFill="1"/>
    <xf numFmtId="166" fontId="14" fillId="3" borderId="0" xfId="3" applyFont="1" applyFill="1"/>
    <xf numFmtId="37" fontId="8" fillId="0" borderId="6" xfId="0" applyNumberFormat="1" applyFont="1" applyBorder="1"/>
    <xf numFmtId="37" fontId="8" fillId="0" borderId="7" xfId="0" applyNumberFormat="1" applyFont="1" applyBorder="1"/>
    <xf numFmtId="0" fontId="8" fillId="0" borderId="1" xfId="0" applyFont="1" applyBorder="1"/>
    <xf numFmtId="0" fontId="8" fillId="0" borderId="1" xfId="0" applyFont="1" applyBorder="1" applyAlignment="1">
      <alignment horizontal="left" indent="1"/>
    </xf>
    <xf numFmtId="0" fontId="8" fillId="0" borderId="0" xfId="0" applyFont="1" applyFill="1" applyBorder="1"/>
    <xf numFmtId="0" fontId="8" fillId="0" borderId="1" xfId="0" applyFont="1" applyFill="1" applyBorder="1" applyAlignment="1">
      <alignment horizontal="left" indent="1"/>
    </xf>
    <xf numFmtId="0" fontId="8" fillId="0" borderId="12" xfId="0" applyFont="1" applyFill="1" applyBorder="1"/>
    <xf numFmtId="0" fontId="8" fillId="0" borderId="12" xfId="0" applyFont="1" applyBorder="1"/>
    <xf numFmtId="0" fontId="8" fillId="0" borderId="8" xfId="0" applyFont="1" applyBorder="1" applyAlignment="1">
      <alignment horizontal="left" indent="1"/>
    </xf>
    <xf numFmtId="164" fontId="8" fillId="0" borderId="8" xfId="1" applyNumberFormat="1" applyFont="1" applyBorder="1" applyAlignment="1">
      <alignment horizontal="right"/>
    </xf>
    <xf numFmtId="164" fontId="8" fillId="0" borderId="7" xfId="1" applyNumberFormat="1" applyFont="1" applyBorder="1" applyAlignment="1">
      <alignment horizontal="right"/>
    </xf>
    <xf numFmtId="164" fontId="8" fillId="0" borderId="11" xfId="1" applyNumberFormat="1" applyFont="1" applyBorder="1" applyAlignment="1">
      <alignment horizontal="right"/>
    </xf>
    <xf numFmtId="37" fontId="8" fillId="0" borderId="7" xfId="0" applyNumberFormat="1" applyFont="1" applyBorder="1" applyAlignment="1">
      <alignment horizontal="right"/>
    </xf>
    <xf numFmtId="164" fontId="8" fillId="0" borderId="0" xfId="1" applyNumberFormat="1" applyFont="1"/>
    <xf numFmtId="165" fontId="8" fillId="0" borderId="0" xfId="0" applyNumberFormat="1" applyFont="1"/>
    <xf numFmtId="37" fontId="8" fillId="0" borderId="10" xfId="0" applyNumberFormat="1" applyFont="1" applyBorder="1"/>
    <xf numFmtId="0" fontId="8" fillId="0" borderId="2" xfId="0" applyFont="1" applyBorder="1"/>
    <xf numFmtId="37" fontId="8" fillId="0" borderId="1" xfId="0" applyNumberFormat="1" applyFont="1" applyBorder="1"/>
    <xf numFmtId="37" fontId="8" fillId="0" borderId="8" xfId="0" applyNumberFormat="1" applyFont="1" applyBorder="1"/>
    <xf numFmtId="166" fontId="25" fillId="0" borderId="0" xfId="3" applyFont="1" applyFill="1" applyAlignment="1"/>
    <xf numFmtId="44" fontId="25" fillId="0" borderId="12" xfId="7" applyFont="1" applyFill="1" applyBorder="1" applyAlignment="1"/>
    <xf numFmtId="0" fontId="15" fillId="0" borderId="0" xfId="13" applyNumberFormat="1" applyFont="1" applyAlignment="1"/>
    <xf numFmtId="0" fontId="4" fillId="0" borderId="0" xfId="215"/>
    <xf numFmtId="44" fontId="4" fillId="0" borderId="0" xfId="7" applyFont="1"/>
    <xf numFmtId="0" fontId="4" fillId="0" borderId="0" xfId="215" quotePrefix="1"/>
    <xf numFmtId="0" fontId="60" fillId="0" borderId="0" xfId="215" applyFont="1" applyAlignment="1">
      <alignment horizontal="center"/>
    </xf>
    <xf numFmtId="0" fontId="61" fillId="0" borderId="0" xfId="215" applyFont="1"/>
    <xf numFmtId="0" fontId="62" fillId="0" borderId="0" xfId="215" applyFont="1" applyAlignment="1">
      <alignment horizontal="center"/>
    </xf>
    <xf numFmtId="178" fontId="4" fillId="0" borderId="0" xfId="215" applyNumberFormat="1"/>
    <xf numFmtId="4" fontId="4" fillId="0" borderId="0" xfId="215" applyNumberFormat="1"/>
    <xf numFmtId="0" fontId="4" fillId="0" borderId="0" xfId="215" applyAlignment="1">
      <alignment horizontal="left"/>
    </xf>
    <xf numFmtId="14" fontId="4" fillId="0" borderId="0" xfId="215" applyNumberFormat="1"/>
    <xf numFmtId="0" fontId="59" fillId="0" borderId="0" xfId="215" applyFont="1"/>
    <xf numFmtId="0" fontId="63" fillId="0" borderId="0" xfId="215" applyFont="1"/>
    <xf numFmtId="4" fontId="61" fillId="0" borderId="0" xfId="215" applyNumberFormat="1" applyFont="1"/>
    <xf numFmtId="44" fontId="4" fillId="8" borderId="0" xfId="7" applyFont="1" applyFill="1"/>
    <xf numFmtId="44" fontId="4" fillId="8" borderId="29" xfId="7" applyFont="1" applyFill="1" applyBorder="1"/>
    <xf numFmtId="39" fontId="25" fillId="0" borderId="0" xfId="11" applyFont="1"/>
    <xf numFmtId="39" fontId="24" fillId="13" borderId="0" xfId="11" applyFont="1" applyFill="1"/>
    <xf numFmtId="39" fontId="24" fillId="9" borderId="0" xfId="11" applyFont="1" applyFill="1"/>
    <xf numFmtId="39" fontId="24" fillId="0" borderId="0" xfId="11" quotePrefix="1" applyFont="1" applyAlignment="1">
      <alignment horizontal="center"/>
    </xf>
    <xf numFmtId="39" fontId="25" fillId="0" borderId="0" xfId="11" applyFont="1" applyAlignment="1">
      <alignment horizontal="center"/>
    </xf>
    <xf numFmtId="0" fontId="25" fillId="0" borderId="0" xfId="11" applyNumberFormat="1" applyFont="1" applyAlignment="1">
      <alignment horizontal="center"/>
    </xf>
    <xf numFmtId="181" fontId="25" fillId="0" borderId="0" xfId="11" applyNumberFormat="1" applyFont="1" applyProtection="1"/>
    <xf numFmtId="39" fontId="25" fillId="0" borderId="0" xfId="11" applyNumberFormat="1" applyFont="1" applyProtection="1"/>
    <xf numFmtId="179" fontId="25" fillId="0" borderId="0" xfId="11" applyNumberFormat="1" applyFont="1" applyProtection="1"/>
    <xf numFmtId="177" fontId="25" fillId="0" borderId="0" xfId="11" applyNumberFormat="1" applyFont="1" applyProtection="1"/>
    <xf numFmtId="181" fontId="25" fillId="0" borderId="1" xfId="11" applyNumberFormat="1" applyFont="1" applyBorder="1" applyProtection="1"/>
    <xf numFmtId="39" fontId="25" fillId="0" borderId="1" xfId="11" applyNumberFormat="1" applyFont="1" applyBorder="1" applyProtection="1"/>
    <xf numFmtId="39" fontId="25" fillId="0" borderId="1" xfId="11" applyFont="1" applyBorder="1"/>
    <xf numFmtId="179" fontId="25" fillId="0" borderId="1" xfId="11" applyNumberFormat="1" applyFont="1" applyBorder="1" applyProtection="1"/>
    <xf numFmtId="177" fontId="25" fillId="0" borderId="1" xfId="11" applyNumberFormat="1" applyFont="1" applyBorder="1" applyProtection="1"/>
    <xf numFmtId="39" fontId="25" fillId="0" borderId="0" xfId="11" quotePrefix="1" applyFont="1"/>
    <xf numFmtId="177" fontId="25" fillId="0" borderId="0" xfId="11" applyNumberFormat="1" applyFont="1" applyBorder="1" applyProtection="1"/>
    <xf numFmtId="39" fontId="64" fillId="0" borderId="0" xfId="11" applyFont="1"/>
    <xf numFmtId="177" fontId="64" fillId="0" borderId="0" xfId="11" applyNumberFormat="1" applyFont="1" applyProtection="1"/>
    <xf numFmtId="39" fontId="25" fillId="0" borderId="0" xfId="11" applyFont="1" applyFill="1"/>
    <xf numFmtId="181" fontId="25" fillId="0" borderId="1" xfId="11" applyNumberFormat="1" applyFont="1" applyFill="1" applyBorder="1" applyProtection="1"/>
    <xf numFmtId="39" fontId="25" fillId="0" borderId="1" xfId="11" applyFont="1" applyFill="1" applyBorder="1"/>
    <xf numFmtId="39" fontId="25" fillId="0" borderId="1" xfId="11" applyNumberFormat="1" applyFont="1" applyFill="1" applyBorder="1" applyProtection="1"/>
    <xf numFmtId="179" fontId="25" fillId="0" borderId="1" xfId="11" applyNumberFormat="1" applyFont="1" applyFill="1" applyBorder="1" applyProtection="1"/>
    <xf numFmtId="177" fontId="25" fillId="0" borderId="1" xfId="11" applyNumberFormat="1" applyFont="1" applyFill="1" applyBorder="1" applyProtection="1"/>
    <xf numFmtId="180" fontId="25" fillId="0" borderId="1" xfId="11" applyNumberFormat="1" applyFont="1" applyBorder="1" applyProtection="1"/>
    <xf numFmtId="39" fontId="25" fillId="0" borderId="0" xfId="11" applyNumberFormat="1" applyFont="1" applyBorder="1" applyProtection="1"/>
    <xf numFmtId="180" fontId="25" fillId="0" borderId="0" xfId="11" applyNumberFormat="1" applyFont="1" applyProtection="1"/>
    <xf numFmtId="181" fontId="25" fillId="0" borderId="0" xfId="11" applyNumberFormat="1" applyFont="1" applyFill="1" applyProtection="1"/>
    <xf numFmtId="39" fontId="25" fillId="0" borderId="0" xfId="11" applyNumberFormat="1" applyFont="1" applyFill="1" applyProtection="1"/>
    <xf numFmtId="179" fontId="25" fillId="0" borderId="0" xfId="11" applyNumberFormat="1" applyFont="1" applyFill="1" applyProtection="1"/>
    <xf numFmtId="177" fontId="25" fillId="0" borderId="0" xfId="11" applyNumberFormat="1" applyFont="1" applyFill="1" applyProtection="1"/>
    <xf numFmtId="39" fontId="25" fillId="9" borderId="0" xfId="11" applyFont="1" applyFill="1"/>
    <xf numFmtId="181" fontId="25" fillId="9" borderId="0" xfId="11" applyNumberFormat="1" applyFont="1" applyFill="1" applyProtection="1"/>
    <xf numFmtId="39" fontId="25" fillId="9" borderId="0" xfId="11" applyNumberFormat="1" applyFont="1" applyFill="1" applyProtection="1"/>
    <xf numFmtId="179" fontId="25" fillId="9" borderId="0" xfId="11" applyNumberFormat="1" applyFont="1" applyFill="1" applyProtection="1"/>
    <xf numFmtId="177" fontId="25" fillId="9" borderId="0" xfId="11" applyNumberFormat="1" applyFont="1" applyFill="1" applyProtection="1"/>
    <xf numFmtId="39" fontId="65" fillId="0" borderId="0" xfId="11" applyFont="1"/>
    <xf numFmtId="0" fontId="25" fillId="0" borderId="0" xfId="11" applyNumberFormat="1" applyFont="1"/>
    <xf numFmtId="39" fontId="25" fillId="9" borderId="0" xfId="11" applyNumberFormat="1" applyFont="1" applyFill="1" applyBorder="1" applyProtection="1"/>
    <xf numFmtId="39" fontId="25" fillId="9" borderId="0" xfId="11" applyFont="1" applyFill="1" applyBorder="1"/>
    <xf numFmtId="183" fontId="25" fillId="9" borderId="0" xfId="11" applyNumberFormat="1" applyFont="1" applyFill="1" applyProtection="1"/>
    <xf numFmtId="0" fontId="25" fillId="0" borderId="0" xfId="11" applyNumberFormat="1" applyFont="1" applyFill="1"/>
    <xf numFmtId="0" fontId="25" fillId="0" borderId="1" xfId="11" applyNumberFormat="1" applyFont="1" applyFill="1" applyBorder="1"/>
    <xf numFmtId="39" fontId="25" fillId="0" borderId="0" xfId="11" applyFont="1" applyFill="1" applyAlignment="1">
      <alignment horizontal="center"/>
    </xf>
    <xf numFmtId="39" fontId="25" fillId="0" borderId="0" xfId="11" quotePrefix="1" applyFont="1" applyFill="1"/>
    <xf numFmtId="180" fontId="25" fillId="0" borderId="0" xfId="11" applyNumberFormat="1" applyFont="1" applyFill="1" applyProtection="1"/>
    <xf numFmtId="181" fontId="25" fillId="0" borderId="0" xfId="11" applyNumberFormat="1" applyFont="1" applyFill="1" applyAlignment="1" applyProtection="1">
      <alignment horizontal="center"/>
    </xf>
    <xf numFmtId="180" fontId="25" fillId="0" borderId="1" xfId="11" applyNumberFormat="1" applyFont="1" applyFill="1" applyBorder="1" applyProtection="1"/>
    <xf numFmtId="180" fontId="25" fillId="9" borderId="0" xfId="11" applyNumberFormat="1" applyFont="1" applyFill="1" applyProtection="1"/>
    <xf numFmtId="39" fontId="25" fillId="12" borderId="0" xfId="11" applyFont="1" applyFill="1"/>
    <xf numFmtId="39" fontId="25" fillId="11" borderId="0" xfId="11" applyFont="1" applyFill="1"/>
    <xf numFmtId="39" fontId="25" fillId="10" borderId="0" xfId="11" applyFont="1" applyFill="1"/>
    <xf numFmtId="181" fontId="25" fillId="12" borderId="0" xfId="11" applyNumberFormat="1" applyFont="1" applyFill="1" applyProtection="1"/>
    <xf numFmtId="39" fontId="25" fillId="11" borderId="0" xfId="11" quotePrefix="1" applyFont="1" applyFill="1"/>
    <xf numFmtId="181" fontId="25" fillId="11" borderId="0" xfId="11" applyNumberFormat="1" applyFont="1" applyFill="1" applyProtection="1"/>
    <xf numFmtId="39" fontId="25" fillId="11" borderId="0" xfId="11" applyNumberFormat="1" applyFont="1" applyFill="1" applyProtection="1"/>
    <xf numFmtId="179" fontId="25" fillId="11" borderId="0" xfId="11" applyNumberFormat="1" applyFont="1" applyFill="1" applyProtection="1"/>
    <xf numFmtId="180" fontId="25" fillId="11" borderId="0" xfId="11" applyNumberFormat="1" applyFont="1" applyFill="1" applyProtection="1"/>
    <xf numFmtId="177" fontId="25" fillId="11" borderId="0" xfId="11" applyNumberFormat="1" applyFont="1" applyFill="1" applyProtection="1"/>
    <xf numFmtId="39" fontId="25" fillId="0" borderId="12" xfId="11" applyFont="1" applyFill="1" applyBorder="1"/>
    <xf numFmtId="39" fontId="25" fillId="0" borderId="12" xfId="11" applyNumberFormat="1" applyFont="1" applyFill="1" applyBorder="1" applyProtection="1"/>
    <xf numFmtId="179" fontId="25" fillId="0" borderId="12" xfId="11" applyNumberFormat="1" applyFont="1" applyFill="1" applyBorder="1" applyProtection="1"/>
    <xf numFmtId="182" fontId="25" fillId="0" borderId="0" xfId="11" applyNumberFormat="1" applyFont="1" applyFill="1"/>
    <xf numFmtId="44" fontId="4" fillId="0" borderId="0" xfId="7" applyFont="1" applyFill="1"/>
    <xf numFmtId="0" fontId="3" fillId="0" borderId="0" xfId="215" applyFont="1"/>
    <xf numFmtId="0" fontId="2" fillId="0" borderId="0" xfId="221" applyAlignment="1"/>
    <xf numFmtId="0" fontId="2" fillId="0" borderId="0" xfId="221" applyAlignment="1">
      <alignment horizontal="left"/>
    </xf>
    <xf numFmtId="0" fontId="2" fillId="0" borderId="0" xfId="221" applyFont="1" applyAlignment="1"/>
    <xf numFmtId="0" fontId="2" fillId="0" borderId="0" xfId="215" applyFont="1"/>
    <xf numFmtId="4" fontId="2" fillId="0" borderId="0" xfId="215" applyNumberFormat="1" applyFont="1"/>
    <xf numFmtId="44" fontId="2" fillId="0" borderId="0" xfId="7" applyFont="1"/>
    <xf numFmtId="44" fontId="68" fillId="0" borderId="12" xfId="222" applyFont="1" applyBorder="1" applyAlignment="1"/>
    <xf numFmtId="44" fontId="68" fillId="0" borderId="0" xfId="222" applyFont="1" applyBorder="1" applyAlignment="1"/>
    <xf numFmtId="44" fontId="68" fillId="0" borderId="0" xfId="222" applyFont="1" applyAlignment="1"/>
    <xf numFmtId="0" fontId="68" fillId="0" borderId="0" xfId="221" applyNumberFormat="1" applyFont="1" applyAlignment="1" applyProtection="1">
      <protection locked="0"/>
    </xf>
    <xf numFmtId="0" fontId="68" fillId="0" borderId="0" xfId="221" applyNumberFormat="1" applyFont="1" applyBorder="1" applyAlignment="1" applyProtection="1">
      <protection locked="0"/>
    </xf>
    <xf numFmtId="0" fontId="68" fillId="0" borderId="0" xfId="221" applyNumberFormat="1" applyFont="1" applyFill="1" applyBorder="1" applyAlignment="1" applyProtection="1">
      <protection locked="0"/>
    </xf>
    <xf numFmtId="44" fontId="68" fillId="0" borderId="19" xfId="222" applyFont="1" applyBorder="1" applyAlignment="1"/>
    <xf numFmtId="44" fontId="68" fillId="8" borderId="0" xfId="222" applyFont="1" applyFill="1" applyAlignment="1"/>
    <xf numFmtId="0" fontId="66" fillId="0" borderId="0" xfId="221" quotePrefix="1" applyFont="1" applyAlignment="1"/>
    <xf numFmtId="0" fontId="62" fillId="0" borderId="0" xfId="221" quotePrefix="1" applyFont="1" applyAlignment="1"/>
    <xf numFmtId="44" fontId="1" fillId="8" borderId="0" xfId="7" applyFont="1" applyFill="1"/>
    <xf numFmtId="44" fontId="1" fillId="8" borderId="29" xfId="7" applyFont="1" applyFill="1" applyBorder="1"/>
    <xf numFmtId="0" fontId="4" fillId="0" borderId="0" xfId="215" applyFill="1"/>
    <xf numFmtId="44" fontId="1" fillId="0" borderId="0" xfId="7" applyFont="1" applyFill="1"/>
    <xf numFmtId="0" fontId="60" fillId="8" borderId="0" xfId="215" applyFont="1" applyFill="1" applyAlignment="1">
      <alignment horizontal="center"/>
    </xf>
    <xf numFmtId="44" fontId="60" fillId="8" borderId="0" xfId="7" applyFont="1" applyFill="1"/>
    <xf numFmtId="44" fontId="60" fillId="8" borderId="0" xfId="7" applyFont="1" applyFill="1" applyAlignment="1">
      <alignment horizontal="center"/>
    </xf>
    <xf numFmtId="0" fontId="1" fillId="0" borderId="0" xfId="215" applyFont="1"/>
    <xf numFmtId="44" fontId="4" fillId="0" borderId="0" xfId="215" applyNumberFormat="1"/>
    <xf numFmtId="0" fontId="69" fillId="0" borderId="0" xfId="16" applyFont="1" applyAlignment="1">
      <alignment horizontal="center"/>
    </xf>
    <xf numFmtId="165" fontId="25" fillId="0" borderId="12" xfId="7" applyNumberFormat="1" applyFont="1" applyFill="1" applyBorder="1" applyAlignment="1"/>
    <xf numFmtId="165" fontId="25" fillId="0" borderId="0" xfId="7" applyNumberFormat="1" applyFont="1" applyFill="1" applyAlignment="1"/>
    <xf numFmtId="0" fontId="15" fillId="0" borderId="0" xfId="3" applyNumberFormat="1" applyFont="1" applyAlignment="1" applyProtection="1">
      <alignment vertical="top" wrapText="1"/>
      <protection locked="0"/>
    </xf>
    <xf numFmtId="0" fontId="15" fillId="0" borderId="26" xfId="3" applyNumberFormat="1" applyFont="1" applyBorder="1" applyAlignment="1">
      <alignment horizontal="center"/>
    </xf>
    <xf numFmtId="0" fontId="15" fillId="0" borderId="19" xfId="3" applyNumberFormat="1" applyFont="1" applyBorder="1" applyAlignment="1">
      <alignment horizontal="center"/>
    </xf>
    <xf numFmtId="0" fontId="15" fillId="0" borderId="10" xfId="3" applyNumberFormat="1" applyFont="1" applyBorder="1" applyAlignment="1">
      <alignment horizontal="center"/>
    </xf>
    <xf numFmtId="3" fontId="15" fillId="0" borderId="0" xfId="3" applyNumberFormat="1" applyFont="1" applyAlignment="1">
      <alignment horizontal="right"/>
    </xf>
    <xf numFmtId="0" fontId="15" fillId="0" borderId="0" xfId="3" applyNumberFormat="1" applyFont="1" applyFill="1" applyAlignment="1" applyProtection="1">
      <alignment vertical="top" wrapText="1"/>
      <protection locked="0"/>
    </xf>
    <xf numFmtId="0" fontId="15" fillId="0" borderId="0" xfId="3" applyNumberFormat="1" applyFont="1" applyFill="1" applyAlignment="1">
      <alignment vertical="top" wrapText="1"/>
    </xf>
    <xf numFmtId="0" fontId="31" fillId="0" borderId="0" xfId="0" applyFont="1" applyAlignment="1">
      <alignment horizontal="center"/>
    </xf>
    <xf numFmtId="0" fontId="10" fillId="0" borderId="0" xfId="0" applyFont="1" applyAlignment="1">
      <alignment horizontal="center"/>
    </xf>
    <xf numFmtId="14" fontId="31" fillId="0" borderId="0" xfId="0" applyNumberFormat="1" applyFont="1" applyAlignment="1">
      <alignment horizontal="center"/>
    </xf>
    <xf numFmtId="0" fontId="11" fillId="0" borderId="1" xfId="0" applyFont="1" applyBorder="1" applyAlignment="1">
      <alignment horizontal="center"/>
    </xf>
    <xf numFmtId="0" fontId="12" fillId="0" borderId="0" xfId="0" applyFont="1" applyAlignment="1">
      <alignment horizontal="center"/>
    </xf>
    <xf numFmtId="14" fontId="12" fillId="0" borderId="0" xfId="0" applyNumberFormat="1" applyFont="1" applyAlignment="1">
      <alignment horizontal="center"/>
    </xf>
    <xf numFmtId="0" fontId="9" fillId="0" borderId="1" xfId="0" applyFont="1" applyBorder="1" applyAlignment="1">
      <alignment horizontal="center"/>
    </xf>
    <xf numFmtId="0" fontId="8" fillId="0" borderId="26" xfId="0" applyFont="1" applyBorder="1" applyAlignment="1">
      <alignment horizontal="left"/>
    </xf>
    <xf numFmtId="0" fontId="8" fillId="0" borderId="19" xfId="0" applyFont="1" applyBorder="1" applyAlignment="1">
      <alignment horizontal="left"/>
    </xf>
    <xf numFmtId="0" fontId="25" fillId="0" borderId="2" xfId="13" applyFont="1" applyBorder="1" applyAlignment="1">
      <alignment horizontal="left"/>
    </xf>
    <xf numFmtId="0" fontId="25" fillId="0" borderId="8" xfId="13" applyFont="1" applyBorder="1" applyAlignment="1">
      <alignment horizontal="left"/>
    </xf>
    <xf numFmtId="0" fontId="24" fillId="0" borderId="0" xfId="13" applyFont="1" applyAlignment="1">
      <alignment horizontal="center"/>
    </xf>
    <xf numFmtId="14" fontId="24" fillId="0" borderId="0" xfId="13" applyNumberFormat="1" applyFont="1" applyAlignment="1">
      <alignment horizontal="center"/>
    </xf>
    <xf numFmtId="0" fontId="24" fillId="0" borderId="30" xfId="13" applyFont="1" applyBorder="1" applyAlignment="1">
      <alignment horizontal="center"/>
    </xf>
    <xf numFmtId="0" fontId="24" fillId="0" borderId="31" xfId="13" applyFont="1" applyBorder="1" applyAlignment="1">
      <alignment horizontal="center"/>
    </xf>
    <xf numFmtId="0" fontId="24" fillId="0" borderId="32" xfId="13" applyFont="1" applyBorder="1" applyAlignment="1">
      <alignment horizontal="center"/>
    </xf>
    <xf numFmtId="0" fontId="24" fillId="0" borderId="33" xfId="13" applyFont="1" applyBorder="1" applyAlignment="1">
      <alignment horizontal="center"/>
    </xf>
    <xf numFmtId="0" fontId="24" fillId="0" borderId="27" xfId="13" applyFont="1" applyBorder="1" applyAlignment="1">
      <alignment horizontal="center"/>
    </xf>
    <xf numFmtId="0" fontId="24" fillId="0" borderId="34" xfId="13" applyFont="1" applyBorder="1" applyAlignment="1">
      <alignment horizontal="center"/>
    </xf>
    <xf numFmtId="0" fontId="25" fillId="0" borderId="5" xfId="13" applyFont="1" applyBorder="1" applyAlignment="1">
      <alignment horizontal="center"/>
    </xf>
    <xf numFmtId="49" fontId="24" fillId="0" borderId="0" xfId="15" applyNumberFormat="1" applyFont="1" applyAlignment="1">
      <alignment horizontal="center"/>
    </xf>
    <xf numFmtId="0" fontId="24" fillId="0" borderId="0" xfId="15" applyFont="1" applyAlignment="1">
      <alignment horizontal="center"/>
    </xf>
    <xf numFmtId="0" fontId="25" fillId="0" borderId="0" xfId="15" applyFont="1" applyAlignment="1">
      <alignment horizontal="center"/>
    </xf>
    <xf numFmtId="14" fontId="24" fillId="0" borderId="0" xfId="15" applyNumberFormat="1" applyFont="1" applyAlignment="1">
      <alignment horizontal="center"/>
    </xf>
    <xf numFmtId="0" fontId="25" fillId="0" borderId="0" xfId="3" applyNumberFormat="1" applyFont="1" applyAlignment="1">
      <alignment horizontal="center"/>
    </xf>
    <xf numFmtId="14" fontId="10" fillId="0" borderId="0" xfId="0" applyNumberFormat="1" applyFont="1" applyAlignment="1">
      <alignment horizontal="center"/>
    </xf>
  </cellXfs>
  <cellStyles count="225">
    <cellStyle name="Accent4 2" xfId="17"/>
    <cellStyle name="C00A" xfId="18"/>
    <cellStyle name="C00B" xfId="19"/>
    <cellStyle name="C00L" xfId="20"/>
    <cellStyle name="C01A" xfId="21"/>
    <cellStyle name="C01B" xfId="22"/>
    <cellStyle name="C01H" xfId="23"/>
    <cellStyle name="C01L" xfId="24"/>
    <cellStyle name="C02A" xfId="25"/>
    <cellStyle name="C02B" xfId="26"/>
    <cellStyle name="C02H" xfId="27"/>
    <cellStyle name="C02L" xfId="28"/>
    <cellStyle name="C03A" xfId="29"/>
    <cellStyle name="C03B" xfId="30"/>
    <cellStyle name="C03H" xfId="31"/>
    <cellStyle name="C03L" xfId="32"/>
    <cellStyle name="C04A" xfId="33"/>
    <cellStyle name="C04B" xfId="34"/>
    <cellStyle name="C04H" xfId="35"/>
    <cellStyle name="C04L" xfId="36"/>
    <cellStyle name="C05A" xfId="37"/>
    <cellStyle name="C05B" xfId="38"/>
    <cellStyle name="C05H" xfId="39"/>
    <cellStyle name="C05L" xfId="40"/>
    <cellStyle name="C06A" xfId="41"/>
    <cellStyle name="C06B" xfId="42"/>
    <cellStyle name="C06H" xfId="43"/>
    <cellStyle name="C06L" xfId="44"/>
    <cellStyle name="C07A" xfId="45"/>
    <cellStyle name="C07B" xfId="46"/>
    <cellStyle name="C07H" xfId="47"/>
    <cellStyle name="C07L" xfId="48"/>
    <cellStyle name="Comma" xfId="1" builtinId="3"/>
    <cellStyle name="Comma [2]" xfId="49"/>
    <cellStyle name="Comma 10" xfId="50"/>
    <cellStyle name="Comma 11" xfId="51"/>
    <cellStyle name="Comma 12" xfId="52"/>
    <cellStyle name="Comma 13" xfId="53"/>
    <cellStyle name="Comma 14" xfId="54"/>
    <cellStyle name="Comma 15" xfId="55"/>
    <cellStyle name="Comma 16" xfId="56"/>
    <cellStyle name="Comma 17" xfId="57"/>
    <cellStyle name="Comma 18" xfId="58"/>
    <cellStyle name="Comma 19" xfId="59"/>
    <cellStyle name="Comma 2" xfId="4"/>
    <cellStyle name="Comma 2 2" xfId="60"/>
    <cellStyle name="Comma 20" xfId="61"/>
    <cellStyle name="Comma 21" xfId="62"/>
    <cellStyle name="Comma 22" xfId="63"/>
    <cellStyle name="Comma 23" xfId="64"/>
    <cellStyle name="Comma 24" xfId="65"/>
    <cellStyle name="Comma 25" xfId="66"/>
    <cellStyle name="Comma 26" xfId="67"/>
    <cellStyle name="Comma 27" xfId="68"/>
    <cellStyle name="Comma 28" xfId="69"/>
    <cellStyle name="Comma 29" xfId="70"/>
    <cellStyle name="Comma 3" xfId="5"/>
    <cellStyle name="Comma 3 2" xfId="71"/>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134"/>
    <cellStyle name="Comma 87" xfId="223"/>
    <cellStyle name="Comma 9" xfId="135"/>
    <cellStyle name="Comma0" xfId="136"/>
    <cellStyle name="Currency" xfId="2" builtinId="4"/>
    <cellStyle name="Currency [2]" xfId="137"/>
    <cellStyle name="Currency 2" xfId="6"/>
    <cellStyle name="Currency 3" xfId="7"/>
    <cellStyle name="Currency 3 2" xfId="138"/>
    <cellStyle name="Currency 3 3" xfId="216"/>
    <cellStyle name="Currency 4" xfId="139"/>
    <cellStyle name="Currency 4 2" xfId="140"/>
    <cellStyle name="Currency 5" xfId="141"/>
    <cellStyle name="Currency 6" xfId="142"/>
    <cellStyle name="Currency 7" xfId="143"/>
    <cellStyle name="Currency 7 2" xfId="222"/>
    <cellStyle name="Currency 8" xfId="217"/>
    <cellStyle name="Currency 9" xfId="220"/>
    <cellStyle name="Currency0" xfId="144"/>
    <cellStyle name="Date" xfId="145"/>
    <cellStyle name="Fixed" xfId="146"/>
    <cellStyle name="FRxAmtStyle" xfId="147"/>
    <cellStyle name="Grey" xfId="148"/>
    <cellStyle name="Heading1" xfId="149"/>
    <cellStyle name="Heading2" xfId="150"/>
    <cellStyle name="Input [yellow]" xfId="151"/>
    <cellStyle name="Normal" xfId="0" builtinId="0"/>
    <cellStyle name="Normal - Style1" xfId="152"/>
    <cellStyle name="Normal 10" xfId="16"/>
    <cellStyle name="Normal 10 2" xfId="221"/>
    <cellStyle name="Normal 11" xfId="153"/>
    <cellStyle name="Normal 12" xfId="218"/>
    <cellStyle name="Normal 13" xfId="215"/>
    <cellStyle name="Normal 14" xfId="219"/>
    <cellStyle name="Normal 2" xfId="3"/>
    <cellStyle name="Normal 2 2" xfId="13"/>
    <cellStyle name="Normal 2 3" xfId="15"/>
    <cellStyle name="Normal 3" xfId="8"/>
    <cellStyle name="Normal 3 2" xfId="9"/>
    <cellStyle name="Normal 3 3" xfId="14"/>
    <cellStyle name="Normal 33" xfId="154"/>
    <cellStyle name="Normal 34" xfId="155"/>
    <cellStyle name="Normal 4" xfId="10"/>
    <cellStyle name="Normal 4 2" xfId="156"/>
    <cellStyle name="Normal 4 3" xfId="157"/>
    <cellStyle name="Normal 4 4" xfId="158"/>
    <cellStyle name="Normal 5" xfId="11"/>
    <cellStyle name="Normal 6" xfId="159"/>
    <cellStyle name="Normal 6 2" xfId="160"/>
    <cellStyle name="Normal 6 3" xfId="161"/>
    <cellStyle name="Normal 7" xfId="162"/>
    <cellStyle name="Normal 8" xfId="163"/>
    <cellStyle name="Normal 9" xfId="164"/>
    <cellStyle name="Percent [2]" xfId="165"/>
    <cellStyle name="Percent 2" xfId="12"/>
    <cellStyle name="Percent 2 2" xfId="166"/>
    <cellStyle name="Percent 3" xfId="167"/>
    <cellStyle name="Percent 3 2" xfId="168"/>
    <cellStyle name="Percent 4" xfId="169"/>
    <cellStyle name="Percent 5" xfId="170"/>
    <cellStyle name="Percent 6" xfId="171"/>
    <cellStyle name="Percent 7" xfId="224"/>
    <cellStyle name="PSChar" xfId="172"/>
    <cellStyle name="PSDate" xfId="173"/>
    <cellStyle name="PSDec" xfId="174"/>
    <cellStyle name="PSdesc" xfId="175"/>
    <cellStyle name="PSHeading" xfId="176"/>
    <cellStyle name="PSInt" xfId="177"/>
    <cellStyle name="PSSpacer" xfId="178"/>
    <cellStyle name="PStest" xfId="179"/>
    <cellStyle name="R00A" xfId="180"/>
    <cellStyle name="R00B" xfId="181"/>
    <cellStyle name="R00L" xfId="182"/>
    <cellStyle name="R01A" xfId="183"/>
    <cellStyle name="R01B" xfId="184"/>
    <cellStyle name="R01H" xfId="185"/>
    <cellStyle name="R01L" xfId="186"/>
    <cellStyle name="R02A" xfId="187"/>
    <cellStyle name="R02B" xfId="188"/>
    <cellStyle name="R02H" xfId="189"/>
    <cellStyle name="R02L" xfId="190"/>
    <cellStyle name="R03A" xfId="191"/>
    <cellStyle name="R03B" xfId="192"/>
    <cellStyle name="R03H" xfId="193"/>
    <cellStyle name="R03L" xfId="194"/>
    <cellStyle name="R04A" xfId="195"/>
    <cellStyle name="R04B" xfId="196"/>
    <cellStyle name="R04H" xfId="197"/>
    <cellStyle name="R04L" xfId="198"/>
    <cellStyle name="R05A" xfId="199"/>
    <cellStyle name="R05B" xfId="200"/>
    <cellStyle name="R05H" xfId="201"/>
    <cellStyle name="R05L" xfId="202"/>
    <cellStyle name="R06A" xfId="203"/>
    <cellStyle name="R06B" xfId="204"/>
    <cellStyle name="R06H" xfId="205"/>
    <cellStyle name="R06L" xfId="206"/>
    <cellStyle name="R07A" xfId="207"/>
    <cellStyle name="R07B" xfId="208"/>
    <cellStyle name="R07H" xfId="209"/>
    <cellStyle name="R07L" xfId="210"/>
    <cellStyle name="STYLE1" xfId="211"/>
    <cellStyle name="STYLE2" xfId="212"/>
    <cellStyle name="STYLE3" xfId="213"/>
    <cellStyle name="STYLE4" xfId="214"/>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Dande%202_6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20STUDY_1\Worthington%20-%202013%20Electric\Excel\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ATE%20STUDY_1/Plato%20Billing6_205%20Dec%201%20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ATE%20STUDY_3\MISO%20&amp;%20SPP%20TO_Transmission\MISO%20Members\Detroit%20Lakes\2015%20Filing%20of%202013%20data\Detriot%20Lakes_Attach%20O%20-%20EIA%20Non-Levelized%20Form%20412%202015-0127%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1"/>
      <sheetName val="DANDE"/>
      <sheetName val="Sheet1"/>
      <sheetName val="M002_003"/>
      <sheetName val="M002_002"/>
      <sheetName val="M002_004"/>
      <sheetName val="M002_005"/>
      <sheetName val="M003_001"/>
      <sheetName val="M003_002"/>
      <sheetName val="M002_007"/>
      <sheetName val="M002_006"/>
      <sheetName val="M002_008"/>
      <sheetName val="M003_004"/>
      <sheetName val="M003_003"/>
      <sheetName val="M003_005"/>
      <sheetName val="M003_004b tg"/>
      <sheetName val="M002_009"/>
      <sheetName val="M002_010"/>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s>
    <sheetDataSet>
      <sheetData sheetId="0"/>
      <sheetData sheetId="1"/>
      <sheetData sheetId="2"/>
      <sheetData sheetId="3"/>
      <sheetData sheetId="4"/>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EIA 412"/>
      <sheetName val="Balance sheet"/>
      <sheetName val="Income Statement"/>
      <sheetName val="Electric Plant"/>
      <sheetName val="Op &amp; Maint"/>
      <sheetName val="Taxes"/>
      <sheetName val="Detailed Income Statement"/>
      <sheetName val="Salaries"/>
      <sheetName val="Depreciation 2012 - update"/>
      <sheetName val="Other Data"/>
    </sheetNames>
    <sheetDataSet>
      <sheetData sheetId="0">
        <row r="4">
          <cell r="K4" t="str">
            <v>For the 12 months ended 12/31/2013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37"/>
  <sheetViews>
    <sheetView tabSelected="1" zoomScale="80" zoomScaleNormal="80" zoomScaleSheetLayoutView="85" workbookViewId="0">
      <selection activeCell="L40" sqref="L40"/>
    </sheetView>
  </sheetViews>
  <sheetFormatPr defaultRowHeight="15.75"/>
  <cols>
    <col min="1" max="1" width="7.7109375" style="40" customWidth="1"/>
    <col min="2" max="2" width="36.5703125" style="40" customWidth="1"/>
    <col min="3" max="3" width="41.85546875" style="40" customWidth="1"/>
    <col min="4" max="4" width="15.28515625" style="40" customWidth="1"/>
    <col min="5" max="5" width="6.28515625" style="40" customWidth="1"/>
    <col min="6" max="6" width="6" style="40" customWidth="1"/>
    <col min="7" max="7" width="10.28515625" style="40" customWidth="1"/>
    <col min="8" max="8" width="5" style="40" customWidth="1"/>
    <col min="9" max="9" width="14" style="40" customWidth="1"/>
    <col min="10" max="10" width="2.7109375" style="40" customWidth="1"/>
    <col min="11" max="11" width="11.85546875" style="40" customWidth="1"/>
    <col min="12" max="13" width="9.140625" style="40"/>
    <col min="14" max="14" width="21.5703125" style="40" customWidth="1"/>
    <col min="15" max="15" width="32.85546875" style="40" customWidth="1"/>
    <col min="16" max="16384" width="9.140625" style="40"/>
  </cols>
  <sheetData>
    <row r="1" spans="1:16">
      <c r="K1" s="115" t="s">
        <v>480</v>
      </c>
    </row>
    <row r="2" spans="1:16">
      <c r="B2" s="41"/>
      <c r="C2" s="41"/>
      <c r="D2" s="42"/>
      <c r="E2" s="41"/>
      <c r="F2" s="41"/>
      <c r="G2" s="41"/>
      <c r="H2" s="43"/>
      <c r="I2" s="44"/>
      <c r="K2" s="45" t="s">
        <v>184</v>
      </c>
      <c r="L2" s="44"/>
      <c r="N2" s="44"/>
      <c r="O2" s="44"/>
      <c r="P2" s="44"/>
    </row>
    <row r="3" spans="1:16">
      <c r="B3" s="41"/>
      <c r="C3" s="41"/>
      <c r="D3" s="42"/>
      <c r="E3" s="41"/>
      <c r="F3" s="41"/>
      <c r="G3" s="41"/>
      <c r="H3" s="43"/>
      <c r="I3" s="43"/>
      <c r="J3" s="44"/>
      <c r="K3" s="46"/>
      <c r="L3" s="44"/>
      <c r="N3" s="44"/>
      <c r="O3" s="44"/>
      <c r="P3" s="44"/>
    </row>
    <row r="4" spans="1:16">
      <c r="B4" s="41" t="s">
        <v>185</v>
      </c>
      <c r="C4" s="41"/>
      <c r="D4" s="42" t="s">
        <v>186</v>
      </c>
      <c r="E4" s="41"/>
      <c r="F4" s="41"/>
      <c r="G4" s="41"/>
      <c r="H4" s="188"/>
      <c r="I4" s="189"/>
      <c r="J4" s="190"/>
      <c r="K4" s="191" t="s">
        <v>535</v>
      </c>
      <c r="L4" s="44"/>
      <c r="N4" s="44"/>
      <c r="O4" s="44"/>
      <c r="P4" s="44"/>
    </row>
    <row r="5" spans="1:16">
      <c r="B5" s="41"/>
      <c r="C5" s="55" t="s">
        <v>171</v>
      </c>
      <c r="D5" s="55" t="s">
        <v>187</v>
      </c>
      <c r="E5" s="55"/>
      <c r="F5" s="55"/>
      <c r="G5" s="55"/>
      <c r="H5" s="43"/>
      <c r="I5" s="43"/>
      <c r="J5" s="44"/>
      <c r="K5" s="44"/>
      <c r="L5" s="44"/>
      <c r="N5" s="44"/>
      <c r="O5" s="44"/>
      <c r="P5" s="44"/>
    </row>
    <row r="6" spans="1:16">
      <c r="B6" s="44"/>
      <c r="C6" s="44"/>
      <c r="D6" s="44"/>
      <c r="E6" s="44"/>
      <c r="F6" s="44"/>
      <c r="G6" s="44"/>
      <c r="H6" s="44"/>
      <c r="I6" s="44"/>
      <c r="J6" s="44"/>
      <c r="K6" s="44"/>
      <c r="L6" s="44"/>
      <c r="N6" s="44"/>
      <c r="O6" s="44"/>
      <c r="P6" s="44"/>
    </row>
    <row r="7" spans="1:16">
      <c r="A7" s="49"/>
      <c r="B7" s="44"/>
      <c r="C7" s="44"/>
      <c r="D7" s="192" t="s">
        <v>188</v>
      </c>
      <c r="E7" s="190"/>
      <c r="F7" s="44"/>
      <c r="G7" s="44"/>
      <c r="H7" s="44"/>
      <c r="I7" s="44"/>
      <c r="J7" s="44"/>
      <c r="K7" s="44"/>
      <c r="L7" s="44"/>
      <c r="N7" s="44"/>
      <c r="O7" s="44"/>
      <c r="P7" s="44"/>
    </row>
    <row r="8" spans="1:16">
      <c r="A8" s="49"/>
      <c r="B8" s="44"/>
      <c r="C8" s="44"/>
      <c r="D8" s="50"/>
      <c r="E8" s="44"/>
      <c r="F8" s="44"/>
      <c r="G8" s="44"/>
      <c r="H8" s="44"/>
      <c r="I8" s="44"/>
      <c r="J8" s="44"/>
      <c r="K8" s="44"/>
      <c r="L8" s="44"/>
      <c r="N8" s="44"/>
      <c r="O8" s="44"/>
      <c r="P8" s="44"/>
    </row>
    <row r="9" spans="1:16">
      <c r="A9" s="49" t="s">
        <v>1</v>
      </c>
      <c r="B9" s="44"/>
      <c r="C9" s="44"/>
      <c r="D9" s="50"/>
      <c r="E9" s="44"/>
      <c r="F9" s="44"/>
      <c r="G9" s="44"/>
      <c r="H9" s="44"/>
      <c r="I9" s="49" t="s">
        <v>189</v>
      </c>
      <c r="J9" s="44"/>
      <c r="K9" s="44"/>
      <c r="L9" s="44"/>
      <c r="N9" s="44"/>
      <c r="O9" s="44"/>
      <c r="P9" s="44"/>
    </row>
    <row r="10" spans="1:16" ht="16.5" thickBot="1">
      <c r="A10" s="51" t="s">
        <v>2</v>
      </c>
      <c r="B10" s="44"/>
      <c r="C10" s="44"/>
      <c r="D10" s="44"/>
      <c r="E10" s="44"/>
      <c r="F10" s="44"/>
      <c r="G10" s="44"/>
      <c r="H10" s="44"/>
      <c r="I10" s="51" t="s">
        <v>93</v>
      </c>
      <c r="J10" s="44"/>
      <c r="K10" s="44"/>
      <c r="L10" s="44"/>
      <c r="N10" s="44"/>
      <c r="O10" s="44"/>
      <c r="P10" s="44"/>
    </row>
    <row r="11" spans="1:16">
      <c r="A11" s="49">
        <v>1</v>
      </c>
      <c r="B11" s="44" t="s">
        <v>190</v>
      </c>
      <c r="C11" s="44"/>
      <c r="D11" s="52"/>
      <c r="E11" s="44"/>
      <c r="F11" s="44"/>
      <c r="G11" s="44"/>
      <c r="H11" s="44"/>
      <c r="I11" s="53">
        <f>+I197</f>
        <v>84981.15239714882</v>
      </c>
      <c r="J11" s="44"/>
      <c r="K11" s="44"/>
      <c r="L11" s="44"/>
      <c r="N11" s="44"/>
      <c r="O11" s="44"/>
      <c r="P11" s="44"/>
    </row>
    <row r="12" spans="1:16">
      <c r="A12" s="49"/>
      <c r="B12" s="44"/>
      <c r="C12" s="44"/>
      <c r="D12" s="44"/>
      <c r="E12" s="44"/>
      <c r="F12" s="44"/>
      <c r="G12" s="44"/>
      <c r="H12" s="44"/>
      <c r="I12" s="52"/>
      <c r="J12" s="44"/>
      <c r="K12" s="44"/>
      <c r="L12" s="44"/>
      <c r="N12" s="44"/>
      <c r="O12" s="44"/>
      <c r="P12" s="44"/>
    </row>
    <row r="13" spans="1:16" ht="16.5" thickBot="1">
      <c r="A13" s="49" t="s">
        <v>171</v>
      </c>
      <c r="B13" s="54" t="s">
        <v>191</v>
      </c>
      <c r="C13" s="55" t="s">
        <v>192</v>
      </c>
      <c r="D13" s="51" t="s">
        <v>144</v>
      </c>
      <c r="E13" s="55"/>
      <c r="F13" s="56" t="s">
        <v>193</v>
      </c>
      <c r="G13" s="56"/>
      <c r="H13" s="44"/>
      <c r="I13" s="52"/>
      <c r="J13" s="44"/>
      <c r="K13" s="44"/>
      <c r="L13" s="44"/>
      <c r="N13" s="44"/>
      <c r="O13" s="44"/>
      <c r="P13" s="44"/>
    </row>
    <row r="14" spans="1:16">
      <c r="A14" s="49">
        <v>2</v>
      </c>
      <c r="B14" s="54" t="s">
        <v>194</v>
      </c>
      <c r="C14" s="55" t="s">
        <v>195</v>
      </c>
      <c r="D14" s="55">
        <f>I257</f>
        <v>0</v>
      </c>
      <c r="E14" s="55"/>
      <c r="F14" s="55" t="s">
        <v>196</v>
      </c>
      <c r="G14" s="57">
        <f>I216</f>
        <v>1</v>
      </c>
      <c r="H14" s="55"/>
      <c r="I14" s="55">
        <f>+G14*D14</f>
        <v>0</v>
      </c>
      <c r="J14" s="44"/>
      <c r="K14" s="44"/>
      <c r="L14" s="44"/>
      <c r="N14" s="44"/>
      <c r="O14" s="44"/>
      <c r="P14" s="44"/>
    </row>
    <row r="15" spans="1:16">
      <c r="A15" s="49">
        <v>3</v>
      </c>
      <c r="B15" s="54" t="s">
        <v>197</v>
      </c>
      <c r="C15" s="55" t="s">
        <v>198</v>
      </c>
      <c r="D15" s="55">
        <f>I264</f>
        <v>4057.1749985964479</v>
      </c>
      <c r="E15" s="55"/>
      <c r="F15" s="55" t="str">
        <f>+F14</f>
        <v>TP</v>
      </c>
      <c r="G15" s="57">
        <f>+G14</f>
        <v>1</v>
      </c>
      <c r="H15" s="55"/>
      <c r="I15" s="55">
        <f>+G15*D15</f>
        <v>4057.1749985964479</v>
      </c>
      <c r="J15" s="44"/>
      <c r="K15" s="44"/>
      <c r="N15" s="44"/>
      <c r="O15" s="44"/>
      <c r="P15" s="44"/>
    </row>
    <row r="16" spans="1:16">
      <c r="A16" s="49">
        <v>4</v>
      </c>
      <c r="B16" s="54" t="s">
        <v>199</v>
      </c>
      <c r="C16" s="55"/>
      <c r="D16" s="58">
        <v>0</v>
      </c>
      <c r="E16" s="55"/>
      <c r="F16" s="55" t="s">
        <v>196</v>
      </c>
      <c r="G16" s="57">
        <f>+G14</f>
        <v>1</v>
      </c>
      <c r="H16" s="55"/>
      <c r="I16" s="55">
        <f>+G16*D16</f>
        <v>0</v>
      </c>
      <c r="J16" s="44"/>
      <c r="K16" s="44"/>
      <c r="L16" s="59" t="s">
        <v>481</v>
      </c>
      <c r="N16" s="44"/>
      <c r="O16" s="44"/>
      <c r="P16" s="44"/>
    </row>
    <row r="17" spans="1:16" ht="16.5" thickBot="1">
      <c r="A17" s="49">
        <v>5</v>
      </c>
      <c r="B17" s="54" t="s">
        <v>200</v>
      </c>
      <c r="C17" s="55"/>
      <c r="D17" s="58">
        <v>0</v>
      </c>
      <c r="E17" s="55"/>
      <c r="F17" s="55" t="s">
        <v>196</v>
      </c>
      <c r="G17" s="57">
        <f>+G14</f>
        <v>1</v>
      </c>
      <c r="H17" s="55"/>
      <c r="I17" s="60">
        <f>+G17*D17</f>
        <v>0</v>
      </c>
      <c r="J17" s="44"/>
      <c r="K17" s="44"/>
      <c r="L17" s="59" t="s">
        <v>482</v>
      </c>
      <c r="N17" s="44"/>
      <c r="O17" s="44"/>
      <c r="P17" s="44"/>
    </row>
    <row r="18" spans="1:16">
      <c r="A18" s="49">
        <v>6</v>
      </c>
      <c r="B18" s="54" t="s">
        <v>201</v>
      </c>
      <c r="C18" s="44"/>
      <c r="D18" s="61" t="s">
        <v>171</v>
      </c>
      <c r="E18" s="55"/>
      <c r="F18" s="55"/>
      <c r="G18" s="57"/>
      <c r="H18" s="55"/>
      <c r="I18" s="55">
        <f>SUM(I14:I17)</f>
        <v>4057.1749985964479</v>
      </c>
      <c r="J18" s="44"/>
      <c r="K18" s="44"/>
      <c r="L18" s="44"/>
      <c r="N18" s="44"/>
      <c r="O18" s="44"/>
      <c r="P18" s="44"/>
    </row>
    <row r="19" spans="1:16">
      <c r="A19" s="49"/>
      <c r="B19" s="54"/>
      <c r="C19" s="44"/>
      <c r="I19" s="55"/>
      <c r="J19" s="44"/>
      <c r="K19" s="44"/>
      <c r="L19" s="44"/>
      <c r="N19" s="44"/>
      <c r="O19" s="44"/>
      <c r="P19" s="44"/>
    </row>
    <row r="20" spans="1:16" ht="16.5" thickBot="1">
      <c r="A20" s="49">
        <v>7</v>
      </c>
      <c r="B20" s="54" t="s">
        <v>202</v>
      </c>
      <c r="C20" s="44" t="s">
        <v>203</v>
      </c>
      <c r="D20" s="61" t="s">
        <v>171</v>
      </c>
      <c r="E20" s="55"/>
      <c r="F20" s="55"/>
      <c r="G20" s="55"/>
      <c r="H20" s="55"/>
      <c r="I20" s="62">
        <f>+I11-I18</f>
        <v>80923.977398552379</v>
      </c>
      <c r="J20" s="44"/>
      <c r="K20" s="44"/>
      <c r="L20" s="44"/>
      <c r="N20" s="44"/>
      <c r="O20" s="44"/>
      <c r="P20" s="44"/>
    </row>
    <row r="21" spans="1:16" ht="16.5" thickTop="1">
      <c r="A21" s="49"/>
      <c r="B21" s="54"/>
      <c r="C21" s="55"/>
      <c r="I21" s="55"/>
      <c r="J21" s="44"/>
      <c r="K21" s="44"/>
      <c r="L21" s="44"/>
      <c r="N21" s="44"/>
      <c r="O21" s="44"/>
      <c r="P21" s="44"/>
    </row>
    <row r="22" spans="1:16">
      <c r="A22" s="49" t="s">
        <v>171</v>
      </c>
      <c r="B22" s="54" t="s">
        <v>204</v>
      </c>
      <c r="C22" s="44"/>
      <c r="D22" s="52"/>
      <c r="E22" s="44"/>
      <c r="F22" s="44"/>
      <c r="G22" s="44"/>
      <c r="H22" s="44"/>
      <c r="I22" s="52"/>
      <c r="J22" s="44"/>
      <c r="K22" s="44"/>
      <c r="L22" s="44"/>
      <c r="N22" s="44"/>
      <c r="O22" s="44"/>
      <c r="P22" s="44"/>
    </row>
    <row r="23" spans="1:16">
      <c r="A23" s="49">
        <v>8</v>
      </c>
      <c r="B23" s="54" t="s">
        <v>205</v>
      </c>
      <c r="D23" s="52"/>
      <c r="E23" s="44"/>
      <c r="F23" s="44"/>
      <c r="G23" s="43" t="s">
        <v>206</v>
      </c>
      <c r="H23" s="44"/>
      <c r="I23" s="58">
        <v>0</v>
      </c>
      <c r="J23" s="44"/>
      <c r="K23" s="44"/>
      <c r="L23" s="233" t="s">
        <v>534</v>
      </c>
      <c r="O23" s="44"/>
      <c r="P23" s="44"/>
    </row>
    <row r="24" spans="1:16">
      <c r="A24" s="49">
        <v>9</v>
      </c>
      <c r="B24" s="54" t="s">
        <v>207</v>
      </c>
      <c r="C24" s="55"/>
      <c r="D24" s="55"/>
      <c r="E24" s="55"/>
      <c r="F24" s="55"/>
      <c r="G24" s="55" t="s">
        <v>208</v>
      </c>
      <c r="H24" s="55"/>
      <c r="I24" s="58">
        <v>0</v>
      </c>
      <c r="J24" s="44"/>
      <c r="K24" s="44"/>
      <c r="L24" s="44"/>
      <c r="O24" s="44"/>
      <c r="P24" s="44"/>
    </row>
    <row r="25" spans="1:16">
      <c r="A25" s="49">
        <v>10</v>
      </c>
      <c r="B25" s="54" t="s">
        <v>209</v>
      </c>
      <c r="C25" s="44"/>
      <c r="D25" s="44"/>
      <c r="E25" s="44"/>
      <c r="F25" s="44"/>
      <c r="G25" s="43" t="s">
        <v>210</v>
      </c>
      <c r="H25" s="44"/>
      <c r="I25" s="58">
        <v>0</v>
      </c>
      <c r="J25" s="44"/>
      <c r="K25" s="44"/>
      <c r="L25" s="44"/>
      <c r="O25" s="44"/>
      <c r="P25" s="44"/>
    </row>
    <row r="26" spans="1:16">
      <c r="A26" s="49">
        <v>11</v>
      </c>
      <c r="B26" s="63" t="s">
        <v>211</v>
      </c>
      <c r="C26" s="44"/>
      <c r="D26" s="44"/>
      <c r="E26" s="44"/>
      <c r="F26" s="44"/>
      <c r="G26" s="43" t="s">
        <v>212</v>
      </c>
      <c r="H26" s="44"/>
      <c r="I26" s="58">
        <v>0</v>
      </c>
      <c r="J26" s="44"/>
      <c r="K26" s="44"/>
      <c r="L26" s="44"/>
      <c r="O26" s="44"/>
      <c r="P26" s="44"/>
    </row>
    <row r="27" spans="1:16">
      <c r="A27" s="49">
        <v>12</v>
      </c>
      <c r="B27" s="63" t="s">
        <v>213</v>
      </c>
      <c r="C27" s="44"/>
      <c r="D27" s="44"/>
      <c r="E27" s="44"/>
      <c r="F27" s="44"/>
      <c r="G27" s="43"/>
      <c r="H27" s="44"/>
      <c r="I27" s="58">
        <v>0</v>
      </c>
      <c r="J27" s="44"/>
      <c r="K27" s="44"/>
      <c r="L27" s="44"/>
      <c r="O27" s="44"/>
      <c r="P27" s="44"/>
    </row>
    <row r="28" spans="1:16">
      <c r="A28" s="49">
        <v>13</v>
      </c>
      <c r="B28" s="63" t="s">
        <v>214</v>
      </c>
      <c r="C28" s="44"/>
      <c r="D28" s="44"/>
      <c r="E28" s="44"/>
      <c r="F28" s="44"/>
      <c r="G28" s="43"/>
      <c r="H28" s="44"/>
      <c r="I28" s="64">
        <v>0</v>
      </c>
      <c r="J28" s="44"/>
      <c r="K28" s="44"/>
      <c r="L28" s="44"/>
      <c r="O28" s="44"/>
      <c r="P28" s="44"/>
    </row>
    <row r="29" spans="1:16" ht="16.5" thickBot="1">
      <c r="A29" s="49">
        <v>14</v>
      </c>
      <c r="B29" s="41" t="s">
        <v>215</v>
      </c>
      <c r="C29" s="44"/>
      <c r="D29" s="44"/>
      <c r="E29" s="44"/>
      <c r="F29" s="44"/>
      <c r="G29" s="44"/>
      <c r="H29" s="44"/>
      <c r="I29" s="65">
        <v>0</v>
      </c>
      <c r="J29" s="44"/>
      <c r="K29" s="44"/>
      <c r="L29" s="44"/>
      <c r="O29" s="44"/>
      <c r="P29" s="44"/>
    </row>
    <row r="30" spans="1:16">
      <c r="A30" s="49">
        <v>15</v>
      </c>
      <c r="B30" s="54" t="s">
        <v>216</v>
      </c>
      <c r="C30" s="44"/>
      <c r="D30" s="44"/>
      <c r="E30" s="44"/>
      <c r="F30" s="44"/>
      <c r="G30" s="44"/>
      <c r="H30" s="44"/>
      <c r="I30" s="52">
        <f>SUM(I23:I29)</f>
        <v>0</v>
      </c>
      <c r="J30" s="44"/>
      <c r="K30" s="44"/>
      <c r="L30" s="44"/>
      <c r="O30" s="44"/>
      <c r="P30" s="44"/>
    </row>
    <row r="31" spans="1:16">
      <c r="A31" s="49"/>
      <c r="B31" s="54"/>
      <c r="C31" s="44"/>
      <c r="D31" s="44"/>
      <c r="E31" s="44"/>
      <c r="F31" s="44"/>
      <c r="G31" s="44"/>
      <c r="H31" s="44"/>
      <c r="I31" s="52"/>
      <c r="J31" s="44"/>
      <c r="K31" s="44"/>
      <c r="L31" s="44"/>
      <c r="N31" s="44"/>
      <c r="O31" s="44"/>
      <c r="P31" s="44"/>
    </row>
    <row r="32" spans="1:16">
      <c r="A32" s="49">
        <v>16</v>
      </c>
      <c r="B32" s="54" t="s">
        <v>217</v>
      </c>
      <c r="C32" s="44" t="s">
        <v>218</v>
      </c>
      <c r="D32" s="66">
        <f>IF(I30&gt;0,I20/I30,0)</f>
        <v>0</v>
      </c>
      <c r="E32" s="44"/>
      <c r="F32" s="44"/>
      <c r="G32" s="44"/>
      <c r="H32" s="44"/>
      <c r="J32" s="44"/>
      <c r="K32" s="44"/>
      <c r="L32" s="44"/>
      <c r="N32" s="44"/>
      <c r="O32" s="44"/>
      <c r="P32" s="44"/>
    </row>
    <row r="33" spans="1:16">
      <c r="A33" s="49">
        <v>17</v>
      </c>
      <c r="B33" s="54" t="s">
        <v>219</v>
      </c>
      <c r="C33" s="44"/>
      <c r="D33" s="66">
        <f>+D32/12</f>
        <v>0</v>
      </c>
      <c r="E33" s="44"/>
      <c r="F33" s="44"/>
      <c r="G33" s="44"/>
      <c r="H33" s="44"/>
      <c r="J33" s="44"/>
      <c r="K33" s="44"/>
      <c r="L33" s="44"/>
      <c r="N33" s="44"/>
      <c r="O33" s="44"/>
      <c r="P33" s="44"/>
    </row>
    <row r="34" spans="1:16">
      <c r="A34" s="49"/>
      <c r="B34" s="54"/>
      <c r="C34" s="44"/>
      <c r="D34" s="66"/>
      <c r="E34" s="44"/>
      <c r="F34" s="44"/>
      <c r="G34" s="44"/>
      <c r="H34" s="44"/>
      <c r="J34" s="44"/>
      <c r="K34" s="44"/>
      <c r="L34" s="44"/>
      <c r="N34" s="44"/>
      <c r="O34" s="44"/>
      <c r="P34" s="44"/>
    </row>
    <row r="35" spans="1:16">
      <c r="A35" s="49"/>
      <c r="B35" s="54"/>
      <c r="C35" s="44"/>
      <c r="D35" s="67" t="s">
        <v>220</v>
      </c>
      <c r="E35" s="44"/>
      <c r="F35" s="44"/>
      <c r="G35" s="44"/>
      <c r="H35" s="44"/>
      <c r="I35" s="68" t="s">
        <v>221</v>
      </c>
      <c r="J35" s="44"/>
      <c r="K35" s="44"/>
      <c r="L35" s="44"/>
      <c r="N35" s="44"/>
      <c r="O35" s="44"/>
      <c r="P35" s="44"/>
    </row>
    <row r="36" spans="1:16">
      <c r="A36" s="49">
        <v>18</v>
      </c>
      <c r="B36" s="54" t="s">
        <v>222</v>
      </c>
      <c r="C36" s="44" t="s">
        <v>223</v>
      </c>
      <c r="D36" s="66">
        <f>+D32/52</f>
        <v>0</v>
      </c>
      <c r="E36" s="44"/>
      <c r="F36" s="44"/>
      <c r="G36" s="44"/>
      <c r="H36" s="44"/>
      <c r="I36" s="69">
        <f>+D32/52</f>
        <v>0</v>
      </c>
      <c r="J36" s="44"/>
      <c r="K36" s="44"/>
      <c r="L36" s="44"/>
      <c r="N36" s="44"/>
      <c r="O36" s="44"/>
      <c r="P36" s="44"/>
    </row>
    <row r="37" spans="1:16">
      <c r="A37" s="49">
        <v>19</v>
      </c>
      <c r="B37" s="54" t="s">
        <v>224</v>
      </c>
      <c r="C37" s="44" t="s">
        <v>225</v>
      </c>
      <c r="D37" s="66">
        <f>+D32/260</f>
        <v>0</v>
      </c>
      <c r="E37" s="44" t="s">
        <v>226</v>
      </c>
      <c r="G37" s="44"/>
      <c r="H37" s="44"/>
      <c r="I37" s="69">
        <f>+D32/365</f>
        <v>0</v>
      </c>
      <c r="J37" s="44"/>
      <c r="K37" s="44"/>
      <c r="L37" s="44"/>
      <c r="N37" s="44"/>
      <c r="O37" s="44"/>
      <c r="P37" s="44"/>
    </row>
    <row r="38" spans="1:16">
      <c r="A38" s="49">
        <v>20</v>
      </c>
      <c r="B38" s="54" t="s">
        <v>227</v>
      </c>
      <c r="C38" s="44" t="s">
        <v>228</v>
      </c>
      <c r="D38" s="66">
        <f>+D32/4160*1000</f>
        <v>0</v>
      </c>
      <c r="E38" s="44" t="s">
        <v>229</v>
      </c>
      <c r="G38" s="44"/>
      <c r="H38" s="44"/>
      <c r="I38" s="69">
        <f>+D32/8760*1000</f>
        <v>0</v>
      </c>
      <c r="J38" s="44"/>
      <c r="K38" s="44" t="s">
        <v>171</v>
      </c>
      <c r="L38" s="44"/>
      <c r="N38" s="44"/>
      <c r="O38" s="44"/>
      <c r="P38" s="44"/>
    </row>
    <row r="39" spans="1:16">
      <c r="A39" s="49"/>
      <c r="B39" s="54"/>
      <c r="C39" s="44" t="s">
        <v>230</v>
      </c>
      <c r="D39" s="44"/>
      <c r="E39" s="44" t="s">
        <v>231</v>
      </c>
      <c r="G39" s="44"/>
      <c r="H39" s="44"/>
      <c r="J39" s="44"/>
      <c r="K39" s="44" t="s">
        <v>171</v>
      </c>
      <c r="L39" s="44"/>
      <c r="N39" s="44"/>
      <c r="O39" s="44"/>
      <c r="P39" s="44"/>
    </row>
    <row r="40" spans="1:16">
      <c r="A40" s="49"/>
      <c r="B40" s="54"/>
      <c r="C40" s="44"/>
      <c r="D40" s="44"/>
      <c r="E40" s="44"/>
      <c r="G40" s="44"/>
      <c r="H40" s="44"/>
      <c r="J40" s="44"/>
      <c r="K40" s="44" t="s">
        <v>171</v>
      </c>
      <c r="L40" s="44"/>
      <c r="N40" s="44"/>
      <c r="O40" s="44"/>
      <c r="P40" s="44"/>
    </row>
    <row r="41" spans="1:16">
      <c r="A41" s="49">
        <v>21</v>
      </c>
      <c r="B41" s="54" t="s">
        <v>232</v>
      </c>
      <c r="C41" s="44" t="s">
        <v>233</v>
      </c>
      <c r="D41" s="70">
        <v>0</v>
      </c>
      <c r="E41" s="71" t="s">
        <v>234</v>
      </c>
      <c r="F41" s="71"/>
      <c r="G41" s="71"/>
      <c r="H41" s="71"/>
      <c r="I41" s="71">
        <f>D41</f>
        <v>0</v>
      </c>
      <c r="J41" s="71" t="s">
        <v>234</v>
      </c>
      <c r="K41" s="44"/>
      <c r="L41" s="44"/>
      <c r="N41" s="44"/>
      <c r="O41" s="44"/>
      <c r="P41" s="44"/>
    </row>
    <row r="42" spans="1:16">
      <c r="A42" s="49">
        <v>22</v>
      </c>
      <c r="B42" s="54"/>
      <c r="C42" s="44"/>
      <c r="D42" s="70">
        <v>0</v>
      </c>
      <c r="E42" s="71" t="s">
        <v>235</v>
      </c>
      <c r="F42" s="71"/>
      <c r="G42" s="71"/>
      <c r="H42" s="71"/>
      <c r="I42" s="71">
        <f>D42</f>
        <v>0</v>
      </c>
      <c r="J42" s="71" t="s">
        <v>235</v>
      </c>
      <c r="K42" s="44"/>
      <c r="L42" s="44"/>
      <c r="N42" s="44"/>
      <c r="O42" s="44"/>
      <c r="P42" s="44"/>
    </row>
    <row r="43" spans="1:16">
      <c r="J43" s="43"/>
      <c r="K43" s="44"/>
      <c r="L43" s="44"/>
      <c r="N43" s="44"/>
      <c r="O43" s="44"/>
      <c r="P43" s="44"/>
    </row>
    <row r="44" spans="1:16">
      <c r="J44" s="43"/>
      <c r="K44" s="44"/>
      <c r="L44" s="44"/>
      <c r="N44" s="44"/>
      <c r="O44" s="44"/>
      <c r="P44" s="44"/>
    </row>
    <row r="45" spans="1:16">
      <c r="J45" s="43"/>
      <c r="K45" s="44"/>
      <c r="L45" s="44"/>
      <c r="N45" s="44"/>
      <c r="O45" s="44"/>
      <c r="P45" s="44"/>
    </row>
    <row r="46" spans="1:16">
      <c r="J46" s="43"/>
      <c r="K46" s="44"/>
      <c r="L46" s="44"/>
      <c r="N46" s="44"/>
      <c r="O46" s="44"/>
      <c r="P46" s="44"/>
    </row>
    <row r="47" spans="1:16">
      <c r="J47" s="43"/>
      <c r="K47" s="44"/>
      <c r="L47" s="44"/>
      <c r="N47" s="44"/>
      <c r="O47" s="44"/>
      <c r="P47" s="44"/>
    </row>
    <row r="48" spans="1:16">
      <c r="J48" s="43"/>
      <c r="K48" s="44"/>
      <c r="L48" s="44"/>
      <c r="N48" s="44"/>
      <c r="O48" s="44"/>
      <c r="P48" s="44"/>
    </row>
    <row r="49" spans="10:16">
      <c r="J49" s="43"/>
      <c r="K49" s="44"/>
      <c r="L49" s="44"/>
      <c r="N49" s="44"/>
      <c r="O49" s="44"/>
      <c r="P49" s="44"/>
    </row>
    <row r="50" spans="10:16">
      <c r="J50" s="43"/>
      <c r="K50" s="44"/>
      <c r="L50" s="44"/>
      <c r="N50" s="44"/>
      <c r="O50" s="44"/>
      <c r="P50" s="44"/>
    </row>
    <row r="51" spans="10:16">
      <c r="J51" s="43"/>
      <c r="K51" s="44"/>
      <c r="L51" s="44"/>
      <c r="N51" s="44"/>
      <c r="O51" s="44"/>
      <c r="P51" s="44"/>
    </row>
    <row r="52" spans="10:16">
      <c r="J52" s="43"/>
      <c r="K52" s="44"/>
      <c r="L52" s="44"/>
      <c r="N52" s="44"/>
      <c r="O52" s="44"/>
      <c r="P52" s="44"/>
    </row>
    <row r="53" spans="10:16">
      <c r="J53" s="43"/>
      <c r="K53" s="44"/>
      <c r="L53" s="44"/>
      <c r="N53" s="44"/>
      <c r="O53" s="44"/>
      <c r="P53" s="44"/>
    </row>
    <row r="54" spans="10:16">
      <c r="J54" s="43"/>
      <c r="K54" s="44"/>
      <c r="L54" s="44"/>
      <c r="N54" s="44"/>
      <c r="O54" s="44"/>
      <c r="P54" s="44"/>
    </row>
    <row r="55" spans="10:16">
      <c r="J55" s="43"/>
      <c r="K55" s="44"/>
      <c r="L55" s="44"/>
      <c r="N55" s="44"/>
      <c r="O55" s="44"/>
      <c r="P55" s="44"/>
    </row>
    <row r="56" spans="10:16">
      <c r="J56" s="43"/>
      <c r="K56" s="44"/>
      <c r="L56" s="44"/>
      <c r="N56" s="44"/>
      <c r="O56" s="44"/>
      <c r="P56" s="44"/>
    </row>
    <row r="57" spans="10:16">
      <c r="J57" s="43"/>
      <c r="K57" s="44"/>
      <c r="L57" s="44"/>
      <c r="N57" s="44"/>
      <c r="O57" s="44"/>
      <c r="P57" s="44"/>
    </row>
    <row r="58" spans="10:16">
      <c r="J58" s="43"/>
      <c r="K58" s="44"/>
      <c r="L58" s="44"/>
      <c r="N58" s="44"/>
      <c r="O58" s="44"/>
      <c r="P58" s="44"/>
    </row>
    <row r="59" spans="10:16">
      <c r="J59" s="43"/>
      <c r="K59" s="44"/>
      <c r="L59" s="44"/>
      <c r="N59" s="44"/>
      <c r="O59" s="44"/>
      <c r="P59" s="44"/>
    </row>
    <row r="60" spans="10:16">
      <c r="J60" s="43"/>
      <c r="K60" s="44"/>
      <c r="L60" s="44"/>
      <c r="N60" s="44"/>
      <c r="O60" s="44"/>
      <c r="P60" s="44"/>
    </row>
    <row r="61" spans="10:16">
      <c r="J61" s="43"/>
      <c r="K61" s="44"/>
      <c r="L61" s="44"/>
      <c r="N61" s="44"/>
      <c r="O61" s="44"/>
      <c r="P61" s="44"/>
    </row>
    <row r="62" spans="10:16">
      <c r="J62" s="43"/>
      <c r="K62" s="44"/>
      <c r="L62" s="44"/>
      <c r="N62" s="44"/>
      <c r="O62" s="44"/>
      <c r="P62" s="44"/>
    </row>
    <row r="63" spans="10:16">
      <c r="J63" s="43"/>
      <c r="K63" s="44"/>
      <c r="L63" s="44"/>
      <c r="N63" s="44"/>
      <c r="O63" s="44"/>
      <c r="P63" s="44"/>
    </row>
    <row r="64" spans="10:16">
      <c r="J64" s="43"/>
      <c r="K64" s="44"/>
      <c r="L64" s="44"/>
      <c r="N64" s="44"/>
      <c r="O64" s="44"/>
      <c r="P64" s="44"/>
    </row>
    <row r="65" spans="1:16">
      <c r="J65" s="43"/>
      <c r="K65" s="44"/>
      <c r="L65" s="44"/>
      <c r="N65" s="44"/>
      <c r="O65" s="44"/>
      <c r="P65" s="44"/>
    </row>
    <row r="66" spans="1:16">
      <c r="J66" s="43"/>
      <c r="K66" s="44"/>
      <c r="L66" s="44"/>
      <c r="N66" s="44"/>
      <c r="O66" s="44"/>
      <c r="P66" s="44"/>
    </row>
    <row r="67" spans="1:16">
      <c r="J67" s="43"/>
      <c r="K67" s="44"/>
      <c r="L67" s="44"/>
      <c r="N67" s="44"/>
      <c r="O67" s="44"/>
      <c r="P67" s="44"/>
    </row>
    <row r="68" spans="1:16">
      <c r="J68" s="43"/>
      <c r="K68" s="115" t="s">
        <v>480</v>
      </c>
      <c r="L68" s="44"/>
      <c r="N68" s="44"/>
      <c r="O68" s="44"/>
      <c r="P68" s="44"/>
    </row>
    <row r="69" spans="1:16">
      <c r="B69" s="41"/>
      <c r="C69" s="41"/>
      <c r="D69" s="42"/>
      <c r="E69" s="41"/>
      <c r="F69" s="41"/>
      <c r="G69" s="41"/>
      <c r="H69" s="43"/>
      <c r="I69" s="43"/>
      <c r="K69" s="45" t="s">
        <v>236</v>
      </c>
      <c r="L69" s="45"/>
      <c r="N69" s="44"/>
      <c r="O69" s="44"/>
      <c r="P69" s="44"/>
    </row>
    <row r="70" spans="1:16">
      <c r="B70" s="44"/>
      <c r="C70" s="44"/>
      <c r="D70" s="44"/>
      <c r="E70" s="44"/>
      <c r="F70" s="44"/>
      <c r="G70" s="44"/>
      <c r="H70" s="44"/>
      <c r="I70" s="44"/>
      <c r="J70" s="44"/>
      <c r="K70" s="44"/>
      <c r="L70" s="44"/>
      <c r="N70" s="44"/>
      <c r="O70" s="44"/>
      <c r="P70" s="44"/>
    </row>
    <row r="71" spans="1:16">
      <c r="B71" s="54" t="str">
        <f>B4</f>
        <v xml:space="preserve">Formula Rate - Non-Levelized </v>
      </c>
      <c r="C71" s="54"/>
      <c r="D71" s="72" t="str">
        <f>D4</f>
        <v xml:space="preserve">   Rate Formula Template</v>
      </c>
      <c r="E71" s="54"/>
      <c r="F71" s="54"/>
      <c r="G71" s="54"/>
      <c r="H71" s="54"/>
      <c r="J71" s="54"/>
      <c r="K71" s="45" t="str">
        <f>K4</f>
        <v>For the 12 months ended 12/31/2013</v>
      </c>
      <c r="L71" s="44"/>
      <c r="N71" s="54"/>
      <c r="O71" s="54"/>
      <c r="P71" s="54"/>
    </row>
    <row r="72" spans="1:16">
      <c r="B72" s="54"/>
      <c r="C72" s="55" t="s">
        <v>171</v>
      </c>
      <c r="D72" s="55" t="str">
        <f>D5</f>
        <v>Utilizing EIA Form 412 Data</v>
      </c>
      <c r="E72" s="55"/>
      <c r="F72" s="55"/>
      <c r="G72" s="55"/>
      <c r="H72" s="55"/>
      <c r="I72" s="55"/>
      <c r="J72" s="55"/>
      <c r="K72" s="55"/>
      <c r="L72" s="44"/>
      <c r="N72" s="44"/>
      <c r="O72" s="55"/>
      <c r="P72" s="54"/>
    </row>
    <row r="73" spans="1:16">
      <c r="B73" s="54"/>
      <c r="C73" s="55" t="s">
        <v>171</v>
      </c>
      <c r="D73" s="55" t="s">
        <v>171</v>
      </c>
      <c r="E73" s="55"/>
      <c r="F73" s="55"/>
      <c r="G73" s="55" t="s">
        <v>171</v>
      </c>
      <c r="H73" s="55"/>
      <c r="I73" s="55"/>
      <c r="J73" s="55"/>
      <c r="K73" s="55"/>
      <c r="L73" s="54"/>
      <c r="N73" s="55"/>
      <c r="O73" s="55"/>
      <c r="P73" s="54"/>
    </row>
    <row r="74" spans="1:16">
      <c r="B74" s="54"/>
      <c r="C74" s="44"/>
      <c r="D74" s="55" t="str">
        <f>D7</f>
        <v>Benson (Minnesota) Municipal Utilities</v>
      </c>
      <c r="E74" s="55"/>
      <c r="F74" s="55"/>
      <c r="G74" s="55"/>
      <c r="H74" s="55"/>
      <c r="I74" s="55"/>
      <c r="J74" s="55"/>
      <c r="K74" s="55"/>
      <c r="L74" s="54"/>
      <c r="N74" s="55"/>
      <c r="O74" s="55"/>
      <c r="P74" s="54"/>
    </row>
    <row r="75" spans="1:16">
      <c r="B75" s="46" t="s">
        <v>237</v>
      </c>
      <c r="C75" s="46" t="s">
        <v>238</v>
      </c>
      <c r="D75" s="46" t="s">
        <v>239</v>
      </c>
      <c r="E75" s="55" t="s">
        <v>171</v>
      </c>
      <c r="F75" s="55"/>
      <c r="G75" s="73" t="s">
        <v>240</v>
      </c>
      <c r="H75" s="55"/>
      <c r="I75" s="74" t="s">
        <v>241</v>
      </c>
      <c r="J75" s="55"/>
      <c r="K75" s="46"/>
      <c r="L75" s="54"/>
      <c r="N75" s="46"/>
      <c r="O75" s="55"/>
      <c r="P75" s="54"/>
    </row>
    <row r="76" spans="1:16">
      <c r="A76" s="49" t="s">
        <v>1</v>
      </c>
      <c r="B76" s="54"/>
      <c r="C76" s="75" t="s">
        <v>242</v>
      </c>
      <c r="D76" s="55"/>
      <c r="E76" s="55"/>
      <c r="F76" s="55"/>
      <c r="G76" s="49"/>
      <c r="H76" s="55"/>
      <c r="I76" s="76" t="s">
        <v>243</v>
      </c>
      <c r="J76" s="55"/>
      <c r="K76" s="46"/>
      <c r="L76" s="54"/>
      <c r="N76" s="46"/>
      <c r="O76" s="46"/>
      <c r="P76" s="54"/>
    </row>
    <row r="77" spans="1:16" ht="16.5" thickBot="1">
      <c r="A77" s="51" t="s">
        <v>2</v>
      </c>
      <c r="B77" s="77" t="s">
        <v>244</v>
      </c>
      <c r="C77" s="78" t="s">
        <v>245</v>
      </c>
      <c r="D77" s="76" t="s">
        <v>246</v>
      </c>
      <c r="E77" s="79"/>
      <c r="F77" s="76" t="s">
        <v>247</v>
      </c>
      <c r="H77" s="79"/>
      <c r="I77" s="49" t="s">
        <v>248</v>
      </c>
      <c r="J77" s="55"/>
      <c r="K77" s="46"/>
      <c r="L77" s="54"/>
      <c r="N77" s="46"/>
      <c r="O77" s="46"/>
      <c r="P77" s="54"/>
    </row>
    <row r="78" spans="1:16">
      <c r="A78" s="49"/>
      <c r="B78" s="54" t="s">
        <v>249</v>
      </c>
      <c r="C78" s="55"/>
      <c r="D78" s="55"/>
      <c r="E78" s="55"/>
      <c r="F78" s="55"/>
      <c r="G78" s="55"/>
      <c r="H78" s="55"/>
      <c r="I78" s="55"/>
      <c r="J78" s="55"/>
      <c r="K78" s="55"/>
      <c r="L78" s="54"/>
      <c r="N78" s="55"/>
      <c r="O78" s="55"/>
      <c r="P78" s="54"/>
    </row>
    <row r="79" spans="1:16">
      <c r="A79" s="49">
        <v>1</v>
      </c>
      <c r="B79" s="54" t="s">
        <v>250</v>
      </c>
      <c r="C79" s="55" t="s">
        <v>251</v>
      </c>
      <c r="D79" s="81">
        <f>+'Sched 4 Electric Plant'!G14</f>
        <v>4277309.5</v>
      </c>
      <c r="E79" s="55"/>
      <c r="F79" s="55" t="s">
        <v>252</v>
      </c>
      <c r="G79" s="82" t="s">
        <v>171</v>
      </c>
      <c r="H79" s="55"/>
      <c r="I79" s="55" t="s">
        <v>171</v>
      </c>
      <c r="J79" s="55"/>
      <c r="K79" s="55"/>
      <c r="L79" s="342" t="s">
        <v>177</v>
      </c>
      <c r="O79" s="55"/>
      <c r="P79" s="54"/>
    </row>
    <row r="80" spans="1:16">
      <c r="A80" s="49">
        <v>2</v>
      </c>
      <c r="B80" s="54" t="s">
        <v>253</v>
      </c>
      <c r="C80" s="55" t="s">
        <v>254</v>
      </c>
      <c r="D80" s="81">
        <f>+'Sched 4 Electric Plant'!G17</f>
        <v>676120.5</v>
      </c>
      <c r="E80" s="55"/>
      <c r="F80" s="55" t="s">
        <v>196</v>
      </c>
      <c r="G80" s="82">
        <f>I216</f>
        <v>1</v>
      </c>
      <c r="H80" s="55"/>
      <c r="I80" s="55">
        <f>+G80*D80</f>
        <v>676120.5</v>
      </c>
      <c r="J80" s="55"/>
      <c r="K80" s="55"/>
      <c r="L80" s="342" t="s">
        <v>177</v>
      </c>
      <c r="O80" s="55"/>
      <c r="P80" s="54"/>
    </row>
    <row r="81" spans="1:16">
      <c r="A81" s="49">
        <v>3</v>
      </c>
      <c r="B81" s="54" t="s">
        <v>255</v>
      </c>
      <c r="C81" s="55" t="s">
        <v>256</v>
      </c>
      <c r="D81" s="81">
        <f>+'Sched 4 Electric Plant'!G18</f>
        <v>8369377</v>
      </c>
      <c r="E81" s="55"/>
      <c r="F81" s="55" t="s">
        <v>252</v>
      </c>
      <c r="G81" s="82" t="s">
        <v>171</v>
      </c>
      <c r="H81" s="55"/>
      <c r="I81" s="55" t="s">
        <v>171</v>
      </c>
      <c r="J81" s="55"/>
      <c r="K81" s="55"/>
      <c r="L81" s="342" t="s">
        <v>177</v>
      </c>
      <c r="O81" s="55"/>
      <c r="P81" s="54"/>
    </row>
    <row r="82" spans="1:16">
      <c r="A82" s="49">
        <v>4</v>
      </c>
      <c r="B82" s="54" t="s">
        <v>257</v>
      </c>
      <c r="C82" s="55" t="s">
        <v>258</v>
      </c>
      <c r="D82" s="81">
        <f>+'Sched 4 Electric Plant'!G19</f>
        <v>416228</v>
      </c>
      <c r="E82" s="55"/>
      <c r="F82" s="55" t="s">
        <v>259</v>
      </c>
      <c r="G82" s="82">
        <f>I232</f>
        <v>0</v>
      </c>
      <c r="H82" s="55"/>
      <c r="I82" s="55">
        <f>+G82*D82</f>
        <v>0</v>
      </c>
      <c r="J82" s="55"/>
      <c r="K82" s="55"/>
      <c r="L82" s="342" t="s">
        <v>177</v>
      </c>
      <c r="O82" s="46"/>
      <c r="P82" s="54"/>
    </row>
    <row r="83" spans="1:16" ht="16.5" thickBot="1">
      <c r="A83" s="49">
        <v>5</v>
      </c>
      <c r="B83" s="54" t="s">
        <v>260</v>
      </c>
      <c r="C83" s="55"/>
      <c r="D83" s="83">
        <v>0</v>
      </c>
      <c r="E83" s="55"/>
      <c r="F83" s="55" t="s">
        <v>261</v>
      </c>
      <c r="G83" s="82">
        <f>K236</f>
        <v>0</v>
      </c>
      <c r="H83" s="55"/>
      <c r="I83" s="60">
        <f>+G83*D83</f>
        <v>0</v>
      </c>
      <c r="J83" s="55"/>
      <c r="K83" s="55"/>
      <c r="L83" s="54"/>
      <c r="O83" s="46"/>
      <c r="P83" s="54"/>
    </row>
    <row r="84" spans="1:16">
      <c r="A84" s="49">
        <v>6</v>
      </c>
      <c r="B84" s="41" t="s">
        <v>262</v>
      </c>
      <c r="C84" s="55"/>
      <c r="D84" s="55">
        <f>SUM(D79:D83)</f>
        <v>13739035</v>
      </c>
      <c r="E84" s="55"/>
      <c r="F84" s="55" t="s">
        <v>263</v>
      </c>
      <c r="G84" s="84">
        <f>IF(I84&gt;0,I84/D84,0)</f>
        <v>4.9211644049236357E-2</v>
      </c>
      <c r="H84" s="55"/>
      <c r="I84" s="55">
        <f>SUM(I79:I83)</f>
        <v>676120.5</v>
      </c>
      <c r="J84" s="55"/>
      <c r="K84" s="84"/>
      <c r="L84" s="54"/>
      <c r="N84" s="55"/>
      <c r="O84" s="55"/>
      <c r="P84" s="54"/>
    </row>
    <row r="85" spans="1:16">
      <c r="B85" s="54"/>
      <c r="C85" s="55"/>
      <c r="D85" s="55"/>
      <c r="E85" s="55"/>
      <c r="F85" s="55"/>
      <c r="G85" s="84"/>
      <c r="H85" s="55"/>
      <c r="I85" s="55"/>
      <c r="J85" s="55"/>
      <c r="K85" s="84"/>
      <c r="L85" s="54"/>
      <c r="N85" s="55"/>
      <c r="O85" s="55"/>
      <c r="P85" s="54"/>
    </row>
    <row r="86" spans="1:16">
      <c r="B86" s="54" t="s">
        <v>264</v>
      </c>
      <c r="C86" s="55"/>
      <c r="D86" s="55"/>
      <c r="E86" s="55"/>
      <c r="F86" s="55"/>
      <c r="G86" s="55"/>
      <c r="H86" s="55"/>
      <c r="I86" s="55"/>
      <c r="J86" s="55"/>
      <c r="K86" s="55"/>
      <c r="L86" s="54"/>
      <c r="N86" s="55"/>
      <c r="O86" s="55"/>
      <c r="P86" s="54"/>
    </row>
    <row r="87" spans="1:16">
      <c r="A87" s="49">
        <v>7</v>
      </c>
      <c r="B87" s="54" t="str">
        <f>+B79</f>
        <v xml:space="preserve">  Production</v>
      </c>
      <c r="D87" s="85">
        <f>+'Sched 4 Electric Plant'!I14</f>
        <v>2651187</v>
      </c>
      <c r="E87" s="55"/>
      <c r="F87" s="55" t="str">
        <f t="shared" ref="F87:G91" si="0">+F79</f>
        <v>NA</v>
      </c>
      <c r="G87" s="82" t="str">
        <f t="shared" si="0"/>
        <v xml:space="preserve"> </v>
      </c>
      <c r="H87" s="55"/>
      <c r="I87" s="55" t="s">
        <v>171</v>
      </c>
      <c r="J87" s="55"/>
      <c r="K87" s="55"/>
      <c r="L87" s="342" t="s">
        <v>177</v>
      </c>
      <c r="N87" s="55"/>
      <c r="O87" s="55"/>
      <c r="P87" s="54"/>
    </row>
    <row r="88" spans="1:16">
      <c r="A88" s="49">
        <v>8</v>
      </c>
      <c r="B88" s="54" t="str">
        <f>+B80</f>
        <v xml:space="preserve">  Transmission</v>
      </c>
      <c r="D88" s="85">
        <f>+'Sched 4 Electric Plant'!I17</f>
        <v>101418</v>
      </c>
      <c r="E88" s="55"/>
      <c r="F88" s="55" t="str">
        <f t="shared" si="0"/>
        <v>TP</v>
      </c>
      <c r="G88" s="82">
        <f t="shared" si="0"/>
        <v>1</v>
      </c>
      <c r="H88" s="55"/>
      <c r="I88" s="55">
        <f>+G88*D88</f>
        <v>101418</v>
      </c>
      <c r="J88" s="55"/>
      <c r="K88" s="55"/>
      <c r="L88" s="342" t="s">
        <v>177</v>
      </c>
      <c r="N88" s="55"/>
      <c r="O88" s="55"/>
      <c r="P88" s="54"/>
    </row>
    <row r="89" spans="1:16">
      <c r="A89" s="49">
        <v>9</v>
      </c>
      <c r="B89" s="54" t="str">
        <f>+B81</f>
        <v xml:space="preserve">  Distribution</v>
      </c>
      <c r="D89" s="85">
        <f>+'Sched 4 Electric Plant'!I18</f>
        <v>3677413</v>
      </c>
      <c r="E89" s="55"/>
      <c r="F89" s="55" t="str">
        <f t="shared" si="0"/>
        <v>NA</v>
      </c>
      <c r="G89" s="82" t="str">
        <f t="shared" si="0"/>
        <v xml:space="preserve"> </v>
      </c>
      <c r="H89" s="55"/>
      <c r="I89" s="55" t="s">
        <v>171</v>
      </c>
      <c r="J89" s="55"/>
      <c r="K89" s="55"/>
      <c r="L89" s="342" t="s">
        <v>177</v>
      </c>
      <c r="N89" s="55"/>
      <c r="O89" s="55"/>
      <c r="P89" s="54"/>
    </row>
    <row r="90" spans="1:16">
      <c r="A90" s="49">
        <v>10</v>
      </c>
      <c r="B90" s="54" t="str">
        <f>+B82</f>
        <v xml:space="preserve">  General &amp; Intangible</v>
      </c>
      <c r="D90" s="85">
        <f>+'Sched 4 Electric Plant'!I19</f>
        <v>365771</v>
      </c>
      <c r="E90" s="55"/>
      <c r="F90" s="55" t="str">
        <f t="shared" si="0"/>
        <v>W/S</v>
      </c>
      <c r="G90" s="82">
        <f t="shared" si="0"/>
        <v>0</v>
      </c>
      <c r="H90" s="55"/>
      <c r="I90" s="55">
        <f>+G90*D90</f>
        <v>0</v>
      </c>
      <c r="J90" s="55"/>
      <c r="K90" s="55"/>
      <c r="L90" s="342" t="s">
        <v>177</v>
      </c>
      <c r="N90" s="55"/>
      <c r="O90" s="46"/>
      <c r="P90" s="54"/>
    </row>
    <row r="91" spans="1:16" ht="16.5" thickBot="1">
      <c r="A91" s="49">
        <v>11</v>
      </c>
      <c r="B91" s="54" t="str">
        <f>+B83</f>
        <v xml:space="preserve">  Common</v>
      </c>
      <c r="C91" s="55"/>
      <c r="D91" s="83">
        <v>0</v>
      </c>
      <c r="E91" s="55"/>
      <c r="F91" s="55" t="str">
        <f t="shared" si="0"/>
        <v>CE</v>
      </c>
      <c r="G91" s="82">
        <f t="shared" si="0"/>
        <v>0</v>
      </c>
      <c r="H91" s="55"/>
      <c r="I91" s="60">
        <f>+G91*D91</f>
        <v>0</v>
      </c>
      <c r="J91" s="55"/>
      <c r="K91" s="55"/>
      <c r="L91" s="54"/>
      <c r="N91" s="55"/>
      <c r="O91" s="46"/>
      <c r="P91" s="54"/>
    </row>
    <row r="92" spans="1:16">
      <c r="A92" s="49">
        <v>12</v>
      </c>
      <c r="B92" s="54" t="s">
        <v>265</v>
      </c>
      <c r="C92" s="55"/>
      <c r="D92" s="55">
        <f>SUM(D87:D91)</f>
        <v>6795789</v>
      </c>
      <c r="E92" s="55"/>
      <c r="F92" s="55"/>
      <c r="G92" s="55"/>
      <c r="H92" s="55"/>
      <c r="I92" s="55">
        <f>SUM(I87:I91)</f>
        <v>101418</v>
      </c>
      <c r="J92" s="55"/>
      <c r="K92" s="55"/>
      <c r="L92" s="54"/>
      <c r="N92" s="86"/>
      <c r="O92" s="55"/>
      <c r="P92" s="54"/>
    </row>
    <row r="93" spans="1:16">
      <c r="A93" s="49"/>
      <c r="C93" s="55" t="s">
        <v>171</v>
      </c>
      <c r="E93" s="55"/>
      <c r="F93" s="55"/>
      <c r="G93" s="84"/>
      <c r="H93" s="55"/>
      <c r="J93" s="55"/>
      <c r="K93" s="84"/>
      <c r="L93" s="54"/>
      <c r="N93" s="55"/>
      <c r="O93" s="55"/>
      <c r="P93" s="54"/>
    </row>
    <row r="94" spans="1:16">
      <c r="A94" s="49"/>
      <c r="B94" s="54" t="s">
        <v>266</v>
      </c>
      <c r="C94" s="55"/>
      <c r="D94" s="55"/>
      <c r="E94" s="55"/>
      <c r="F94" s="55"/>
      <c r="G94" s="55"/>
      <c r="H94" s="55"/>
      <c r="I94" s="55"/>
      <c r="J94" s="55"/>
      <c r="K94" s="55"/>
      <c r="L94" s="54"/>
      <c r="N94" s="55"/>
      <c r="O94" s="55"/>
      <c r="P94" s="54"/>
    </row>
    <row r="95" spans="1:16">
      <c r="A95" s="49">
        <v>13</v>
      </c>
      <c r="B95" s="54" t="str">
        <f>+B87</f>
        <v xml:space="preserve">  Production</v>
      </c>
      <c r="C95" s="55" t="s">
        <v>267</v>
      </c>
      <c r="D95" s="55">
        <f>D79-D87</f>
        <v>1626122.5</v>
      </c>
      <c r="E95" s="55"/>
      <c r="F95" s="55"/>
      <c r="G95" s="84"/>
      <c r="H95" s="55"/>
      <c r="I95" s="55" t="s">
        <v>171</v>
      </c>
      <c r="J95" s="55"/>
      <c r="K95" s="84"/>
      <c r="L95" s="54"/>
      <c r="N95" s="55"/>
      <c r="O95" s="55"/>
      <c r="P95" s="54"/>
    </row>
    <row r="96" spans="1:16">
      <c r="A96" s="49">
        <v>14</v>
      </c>
      <c r="B96" s="54" t="str">
        <f>+B88</f>
        <v xml:space="preserve">  Transmission</v>
      </c>
      <c r="C96" s="55" t="s">
        <v>268</v>
      </c>
      <c r="D96" s="55">
        <f>D80-D88</f>
        <v>574702.5</v>
      </c>
      <c r="E96" s="55"/>
      <c r="F96" s="55"/>
      <c r="G96" s="82"/>
      <c r="H96" s="55"/>
      <c r="I96" s="55">
        <f>I80-I88</f>
        <v>574702.5</v>
      </c>
      <c r="J96" s="55"/>
      <c r="K96" s="84"/>
      <c r="L96" s="54"/>
      <c r="N96" s="55"/>
      <c r="O96" s="55"/>
      <c r="P96" s="54"/>
    </row>
    <row r="97" spans="1:16">
      <c r="A97" s="49">
        <v>15</v>
      </c>
      <c r="B97" s="54" t="str">
        <f>+B89</f>
        <v xml:space="preserve">  Distribution</v>
      </c>
      <c r="C97" s="55" t="s">
        <v>269</v>
      </c>
      <c r="D97" s="55">
        <f>D81-D89</f>
        <v>4691964</v>
      </c>
      <c r="E97" s="55"/>
      <c r="F97" s="55"/>
      <c r="G97" s="84"/>
      <c r="H97" s="55"/>
      <c r="I97" s="55" t="s">
        <v>171</v>
      </c>
      <c r="J97" s="55"/>
      <c r="K97" s="84"/>
      <c r="L97" s="54"/>
      <c r="N97" s="55"/>
      <c r="O97" s="55"/>
      <c r="P97" s="54"/>
    </row>
    <row r="98" spans="1:16">
      <c r="A98" s="49">
        <v>16</v>
      </c>
      <c r="B98" s="54" t="str">
        <f>+B90</f>
        <v xml:space="preserve">  General &amp; Intangible</v>
      </c>
      <c r="C98" s="55" t="s">
        <v>270</v>
      </c>
      <c r="D98" s="55">
        <f>D82-D90</f>
        <v>50457</v>
      </c>
      <c r="E98" s="55"/>
      <c r="F98" s="55"/>
      <c r="G98" s="84"/>
      <c r="H98" s="55"/>
      <c r="I98" s="55">
        <f>I82-I90</f>
        <v>0</v>
      </c>
      <c r="J98" s="55"/>
      <c r="K98" s="84"/>
      <c r="L98" s="54"/>
      <c r="N98" s="55"/>
      <c r="O98" s="46"/>
      <c r="P98" s="54"/>
    </row>
    <row r="99" spans="1:16" ht="16.5" thickBot="1">
      <c r="A99" s="49">
        <v>17</v>
      </c>
      <c r="B99" s="54" t="str">
        <f>+B91</f>
        <v xml:space="preserve">  Common</v>
      </c>
      <c r="C99" s="55" t="s">
        <v>271</v>
      </c>
      <c r="D99" s="60">
        <f>D83-D91</f>
        <v>0</v>
      </c>
      <c r="E99" s="55"/>
      <c r="F99" s="55"/>
      <c r="G99" s="84"/>
      <c r="H99" s="55"/>
      <c r="I99" s="60">
        <f>I83-I91</f>
        <v>0</v>
      </c>
      <c r="J99" s="55"/>
      <c r="K99" s="84"/>
      <c r="L99" s="54"/>
      <c r="N99" s="55"/>
      <c r="O99" s="46"/>
      <c r="P99" s="54"/>
    </row>
    <row r="100" spans="1:16">
      <c r="A100" s="49">
        <v>18</v>
      </c>
      <c r="B100" s="54" t="s">
        <v>272</v>
      </c>
      <c r="C100" s="55"/>
      <c r="D100" s="55">
        <f>SUM(D95:D99)</f>
        <v>6943246</v>
      </c>
      <c r="E100" s="55"/>
      <c r="F100" s="55" t="s">
        <v>273</v>
      </c>
      <c r="G100" s="84">
        <f>IF(I100&gt;0,I100/D100,0)</f>
        <v>8.2771444364782704E-2</v>
      </c>
      <c r="H100" s="55"/>
      <c r="I100" s="55">
        <f>SUM(I95:I99)</f>
        <v>574702.5</v>
      </c>
      <c r="J100" s="55"/>
      <c r="K100" s="55"/>
      <c r="L100" s="54"/>
      <c r="N100" s="61"/>
      <c r="O100" s="55"/>
      <c r="P100" s="54"/>
    </row>
    <row r="101" spans="1:16">
      <c r="A101" s="49"/>
      <c r="C101" s="55"/>
      <c r="E101" s="55"/>
      <c r="H101" s="55"/>
      <c r="J101" s="55"/>
      <c r="K101" s="84"/>
      <c r="L101" s="54"/>
      <c r="N101" s="55"/>
      <c r="O101" s="55"/>
      <c r="P101" s="54"/>
    </row>
    <row r="102" spans="1:16">
      <c r="A102" s="49"/>
      <c r="B102" s="41" t="s">
        <v>274</v>
      </c>
      <c r="C102" s="55"/>
      <c r="D102" s="55"/>
      <c r="E102" s="55"/>
      <c r="F102" s="55"/>
      <c r="G102" s="55"/>
      <c r="H102" s="55"/>
      <c r="I102" s="55"/>
      <c r="J102" s="55"/>
      <c r="K102" s="55"/>
      <c r="L102" s="54"/>
      <c r="N102" s="55" t="s">
        <v>171</v>
      </c>
      <c r="O102" s="55"/>
      <c r="P102" s="54"/>
    </row>
    <row r="103" spans="1:16">
      <c r="A103" s="49">
        <v>19</v>
      </c>
      <c r="B103" s="54" t="s">
        <v>275</v>
      </c>
      <c r="C103" s="55"/>
      <c r="D103" s="85">
        <v>0</v>
      </c>
      <c r="E103" s="55"/>
      <c r="F103" s="55"/>
      <c r="G103" s="87" t="s">
        <v>276</v>
      </c>
      <c r="H103" s="55"/>
      <c r="I103" s="55">
        <v>0</v>
      </c>
      <c r="J103" s="55"/>
      <c r="K103" s="84"/>
      <c r="L103" s="54"/>
      <c r="N103" s="84"/>
      <c r="O103" s="46"/>
      <c r="P103" s="54"/>
    </row>
    <row r="104" spans="1:16">
      <c r="A104" s="49">
        <v>20</v>
      </c>
      <c r="B104" s="54" t="s">
        <v>277</v>
      </c>
      <c r="C104" s="55"/>
      <c r="D104" s="85">
        <v>0</v>
      </c>
      <c r="E104" s="55"/>
      <c r="F104" s="55" t="s">
        <v>278</v>
      </c>
      <c r="G104" s="82">
        <f>+G100</f>
        <v>8.2771444364782704E-2</v>
      </c>
      <c r="H104" s="55"/>
      <c r="I104" s="55">
        <f>D104*G104</f>
        <v>0</v>
      </c>
      <c r="J104" s="55"/>
      <c r="K104" s="84"/>
      <c r="L104" s="54"/>
      <c r="N104" s="84"/>
      <c r="O104" s="46"/>
      <c r="P104" s="54"/>
    </row>
    <row r="105" spans="1:16">
      <c r="A105" s="49">
        <v>21</v>
      </c>
      <c r="B105" s="54" t="s">
        <v>279</v>
      </c>
      <c r="C105" s="55"/>
      <c r="D105" s="81">
        <v>0</v>
      </c>
      <c r="E105" s="55"/>
      <c r="F105" s="55" t="s">
        <v>278</v>
      </c>
      <c r="G105" s="82">
        <f>+G104</f>
        <v>8.2771444364782704E-2</v>
      </c>
      <c r="H105" s="55"/>
      <c r="I105" s="55">
        <f>D105*G105</f>
        <v>0</v>
      </c>
      <c r="J105" s="55"/>
      <c r="K105" s="84"/>
      <c r="L105" s="54"/>
      <c r="N105" s="84"/>
      <c r="O105" s="46"/>
      <c r="P105" s="54"/>
    </row>
    <row r="106" spans="1:16">
      <c r="A106" s="49">
        <v>22</v>
      </c>
      <c r="B106" s="54" t="s">
        <v>280</v>
      </c>
      <c r="C106" s="55"/>
      <c r="D106" s="81">
        <v>0</v>
      </c>
      <c r="E106" s="55"/>
      <c r="F106" s="55" t="str">
        <f>+F105</f>
        <v>NP</v>
      </c>
      <c r="G106" s="82">
        <f>+G105</f>
        <v>8.2771444364782704E-2</v>
      </c>
      <c r="H106" s="55"/>
      <c r="I106" s="55">
        <f>D106*G106</f>
        <v>0</v>
      </c>
      <c r="J106" s="55"/>
      <c r="K106" s="84"/>
      <c r="L106" s="54"/>
      <c r="N106" s="84"/>
      <c r="O106" s="46"/>
      <c r="P106" s="54"/>
    </row>
    <row r="107" spans="1:16" ht="16.5" thickBot="1">
      <c r="A107" s="49">
        <v>23</v>
      </c>
      <c r="B107" s="40" t="s">
        <v>281</v>
      </c>
      <c r="D107" s="83">
        <v>0</v>
      </c>
      <c r="E107" s="55"/>
      <c r="F107" s="55" t="s">
        <v>278</v>
      </c>
      <c r="G107" s="82">
        <f>+G105</f>
        <v>8.2771444364782704E-2</v>
      </c>
      <c r="H107" s="55"/>
      <c r="I107" s="60">
        <f>D107*G107</f>
        <v>0</v>
      </c>
      <c r="J107" s="55"/>
      <c r="K107" s="55"/>
      <c r="L107" s="54"/>
      <c r="N107" s="86"/>
      <c r="O107" s="55"/>
      <c r="P107" s="54"/>
    </row>
    <row r="108" spans="1:16">
      <c r="A108" s="49">
        <v>24</v>
      </c>
      <c r="B108" s="54" t="s">
        <v>282</v>
      </c>
      <c r="C108" s="55"/>
      <c r="D108" s="55">
        <f>SUM(D103:D107)</f>
        <v>0</v>
      </c>
      <c r="E108" s="55"/>
      <c r="F108" s="55"/>
      <c r="G108" s="55"/>
      <c r="H108" s="55"/>
      <c r="I108" s="55">
        <f>SUM(I103:I107)</f>
        <v>0</v>
      </c>
      <c r="J108" s="55"/>
      <c r="K108" s="84"/>
      <c r="L108" s="54"/>
      <c r="N108" s="55"/>
      <c r="O108" s="55"/>
      <c r="P108" s="54"/>
    </row>
    <row r="109" spans="1:16">
      <c r="A109" s="49"/>
      <c r="B109" s="54"/>
      <c r="C109" s="55"/>
      <c r="D109" s="55"/>
      <c r="E109" s="55"/>
      <c r="F109" s="55"/>
      <c r="G109" s="55"/>
      <c r="H109" s="55"/>
      <c r="I109" s="55"/>
      <c r="J109" s="55"/>
      <c r="K109" s="84"/>
      <c r="L109" s="54"/>
      <c r="N109" s="55"/>
      <c r="O109" s="55"/>
      <c r="P109" s="54"/>
    </row>
    <row r="110" spans="1:16">
      <c r="A110" s="49">
        <v>25</v>
      </c>
      <c r="B110" s="41" t="s">
        <v>283</v>
      </c>
      <c r="C110" s="55" t="s">
        <v>284</v>
      </c>
      <c r="D110" s="85">
        <v>0</v>
      </c>
      <c r="E110" s="55"/>
      <c r="F110" s="55" t="str">
        <f>+F88</f>
        <v>TP</v>
      </c>
      <c r="G110" s="82">
        <f>+G88</f>
        <v>1</v>
      </c>
      <c r="H110" s="55"/>
      <c r="I110" s="55">
        <f>+G110*D110</f>
        <v>0</v>
      </c>
      <c r="J110" s="55"/>
      <c r="K110" s="55"/>
      <c r="L110" s="54"/>
      <c r="N110" s="55"/>
      <c r="O110" s="55"/>
      <c r="P110" s="54"/>
    </row>
    <row r="111" spans="1:16">
      <c r="A111" s="49"/>
      <c r="B111" s="54"/>
      <c r="C111" s="55"/>
      <c r="D111" s="55"/>
      <c r="E111" s="55"/>
      <c r="F111" s="55"/>
      <c r="G111" s="55"/>
      <c r="H111" s="55"/>
      <c r="I111" s="55"/>
      <c r="J111" s="55"/>
      <c r="K111" s="55"/>
      <c r="L111" s="54"/>
      <c r="N111" s="55"/>
      <c r="O111" s="55"/>
      <c r="P111" s="54"/>
    </row>
    <row r="112" spans="1:16">
      <c r="A112" s="49"/>
      <c r="B112" s="54" t="s">
        <v>285</v>
      </c>
      <c r="C112" s="55" t="s">
        <v>286</v>
      </c>
      <c r="D112" s="55"/>
      <c r="E112" s="55"/>
      <c r="F112" s="55"/>
      <c r="G112" s="55"/>
      <c r="H112" s="55"/>
      <c r="I112" s="55"/>
      <c r="J112" s="55"/>
      <c r="K112" s="55"/>
      <c r="L112" s="54"/>
      <c r="N112" s="55"/>
      <c r="O112" s="55"/>
      <c r="P112" s="54"/>
    </row>
    <row r="113" spans="1:16">
      <c r="A113" s="49">
        <v>26</v>
      </c>
      <c r="B113" s="54" t="s">
        <v>287</v>
      </c>
      <c r="D113" s="55">
        <f>D154/8</f>
        <v>24105.5</v>
      </c>
      <c r="E113" s="55"/>
      <c r="F113" s="55"/>
      <c r="G113" s="84"/>
      <c r="H113" s="55"/>
      <c r="I113" s="55">
        <f>I154/8</f>
        <v>2253.125</v>
      </c>
      <c r="J113" s="44"/>
      <c r="K113" s="84"/>
      <c r="L113" s="54"/>
      <c r="N113" s="88"/>
      <c r="O113" s="72"/>
      <c r="P113" s="54"/>
    </row>
    <row r="114" spans="1:16">
      <c r="A114" s="49">
        <v>27</v>
      </c>
      <c r="B114" s="54" t="s">
        <v>288</v>
      </c>
      <c r="C114" s="40" t="s">
        <v>289</v>
      </c>
      <c r="D114" s="85">
        <v>0</v>
      </c>
      <c r="E114" s="55"/>
      <c r="F114" s="55" t="s">
        <v>290</v>
      </c>
      <c r="G114" s="82">
        <f>I225</f>
        <v>1</v>
      </c>
      <c r="H114" s="55"/>
      <c r="I114" s="55">
        <f>G114*D114</f>
        <v>0</v>
      </c>
      <c r="J114" s="55" t="s">
        <v>171</v>
      </c>
      <c r="K114" s="84"/>
      <c r="L114" s="211" t="s">
        <v>565</v>
      </c>
      <c r="N114" s="88"/>
      <c r="O114" s="46"/>
      <c r="P114" s="54"/>
    </row>
    <row r="115" spans="1:16" ht="16.5" thickBot="1">
      <c r="A115" s="49">
        <v>28</v>
      </c>
      <c r="B115" s="54" t="s">
        <v>291</v>
      </c>
      <c r="C115" s="40" t="s">
        <v>292</v>
      </c>
      <c r="D115" s="83">
        <v>33522</v>
      </c>
      <c r="E115" s="55"/>
      <c r="F115" s="55" t="s">
        <v>293</v>
      </c>
      <c r="G115" s="82">
        <f>+G84</f>
        <v>4.9211644049236357E-2</v>
      </c>
      <c r="H115" s="55"/>
      <c r="I115" s="60">
        <f>+G115*D115</f>
        <v>1649.6727318185012</v>
      </c>
      <c r="J115" s="55"/>
      <c r="K115" s="84"/>
      <c r="L115" s="211" t="s">
        <v>175</v>
      </c>
      <c r="N115" s="88"/>
      <c r="O115" s="46"/>
      <c r="P115" s="54"/>
    </row>
    <row r="116" spans="1:16">
      <c r="A116" s="49">
        <v>29</v>
      </c>
      <c r="B116" s="54" t="s">
        <v>294</v>
      </c>
      <c r="C116" s="44"/>
      <c r="D116" s="55">
        <f>D113+D114+D115</f>
        <v>57627.5</v>
      </c>
      <c r="E116" s="44"/>
      <c r="F116" s="44"/>
      <c r="G116" s="44"/>
      <c r="H116" s="44"/>
      <c r="I116" s="55">
        <f>I113+I114+I115</f>
        <v>3902.7977318185012</v>
      </c>
      <c r="J116" s="44"/>
      <c r="K116" s="44"/>
      <c r="L116" s="54"/>
      <c r="N116" s="86"/>
      <c r="O116" s="55"/>
      <c r="P116" s="54"/>
    </row>
    <row r="117" spans="1:16" ht="16.5" thickBot="1">
      <c r="C117" s="55"/>
      <c r="D117" s="89"/>
      <c r="E117" s="55"/>
      <c r="F117" s="55"/>
      <c r="G117" s="55"/>
      <c r="H117" s="55"/>
      <c r="I117" s="89"/>
      <c r="J117" s="55"/>
      <c r="K117" s="55"/>
      <c r="L117" s="54"/>
      <c r="N117" s="55"/>
      <c r="O117" s="55"/>
      <c r="P117" s="54"/>
    </row>
    <row r="118" spans="1:16" ht="16.5" thickBot="1">
      <c r="A118" s="49">
        <v>30</v>
      </c>
      <c r="B118" s="54" t="s">
        <v>295</v>
      </c>
      <c r="C118" s="55"/>
      <c r="D118" s="90">
        <f>+D116+D110+D108+D100</f>
        <v>7000873.5</v>
      </c>
      <c r="E118" s="55"/>
      <c r="F118" s="55"/>
      <c r="G118" s="84"/>
      <c r="H118" s="55"/>
      <c r="I118" s="90">
        <f>+I116+I110+I108+I100</f>
        <v>578605.29773181851</v>
      </c>
      <c r="J118" s="55"/>
      <c r="K118" s="84"/>
      <c r="L118" s="54"/>
      <c r="N118" s="55"/>
      <c r="O118" s="55"/>
      <c r="P118" s="54"/>
    </row>
    <row r="119" spans="1:16" ht="16.5" thickTop="1">
      <c r="A119" s="49"/>
      <c r="B119" s="54"/>
      <c r="C119" s="55"/>
      <c r="D119" s="55"/>
      <c r="E119" s="55"/>
      <c r="F119" s="55"/>
      <c r="G119" s="55"/>
      <c r="H119" s="55"/>
      <c r="I119" s="55"/>
      <c r="J119" s="55"/>
      <c r="K119" s="55"/>
      <c r="L119" s="44"/>
      <c r="N119" s="55"/>
      <c r="O119" s="55"/>
      <c r="P119" s="54"/>
    </row>
    <row r="120" spans="1:16">
      <c r="A120" s="49"/>
      <c r="B120" s="54"/>
      <c r="C120" s="55"/>
      <c r="D120" s="55"/>
      <c r="E120" s="55"/>
      <c r="F120" s="55"/>
      <c r="G120" s="55"/>
      <c r="H120" s="55"/>
      <c r="I120" s="55"/>
      <c r="J120" s="55"/>
      <c r="K120" s="55"/>
      <c r="L120" s="44"/>
      <c r="N120" s="55"/>
      <c r="O120" s="55"/>
      <c r="P120" s="54"/>
    </row>
    <row r="121" spans="1:16">
      <c r="A121" s="49"/>
      <c r="B121" s="54"/>
      <c r="C121" s="55"/>
      <c r="D121" s="55"/>
      <c r="E121" s="55"/>
      <c r="F121" s="55"/>
      <c r="G121" s="55"/>
      <c r="H121" s="55"/>
      <c r="I121" s="55"/>
      <c r="J121" s="55"/>
      <c r="K121" s="55"/>
      <c r="L121" s="44"/>
      <c r="N121" s="55"/>
      <c r="O121" s="55"/>
      <c r="P121" s="54"/>
    </row>
    <row r="122" spans="1:16">
      <c r="A122" s="49"/>
      <c r="B122" s="54"/>
      <c r="C122" s="55"/>
      <c r="D122" s="55"/>
      <c r="E122" s="55"/>
      <c r="F122" s="55"/>
      <c r="G122" s="55"/>
      <c r="H122" s="55"/>
      <c r="I122" s="55"/>
      <c r="J122" s="55"/>
      <c r="K122" s="55"/>
      <c r="L122" s="44"/>
      <c r="N122" s="55"/>
      <c r="O122" s="55"/>
      <c r="P122" s="54"/>
    </row>
    <row r="123" spans="1:16">
      <c r="A123" s="49"/>
      <c r="B123" s="54"/>
      <c r="C123" s="55"/>
      <c r="D123" s="55"/>
      <c r="E123" s="55"/>
      <c r="F123" s="55"/>
      <c r="G123" s="55"/>
      <c r="H123" s="55"/>
      <c r="I123" s="55"/>
      <c r="J123" s="55"/>
      <c r="K123" s="55"/>
      <c r="L123" s="44"/>
      <c r="N123" s="55"/>
      <c r="O123" s="55"/>
      <c r="P123" s="54"/>
    </row>
    <row r="124" spans="1:16">
      <c r="A124" s="49"/>
      <c r="B124" s="54"/>
      <c r="C124" s="55"/>
      <c r="D124" s="55"/>
      <c r="E124" s="55"/>
      <c r="F124" s="55"/>
      <c r="G124" s="55"/>
      <c r="H124" s="55"/>
      <c r="I124" s="55"/>
      <c r="J124" s="55"/>
      <c r="K124" s="55"/>
      <c r="L124" s="44"/>
      <c r="N124" s="55"/>
      <c r="O124" s="55"/>
      <c r="P124" s="54"/>
    </row>
    <row r="125" spans="1:16">
      <c r="A125" s="49"/>
      <c r="B125" s="54"/>
      <c r="C125" s="55"/>
      <c r="D125" s="55"/>
      <c r="E125" s="55"/>
      <c r="F125" s="55"/>
      <c r="G125" s="55"/>
      <c r="H125" s="55"/>
      <c r="I125" s="55"/>
      <c r="J125" s="55"/>
      <c r="K125" s="55"/>
      <c r="L125" s="44"/>
      <c r="N125" s="55"/>
      <c r="O125" s="55"/>
      <c r="P125" s="54"/>
    </row>
    <row r="126" spans="1:16">
      <c r="A126" s="49"/>
      <c r="B126" s="54"/>
      <c r="C126" s="55"/>
      <c r="D126" s="55"/>
      <c r="E126" s="55"/>
      <c r="F126" s="55"/>
      <c r="G126" s="55"/>
      <c r="H126" s="55"/>
      <c r="I126" s="55"/>
      <c r="J126" s="55"/>
      <c r="K126" s="55"/>
      <c r="L126" s="44"/>
      <c r="N126" s="55"/>
      <c r="O126" s="55"/>
      <c r="P126" s="54"/>
    </row>
    <row r="127" spans="1:16">
      <c r="A127" s="49"/>
      <c r="B127" s="54"/>
      <c r="C127" s="55"/>
      <c r="D127" s="55"/>
      <c r="E127" s="55"/>
      <c r="F127" s="55"/>
      <c r="G127" s="55"/>
      <c r="H127" s="55"/>
      <c r="I127" s="55"/>
      <c r="J127" s="55"/>
      <c r="K127" s="55"/>
      <c r="L127" s="44"/>
      <c r="N127" s="55"/>
      <c r="O127" s="55"/>
      <c r="P127" s="54"/>
    </row>
    <row r="128" spans="1:16">
      <c r="A128" s="49"/>
      <c r="B128" s="54"/>
      <c r="C128" s="55"/>
      <c r="D128" s="55"/>
      <c r="E128" s="55"/>
      <c r="F128" s="55"/>
      <c r="G128" s="55"/>
      <c r="H128" s="55"/>
      <c r="I128" s="55"/>
      <c r="J128" s="55"/>
      <c r="K128" s="55"/>
      <c r="L128" s="44"/>
      <c r="N128" s="55"/>
      <c r="O128" s="55"/>
      <c r="P128" s="54"/>
    </row>
    <row r="129" spans="1:16">
      <c r="A129" s="49"/>
      <c r="B129" s="54"/>
      <c r="C129" s="55"/>
      <c r="D129" s="55"/>
      <c r="E129" s="55"/>
      <c r="F129" s="55"/>
      <c r="G129" s="55"/>
      <c r="H129" s="55"/>
      <c r="I129" s="55"/>
      <c r="J129" s="55"/>
      <c r="K129" s="55"/>
      <c r="L129" s="44"/>
      <c r="N129" s="55"/>
      <c r="O129" s="55"/>
      <c r="P129" s="54"/>
    </row>
    <row r="130" spans="1:16">
      <c r="A130" s="49"/>
      <c r="B130" s="54"/>
      <c r="C130" s="55"/>
      <c r="D130" s="55"/>
      <c r="E130" s="55"/>
      <c r="F130" s="55"/>
      <c r="G130" s="55"/>
      <c r="H130" s="55"/>
      <c r="I130" s="55"/>
      <c r="J130" s="55"/>
      <c r="K130" s="55"/>
      <c r="L130" s="44"/>
      <c r="N130" s="55"/>
      <c r="O130" s="55"/>
      <c r="P130" s="54"/>
    </row>
    <row r="131" spans="1:16">
      <c r="A131" s="49"/>
      <c r="B131" s="54"/>
      <c r="C131" s="55"/>
      <c r="D131" s="55"/>
      <c r="E131" s="55"/>
      <c r="F131" s="55"/>
      <c r="G131" s="55"/>
      <c r="H131" s="55"/>
      <c r="I131" s="55"/>
      <c r="J131" s="55"/>
      <c r="K131" s="55"/>
      <c r="L131" s="44"/>
      <c r="N131" s="55"/>
      <c r="O131" s="55"/>
      <c r="P131" s="54"/>
    </row>
    <row r="132" spans="1:16">
      <c r="A132" s="49"/>
      <c r="B132" s="54"/>
      <c r="C132" s="55"/>
      <c r="D132" s="55"/>
      <c r="E132" s="55"/>
      <c r="F132" s="55"/>
      <c r="G132" s="55"/>
      <c r="H132" s="55"/>
      <c r="I132" s="55"/>
      <c r="J132" s="55"/>
      <c r="K132" s="55"/>
      <c r="L132" s="44"/>
      <c r="N132" s="55"/>
      <c r="O132" s="55"/>
      <c r="P132" s="54"/>
    </row>
    <row r="133" spans="1:16">
      <c r="A133" s="49"/>
      <c r="B133" s="54"/>
      <c r="C133" s="55"/>
      <c r="D133" s="55"/>
      <c r="E133" s="55"/>
      <c r="F133" s="55"/>
      <c r="G133" s="55"/>
      <c r="H133" s="55"/>
      <c r="I133" s="55"/>
      <c r="J133" s="55"/>
      <c r="K133" s="55"/>
      <c r="L133" s="44"/>
      <c r="N133" s="55"/>
      <c r="O133" s="55"/>
      <c r="P133" s="54"/>
    </row>
    <row r="134" spans="1:16">
      <c r="A134" s="49"/>
      <c r="B134" s="54"/>
      <c r="C134" s="55"/>
      <c r="D134" s="55"/>
      <c r="E134" s="55"/>
      <c r="F134" s="55"/>
      <c r="G134" s="55"/>
      <c r="H134" s="55"/>
      <c r="I134" s="55"/>
      <c r="J134" s="55"/>
      <c r="K134" s="115" t="s">
        <v>480</v>
      </c>
      <c r="L134" s="44"/>
      <c r="N134" s="55"/>
      <c r="O134" s="55"/>
      <c r="P134" s="54"/>
    </row>
    <row r="135" spans="1:16">
      <c r="B135" s="41"/>
      <c r="C135" s="41"/>
      <c r="D135" s="42"/>
      <c r="E135" s="41"/>
      <c r="F135" s="41"/>
      <c r="G135" s="41"/>
      <c r="H135" s="43"/>
      <c r="I135" s="44"/>
      <c r="K135" s="45" t="s">
        <v>296</v>
      </c>
      <c r="L135" s="44"/>
      <c r="N135" s="44"/>
      <c r="O135" s="44"/>
      <c r="P135" s="44"/>
    </row>
    <row r="136" spans="1:16">
      <c r="A136" s="49"/>
      <c r="B136" s="54"/>
      <c r="C136" s="55"/>
      <c r="D136" s="55"/>
      <c r="E136" s="55"/>
      <c r="F136" s="55"/>
      <c r="G136" s="55"/>
      <c r="H136" s="55"/>
      <c r="I136" s="55"/>
      <c r="J136" s="55"/>
      <c r="K136" s="55"/>
      <c r="L136" s="44"/>
      <c r="N136" s="55"/>
      <c r="O136" s="55"/>
      <c r="P136" s="54"/>
    </row>
    <row r="137" spans="1:16">
      <c r="A137" s="49"/>
      <c r="B137" s="54" t="str">
        <f>B4</f>
        <v xml:space="preserve">Formula Rate - Non-Levelized </v>
      </c>
      <c r="C137" s="55"/>
      <c r="D137" s="55" t="str">
        <f>D4</f>
        <v xml:space="preserve">   Rate Formula Template</v>
      </c>
      <c r="E137" s="55"/>
      <c r="F137" s="55"/>
      <c r="G137" s="55"/>
      <c r="H137" s="55"/>
      <c r="J137" s="55"/>
      <c r="K137" s="91" t="str">
        <f>K4</f>
        <v>For the 12 months ended 12/31/2013</v>
      </c>
      <c r="L137" s="54"/>
      <c r="N137" s="55"/>
      <c r="O137" s="55"/>
      <c r="P137" s="54"/>
    </row>
    <row r="138" spans="1:16">
      <c r="A138" s="49"/>
      <c r="B138" s="54"/>
      <c r="C138" s="55"/>
      <c r="D138" s="55" t="str">
        <f>D5</f>
        <v>Utilizing EIA Form 412 Data</v>
      </c>
      <c r="E138" s="55"/>
      <c r="F138" s="55"/>
      <c r="G138" s="55"/>
      <c r="H138" s="55"/>
      <c r="I138" s="55"/>
      <c r="J138" s="55"/>
      <c r="K138" s="55"/>
      <c r="L138" s="54"/>
      <c r="N138" s="55"/>
      <c r="O138" s="55"/>
      <c r="P138" s="54"/>
    </row>
    <row r="139" spans="1:16">
      <c r="A139" s="49"/>
      <c r="C139" s="55"/>
      <c r="D139" s="55"/>
      <c r="E139" s="55"/>
      <c r="F139" s="55"/>
      <c r="G139" s="55"/>
      <c r="H139" s="55"/>
      <c r="I139" s="55"/>
      <c r="J139" s="55"/>
      <c r="K139" s="55"/>
      <c r="L139" s="54"/>
      <c r="N139" s="55"/>
      <c r="O139" s="55"/>
      <c r="P139" s="54"/>
    </row>
    <row r="140" spans="1:16">
      <c r="A140" s="49"/>
      <c r="D140" s="40" t="str">
        <f>D7</f>
        <v>Benson (Minnesota) Municipal Utilities</v>
      </c>
      <c r="J140" s="55"/>
      <c r="K140" s="55"/>
      <c r="L140" s="54"/>
      <c r="N140" s="55"/>
      <c r="O140" s="55"/>
      <c r="P140" s="54"/>
    </row>
    <row r="141" spans="1:16">
      <c r="A141" s="49"/>
      <c r="B141" s="46" t="s">
        <v>237</v>
      </c>
      <c r="C141" s="46" t="s">
        <v>238</v>
      </c>
      <c r="D141" s="46" t="s">
        <v>239</v>
      </c>
      <c r="E141" s="55" t="s">
        <v>171</v>
      </c>
      <c r="F141" s="55"/>
      <c r="G141" s="73" t="s">
        <v>240</v>
      </c>
      <c r="H141" s="55"/>
      <c r="I141" s="74" t="s">
        <v>241</v>
      </c>
      <c r="J141" s="55"/>
      <c r="K141" s="55"/>
      <c r="L141" s="54"/>
      <c r="N141" s="44"/>
      <c r="O141" s="55"/>
      <c r="P141" s="54"/>
    </row>
    <row r="142" spans="1:16">
      <c r="A142" s="49" t="s">
        <v>1</v>
      </c>
      <c r="B142" s="54"/>
      <c r="C142" s="75" t="s">
        <v>242</v>
      </c>
      <c r="D142" s="55"/>
      <c r="E142" s="55"/>
      <c r="F142" s="55"/>
      <c r="G142" s="49"/>
      <c r="H142" s="55"/>
      <c r="I142" s="76" t="s">
        <v>243</v>
      </c>
      <c r="J142" s="55"/>
      <c r="K142" s="76"/>
      <c r="L142" s="54"/>
      <c r="N142" s="49"/>
      <c r="O142" s="55"/>
      <c r="P142" s="54"/>
    </row>
    <row r="143" spans="1:16" ht="16.5" thickBot="1">
      <c r="A143" s="51" t="s">
        <v>2</v>
      </c>
      <c r="B143" s="54"/>
      <c r="C143" s="78" t="s">
        <v>245</v>
      </c>
      <c r="D143" s="76" t="s">
        <v>246</v>
      </c>
      <c r="E143" s="79"/>
      <c r="F143" s="76" t="s">
        <v>247</v>
      </c>
      <c r="H143" s="79"/>
      <c r="I143" s="49" t="s">
        <v>248</v>
      </c>
      <c r="J143" s="55"/>
      <c r="K143" s="76"/>
      <c r="L143" s="55" t="s">
        <v>171</v>
      </c>
      <c r="N143" s="76"/>
      <c r="O143" s="55"/>
      <c r="P143" s="54"/>
    </row>
    <row r="144" spans="1:16">
      <c r="A144" s="49"/>
      <c r="B144" s="54" t="s">
        <v>297</v>
      </c>
      <c r="C144" s="55"/>
      <c r="D144" s="55"/>
      <c r="E144" s="55"/>
      <c r="F144" s="55"/>
      <c r="G144" s="55"/>
      <c r="H144" s="55"/>
      <c r="I144" s="55"/>
      <c r="J144" s="55"/>
      <c r="K144" s="55"/>
      <c r="L144" s="54"/>
      <c r="N144" s="55"/>
      <c r="O144" s="55"/>
      <c r="P144" s="54"/>
    </row>
    <row r="145" spans="1:16">
      <c r="A145" s="49">
        <v>1</v>
      </c>
      <c r="B145" s="54" t="s">
        <v>298</v>
      </c>
      <c r="C145" s="40" t="s">
        <v>299</v>
      </c>
      <c r="D145" s="85">
        <f>+'Sched 7 Op &amp; Maint'!F21</f>
        <v>364405.23</v>
      </c>
      <c r="E145" s="55"/>
      <c r="F145" s="55" t="s">
        <v>290</v>
      </c>
      <c r="G145" s="82">
        <f>I225</f>
        <v>1</v>
      </c>
      <c r="H145" s="55"/>
      <c r="I145" s="55">
        <f t="shared" ref="I145:I153" si="1">+G145*D145</f>
        <v>364405.23</v>
      </c>
      <c r="J145" s="44"/>
      <c r="K145" s="55"/>
      <c r="L145" s="54" t="s">
        <v>179</v>
      </c>
      <c r="N145" s="55"/>
      <c r="O145" s="46"/>
      <c r="P145" s="55" t="s">
        <v>171</v>
      </c>
    </row>
    <row r="146" spans="1:16">
      <c r="A146" s="92" t="s">
        <v>300</v>
      </c>
      <c r="B146" s="80" t="s">
        <v>301</v>
      </c>
      <c r="C146" s="93"/>
      <c r="D146" s="85">
        <v>0</v>
      </c>
      <c r="E146" s="55"/>
      <c r="F146" s="94"/>
      <c r="G146" s="82">
        <v>1</v>
      </c>
      <c r="H146" s="55"/>
      <c r="I146" s="55">
        <f>+G146*D146</f>
        <v>0</v>
      </c>
      <c r="J146" s="44"/>
      <c r="K146" s="55"/>
      <c r="L146" s="54"/>
      <c r="N146" s="55"/>
      <c r="O146" s="46"/>
      <c r="P146" s="55"/>
    </row>
    <row r="147" spans="1:16">
      <c r="A147" s="49">
        <v>2</v>
      </c>
      <c r="B147" s="54" t="s">
        <v>302</v>
      </c>
      <c r="C147" s="40" t="s">
        <v>171</v>
      </c>
      <c r="D147" s="85">
        <f>+'Sched 7 Op &amp; Maint'!D21</f>
        <v>346380.23</v>
      </c>
      <c r="E147" s="55"/>
      <c r="F147" s="55" t="s">
        <v>290</v>
      </c>
      <c r="G147" s="82">
        <f>+G145</f>
        <v>1</v>
      </c>
      <c r="H147" s="55"/>
      <c r="I147" s="55">
        <f t="shared" si="1"/>
        <v>346380.23</v>
      </c>
      <c r="J147" s="44"/>
      <c r="K147" s="55"/>
      <c r="L147" s="54" t="s">
        <v>179</v>
      </c>
      <c r="N147" s="55"/>
      <c r="O147" s="46"/>
      <c r="P147" s="55"/>
    </row>
    <row r="148" spans="1:16">
      <c r="A148" s="49">
        <v>3</v>
      </c>
      <c r="B148" s="54" t="s">
        <v>303</v>
      </c>
      <c r="C148" s="40" t="s">
        <v>304</v>
      </c>
      <c r="D148" s="85">
        <f>+'Sched 7 Op &amp; Maint'!F29</f>
        <v>174819</v>
      </c>
      <c r="E148" s="55"/>
      <c r="F148" s="55" t="s">
        <v>259</v>
      </c>
      <c r="G148" s="82">
        <f>I232</f>
        <v>0</v>
      </c>
      <c r="H148" s="55"/>
      <c r="I148" s="55">
        <f t="shared" si="1"/>
        <v>0</v>
      </c>
      <c r="J148" s="55"/>
      <c r="K148" s="55" t="s">
        <v>171</v>
      </c>
      <c r="L148" s="54" t="s">
        <v>179</v>
      </c>
      <c r="N148" s="55"/>
      <c r="O148" s="46"/>
      <c r="P148" s="54"/>
    </row>
    <row r="149" spans="1:16">
      <c r="A149" s="49">
        <v>4</v>
      </c>
      <c r="B149" s="54" t="s">
        <v>305</v>
      </c>
      <c r="C149" s="55"/>
      <c r="D149" s="85">
        <v>0</v>
      </c>
      <c r="E149" s="55"/>
      <c r="F149" s="55" t="str">
        <f>+F148</f>
        <v>W/S</v>
      </c>
      <c r="G149" s="82">
        <f>I232</f>
        <v>0</v>
      </c>
      <c r="H149" s="55"/>
      <c r="I149" s="55">
        <f t="shared" si="1"/>
        <v>0</v>
      </c>
      <c r="J149" s="55"/>
      <c r="K149" s="55"/>
      <c r="L149" s="54"/>
      <c r="N149" s="55"/>
      <c r="O149" s="46"/>
      <c r="P149" s="54"/>
    </row>
    <row r="150" spans="1:16">
      <c r="A150" s="49">
        <v>5</v>
      </c>
      <c r="B150" s="54" t="s">
        <v>306</v>
      </c>
      <c r="C150" s="55"/>
      <c r="D150" s="85">
        <v>0</v>
      </c>
      <c r="E150" s="55"/>
      <c r="F150" s="55" t="str">
        <f>+F149</f>
        <v>W/S</v>
      </c>
      <c r="G150" s="82">
        <f>I232</f>
        <v>0</v>
      </c>
      <c r="H150" s="55"/>
      <c r="I150" s="55">
        <f t="shared" si="1"/>
        <v>0</v>
      </c>
      <c r="J150" s="55"/>
      <c r="K150" s="55"/>
      <c r="L150" s="54"/>
      <c r="N150" s="55"/>
      <c r="O150" s="46"/>
      <c r="P150" s="54"/>
    </row>
    <row r="151" spans="1:16">
      <c r="A151" s="49" t="s">
        <v>307</v>
      </c>
      <c r="B151" s="54" t="s">
        <v>308</v>
      </c>
      <c r="C151" s="55"/>
      <c r="D151" s="85">
        <v>0</v>
      </c>
      <c r="E151" s="55"/>
      <c r="F151" s="55" t="str">
        <f>+F145</f>
        <v>TE</v>
      </c>
      <c r="G151" s="82">
        <f>+G145</f>
        <v>1</v>
      </c>
      <c r="H151" s="55"/>
      <c r="I151" s="55">
        <f t="shared" si="1"/>
        <v>0</v>
      </c>
      <c r="J151" s="55"/>
      <c r="K151" s="55"/>
      <c r="L151" s="54"/>
      <c r="N151" s="55"/>
      <c r="O151" s="46"/>
      <c r="P151" s="54"/>
    </row>
    <row r="152" spans="1:16">
      <c r="A152" s="49">
        <v>6</v>
      </c>
      <c r="B152" s="54" t="s">
        <v>260</v>
      </c>
      <c r="C152" s="55"/>
      <c r="D152" s="85">
        <v>0</v>
      </c>
      <c r="E152" s="55"/>
      <c r="F152" s="55" t="s">
        <v>261</v>
      </c>
      <c r="G152" s="82">
        <f>K236</f>
        <v>0</v>
      </c>
      <c r="H152" s="55"/>
      <c r="I152" s="55">
        <f t="shared" si="1"/>
        <v>0</v>
      </c>
      <c r="J152" s="55"/>
      <c r="K152" s="55"/>
      <c r="L152" s="54"/>
      <c r="N152" s="55"/>
      <c r="O152" s="46"/>
      <c r="P152" s="54"/>
    </row>
    <row r="153" spans="1:16" ht="16.5" thickBot="1">
      <c r="A153" s="49">
        <v>7</v>
      </c>
      <c r="B153" s="54" t="s">
        <v>309</v>
      </c>
      <c r="C153" s="55"/>
      <c r="D153" s="83">
        <v>0</v>
      </c>
      <c r="E153" s="55"/>
      <c r="F153" s="55" t="s">
        <v>252</v>
      </c>
      <c r="G153" s="82">
        <v>1</v>
      </c>
      <c r="H153" s="55"/>
      <c r="I153" s="60">
        <f t="shared" si="1"/>
        <v>0</v>
      </c>
      <c r="J153" s="55"/>
      <c r="K153" s="55"/>
      <c r="L153" s="54"/>
      <c r="N153" s="55"/>
      <c r="O153" s="72"/>
      <c r="P153" s="54"/>
    </row>
    <row r="154" spans="1:16">
      <c r="A154" s="92">
        <v>8</v>
      </c>
      <c r="B154" s="80" t="s">
        <v>310</v>
      </c>
      <c r="C154" s="48"/>
      <c r="D154" s="48">
        <f>+D145-D147+D148-D149-D150+D151+D152+D153-D146</f>
        <v>192844</v>
      </c>
      <c r="E154" s="48"/>
      <c r="F154" s="48"/>
      <c r="G154" s="48"/>
      <c r="H154" s="48"/>
      <c r="I154" s="48">
        <f>+I145-I147+I148-I149-I150+I151+I152+I153-I146</f>
        <v>18025</v>
      </c>
      <c r="J154" s="48"/>
      <c r="K154" s="48"/>
      <c r="L154" s="48"/>
      <c r="M154" s="93"/>
      <c r="N154" s="95"/>
      <c r="O154" s="96"/>
      <c r="P154" s="54"/>
    </row>
    <row r="155" spans="1:16">
      <c r="A155" s="49"/>
      <c r="C155" s="55"/>
      <c r="E155" s="55"/>
      <c r="F155" s="55"/>
      <c r="G155" s="55"/>
      <c r="H155" s="55"/>
      <c r="J155" s="55"/>
      <c r="K155" s="55"/>
      <c r="L155" s="55" t="s">
        <v>171</v>
      </c>
      <c r="N155" s="55"/>
      <c r="O155" s="55"/>
      <c r="P155" s="54"/>
    </row>
    <row r="156" spans="1:16">
      <c r="A156" s="49"/>
      <c r="B156" s="54" t="s">
        <v>311</v>
      </c>
      <c r="C156" s="55"/>
      <c r="D156" s="55"/>
      <c r="E156" s="55"/>
      <c r="F156" s="55"/>
      <c r="G156" s="55"/>
      <c r="H156" s="55"/>
      <c r="I156" s="55"/>
      <c r="J156" s="55"/>
      <c r="K156" s="55"/>
      <c r="L156" s="55" t="s">
        <v>171</v>
      </c>
      <c r="N156" s="55"/>
      <c r="O156" s="55"/>
      <c r="P156" s="54"/>
    </row>
    <row r="157" spans="1:16">
      <c r="A157" s="49">
        <v>9</v>
      </c>
      <c r="B157" s="54" t="str">
        <f>+B145</f>
        <v xml:space="preserve">  Transmission </v>
      </c>
      <c r="C157" s="40" t="s">
        <v>171</v>
      </c>
      <c r="D157" s="85">
        <f>+'Sched 4 Electric Plant'!M17</f>
        <v>20283.599999999999</v>
      </c>
      <c r="E157" s="55"/>
      <c r="F157" s="55" t="s">
        <v>196</v>
      </c>
      <c r="G157" s="82">
        <f>+G110</f>
        <v>1</v>
      </c>
      <c r="H157" s="55"/>
      <c r="I157" s="55">
        <f>+G157*D157</f>
        <v>20283.599999999999</v>
      </c>
      <c r="J157" s="55"/>
      <c r="K157" s="84"/>
      <c r="L157" s="54" t="s">
        <v>177</v>
      </c>
      <c r="N157" s="55"/>
      <c r="O157" s="46"/>
      <c r="P157" s="55" t="s">
        <v>171</v>
      </c>
    </row>
    <row r="158" spans="1:16">
      <c r="A158" s="49">
        <v>10</v>
      </c>
      <c r="B158" s="54" t="s">
        <v>312</v>
      </c>
      <c r="C158" s="40" t="s">
        <v>171</v>
      </c>
      <c r="D158" s="85">
        <f>+'Sched 4 Electric Plant'!M19</f>
        <v>6307.39</v>
      </c>
      <c r="E158" s="55"/>
      <c r="F158" s="55" t="s">
        <v>259</v>
      </c>
      <c r="G158" s="82">
        <f>+G148</f>
        <v>0</v>
      </c>
      <c r="H158" s="55"/>
      <c r="I158" s="55">
        <f>+G158*D158</f>
        <v>0</v>
      </c>
      <c r="J158" s="55"/>
      <c r="K158" s="84"/>
      <c r="L158" s="211" t="s">
        <v>177</v>
      </c>
      <c r="N158" s="55"/>
      <c r="O158" s="46"/>
      <c r="P158" s="55" t="s">
        <v>171</v>
      </c>
    </row>
    <row r="159" spans="1:16" ht="16.5" thickBot="1">
      <c r="A159" s="49">
        <v>11</v>
      </c>
      <c r="B159" s="54" t="str">
        <f>+B152</f>
        <v xml:space="preserve">  Common</v>
      </c>
      <c r="C159" s="55"/>
      <c r="D159" s="83">
        <v>0</v>
      </c>
      <c r="E159" s="55"/>
      <c r="F159" s="55" t="s">
        <v>261</v>
      </c>
      <c r="G159" s="82">
        <f>+G152</f>
        <v>0</v>
      </c>
      <c r="H159" s="55"/>
      <c r="I159" s="60">
        <f>+G159*D159</f>
        <v>0</v>
      </c>
      <c r="J159" s="55"/>
      <c r="K159" s="84"/>
      <c r="L159" s="54"/>
      <c r="N159" s="55"/>
      <c r="O159" s="46"/>
      <c r="P159" s="55" t="s">
        <v>171</v>
      </c>
    </row>
    <row r="160" spans="1:16">
      <c r="A160" s="49">
        <v>12</v>
      </c>
      <c r="B160" s="54" t="s">
        <v>313</v>
      </c>
      <c r="C160" s="55"/>
      <c r="D160" s="55">
        <f>SUM(D157:D159)</f>
        <v>26590.989999999998</v>
      </c>
      <c r="E160" s="55"/>
      <c r="F160" s="55"/>
      <c r="G160" s="55"/>
      <c r="H160" s="55"/>
      <c r="I160" s="55">
        <f>SUM(I157:I159)</f>
        <v>20283.599999999999</v>
      </c>
      <c r="J160" s="55"/>
      <c r="K160" s="55"/>
      <c r="L160" s="54"/>
      <c r="N160" s="86"/>
      <c r="O160" s="55"/>
      <c r="P160" s="54"/>
    </row>
    <row r="161" spans="1:16">
      <c r="A161" s="49"/>
      <c r="B161" s="54"/>
      <c r="C161" s="55"/>
      <c r="D161" s="55"/>
      <c r="E161" s="55"/>
      <c r="F161" s="55"/>
      <c r="G161" s="55"/>
      <c r="H161" s="55"/>
      <c r="I161" s="55"/>
      <c r="J161" s="55"/>
      <c r="K161" s="55"/>
      <c r="L161" s="54"/>
      <c r="N161" s="55"/>
      <c r="O161" s="55"/>
      <c r="P161" s="54"/>
    </row>
    <row r="162" spans="1:16">
      <c r="A162" s="49" t="s">
        <v>171</v>
      </c>
      <c r="B162" s="54" t="s">
        <v>314</v>
      </c>
      <c r="D162" s="55"/>
      <c r="E162" s="55"/>
      <c r="F162" s="55"/>
      <c r="G162" s="55"/>
      <c r="H162" s="55"/>
      <c r="I162" s="55"/>
      <c r="J162" s="55"/>
      <c r="K162" s="55"/>
      <c r="L162" s="54"/>
      <c r="N162" s="55"/>
      <c r="O162" s="55"/>
      <c r="P162" s="54"/>
    </row>
    <row r="163" spans="1:16">
      <c r="A163" s="49"/>
      <c r="B163" s="54" t="s">
        <v>315</v>
      </c>
      <c r="E163" s="55"/>
      <c r="F163" s="55"/>
      <c r="H163" s="55"/>
      <c r="J163" s="55"/>
      <c r="K163" s="84"/>
      <c r="L163" s="54"/>
      <c r="N163" s="88"/>
      <c r="O163" s="46"/>
      <c r="P163" s="54"/>
    </row>
    <row r="164" spans="1:16">
      <c r="A164" s="49">
        <v>13</v>
      </c>
      <c r="B164" s="54" t="s">
        <v>316</v>
      </c>
      <c r="C164" s="55"/>
      <c r="D164" s="85">
        <v>0</v>
      </c>
      <c r="E164" s="55"/>
      <c r="F164" s="55" t="s">
        <v>259</v>
      </c>
      <c r="G164" s="57">
        <f>+G158</f>
        <v>0</v>
      </c>
      <c r="H164" s="55"/>
      <c r="I164" s="55">
        <f>+G164*D164</f>
        <v>0</v>
      </c>
      <c r="J164" s="55"/>
      <c r="K164" s="84"/>
      <c r="L164" s="54"/>
      <c r="N164" s="88"/>
      <c r="O164" s="46"/>
      <c r="P164" s="54"/>
    </row>
    <row r="165" spans="1:16">
      <c r="A165" s="49">
        <v>14</v>
      </c>
      <c r="B165" s="54" t="s">
        <v>317</v>
      </c>
      <c r="C165" s="55"/>
      <c r="D165" s="85">
        <v>0</v>
      </c>
      <c r="E165" s="55"/>
      <c r="F165" s="55" t="str">
        <f>+F164</f>
        <v>W/S</v>
      </c>
      <c r="G165" s="57">
        <f>+G164</f>
        <v>0</v>
      </c>
      <c r="H165" s="55"/>
      <c r="I165" s="55">
        <f>+G165*D165</f>
        <v>0</v>
      </c>
      <c r="J165" s="55"/>
      <c r="K165" s="84"/>
      <c r="L165" s="54"/>
      <c r="N165" s="88"/>
      <c r="O165" s="46"/>
      <c r="P165" s="54"/>
    </row>
    <row r="166" spans="1:16">
      <c r="A166" s="49">
        <v>15</v>
      </c>
      <c r="B166" s="54" t="s">
        <v>318</v>
      </c>
      <c r="C166" s="55"/>
      <c r="E166" s="55"/>
      <c r="F166" s="55"/>
      <c r="H166" s="55"/>
      <c r="J166" s="55"/>
      <c r="K166" s="84"/>
      <c r="L166" s="54"/>
      <c r="N166" s="88"/>
      <c r="O166" s="46"/>
      <c r="P166" s="54"/>
    </row>
    <row r="167" spans="1:16">
      <c r="A167" s="49">
        <v>16</v>
      </c>
      <c r="B167" s="54" t="s">
        <v>319</v>
      </c>
      <c r="C167" s="55"/>
      <c r="D167" s="85">
        <v>0</v>
      </c>
      <c r="E167" s="55"/>
      <c r="F167" s="55" t="s">
        <v>293</v>
      </c>
      <c r="G167" s="57">
        <f>+G84</f>
        <v>4.9211644049236357E-2</v>
      </c>
      <c r="H167" s="55"/>
      <c r="I167" s="55">
        <f>+G167*D167</f>
        <v>0</v>
      </c>
      <c r="J167" s="55"/>
      <c r="K167" s="84"/>
      <c r="L167" s="54"/>
      <c r="N167" s="88"/>
      <c r="O167" s="46"/>
      <c r="P167" s="54"/>
    </row>
    <row r="168" spans="1:16">
      <c r="A168" s="49">
        <v>17</v>
      </c>
      <c r="B168" s="54" t="s">
        <v>320</v>
      </c>
      <c r="C168" s="55"/>
      <c r="D168" s="85">
        <v>0</v>
      </c>
      <c r="E168" s="55"/>
      <c r="F168" s="55" t="s">
        <v>252</v>
      </c>
      <c r="G168" s="97" t="s">
        <v>276</v>
      </c>
      <c r="H168" s="55"/>
      <c r="I168" s="55">
        <v>0</v>
      </c>
      <c r="J168" s="55"/>
      <c r="K168" s="84"/>
      <c r="L168" s="54"/>
      <c r="N168" s="88"/>
      <c r="O168" s="46"/>
      <c r="P168" s="54"/>
    </row>
    <row r="169" spans="1:16">
      <c r="A169" s="49">
        <v>18</v>
      </c>
      <c r="B169" s="54" t="s">
        <v>321</v>
      </c>
      <c r="C169" s="55"/>
      <c r="D169" s="85">
        <v>0</v>
      </c>
      <c r="E169" s="55"/>
      <c r="F169" s="55" t="str">
        <f>+F167</f>
        <v>GP</v>
      </c>
      <c r="G169" s="57">
        <f>+G167</f>
        <v>4.9211644049236357E-2</v>
      </c>
      <c r="H169" s="55"/>
      <c r="I169" s="55">
        <f>+G169*D169</f>
        <v>0</v>
      </c>
      <c r="J169" s="55"/>
      <c r="K169" s="84"/>
      <c r="L169" s="54"/>
      <c r="N169" s="88"/>
      <c r="O169" s="46"/>
      <c r="P169" s="54"/>
    </row>
    <row r="170" spans="1:16" ht="16.5" thickBot="1">
      <c r="A170" s="49">
        <v>19</v>
      </c>
      <c r="B170" s="54" t="s">
        <v>322</v>
      </c>
      <c r="C170" s="55"/>
      <c r="D170" s="83">
        <f>+'Sched 3 Income Statement'!C14</f>
        <v>98344</v>
      </c>
      <c r="E170" s="55"/>
      <c r="F170" s="55" t="s">
        <v>293</v>
      </c>
      <c r="G170" s="57">
        <f>+G169</f>
        <v>4.9211644049236357E-2</v>
      </c>
      <c r="H170" s="55"/>
      <c r="I170" s="60">
        <f>+G170*D170</f>
        <v>4839.6699223781006</v>
      </c>
      <c r="J170" s="55"/>
      <c r="K170" s="84"/>
      <c r="L170" s="211" t="s">
        <v>176</v>
      </c>
      <c r="N170" s="88"/>
      <c r="O170" s="46"/>
      <c r="P170" s="54"/>
    </row>
    <row r="171" spans="1:16">
      <c r="A171" s="49">
        <v>20</v>
      </c>
      <c r="B171" s="54" t="s">
        <v>323</v>
      </c>
      <c r="C171" s="55"/>
      <c r="D171" s="55">
        <f>SUM(D164:D170)</f>
        <v>98344</v>
      </c>
      <c r="E171" s="55"/>
      <c r="F171" s="55"/>
      <c r="G171" s="57"/>
      <c r="H171" s="55"/>
      <c r="I171" s="55">
        <f>SUM(I164:I170)</f>
        <v>4839.6699223781006</v>
      </c>
      <c r="J171" s="55"/>
      <c r="K171" s="55"/>
      <c r="L171" s="55" t="s">
        <v>171</v>
      </c>
      <c r="N171" s="86"/>
      <c r="O171" s="55"/>
      <c r="P171" s="54"/>
    </row>
    <row r="172" spans="1:16">
      <c r="A172" s="49" t="s">
        <v>324</v>
      </c>
      <c r="B172" s="54"/>
      <c r="C172" s="55"/>
      <c r="D172" s="55"/>
      <c r="E172" s="55"/>
      <c r="F172" s="55"/>
      <c r="G172" s="57"/>
      <c r="H172" s="55"/>
      <c r="I172" s="55"/>
      <c r="J172" s="55"/>
      <c r="K172" s="55"/>
      <c r="L172" s="55"/>
      <c r="N172" s="55"/>
      <c r="O172" s="55"/>
      <c r="P172" s="54"/>
    </row>
    <row r="173" spans="1:16">
      <c r="A173" s="49" t="s">
        <v>171</v>
      </c>
      <c r="B173" s="54" t="s">
        <v>325</v>
      </c>
      <c r="C173" s="98" t="s">
        <v>326</v>
      </c>
      <c r="D173" s="55"/>
      <c r="E173" s="55"/>
      <c r="F173" s="55" t="s">
        <v>252</v>
      </c>
      <c r="G173" s="99"/>
      <c r="H173" s="55"/>
      <c r="I173" s="55"/>
      <c r="J173" s="55"/>
      <c r="L173" s="55"/>
      <c r="N173" s="55"/>
      <c r="O173" s="72"/>
      <c r="P173" s="55" t="s">
        <v>171</v>
      </c>
    </row>
    <row r="174" spans="1:16">
      <c r="A174" s="49">
        <v>21</v>
      </c>
      <c r="B174" s="100" t="s">
        <v>327</v>
      </c>
      <c r="C174" s="55"/>
      <c r="D174" s="101">
        <f>IF(D289&gt;0,1-(((1-D290)*(1-D289))/(1-D290*D289*D291)),0)</f>
        <v>0</v>
      </c>
      <c r="E174" s="55"/>
      <c r="G174" s="99"/>
      <c r="H174" s="55"/>
      <c r="J174" s="55"/>
      <c r="L174" s="55"/>
      <c r="N174" s="55"/>
      <c r="O174" s="72"/>
      <c r="P174" s="55"/>
    </row>
    <row r="175" spans="1:16">
      <c r="A175" s="49">
        <v>22</v>
      </c>
      <c r="B175" s="40" t="s">
        <v>328</v>
      </c>
      <c r="C175" s="55"/>
      <c r="D175" s="101">
        <f>IF(I246&gt;0,(D174/(1-D174))*(1-I244/I246),0)</f>
        <v>0</v>
      </c>
      <c r="E175" s="55"/>
      <c r="G175" s="99"/>
      <c r="H175" s="55"/>
      <c r="J175" s="55"/>
      <c r="L175" s="55"/>
      <c r="N175" s="55"/>
      <c r="O175" s="46"/>
      <c r="P175" s="55"/>
    </row>
    <row r="176" spans="1:16">
      <c r="A176" s="49"/>
      <c r="B176" s="54" t="s">
        <v>329</v>
      </c>
      <c r="C176" s="55"/>
      <c r="D176" s="55"/>
      <c r="E176" s="55"/>
      <c r="G176" s="99"/>
      <c r="H176" s="55"/>
      <c r="J176" s="55"/>
      <c r="L176" s="55"/>
      <c r="N176" s="55"/>
      <c r="O176" s="46"/>
      <c r="P176" s="55"/>
    </row>
    <row r="177" spans="1:16">
      <c r="A177" s="49"/>
      <c r="B177" s="54" t="s">
        <v>330</v>
      </c>
      <c r="C177" s="55"/>
      <c r="D177" s="55"/>
      <c r="E177" s="55"/>
      <c r="G177" s="99"/>
      <c r="H177" s="55"/>
      <c r="J177" s="55"/>
      <c r="L177" s="55"/>
      <c r="N177" s="55"/>
      <c r="O177" s="46"/>
      <c r="P177" s="55"/>
    </row>
    <row r="178" spans="1:16">
      <c r="A178" s="49">
        <v>23</v>
      </c>
      <c r="B178" s="100" t="s">
        <v>331</v>
      </c>
      <c r="C178" s="55"/>
      <c r="D178" s="102">
        <f>IF(D174&gt;0,1/(1-D174),0)</f>
        <v>0</v>
      </c>
      <c r="E178" s="55"/>
      <c r="G178" s="99"/>
      <c r="H178" s="55"/>
      <c r="J178" s="55"/>
      <c r="L178" s="54"/>
      <c r="N178" s="55"/>
      <c r="O178" s="46"/>
      <c r="P178" s="55"/>
    </row>
    <row r="179" spans="1:16">
      <c r="A179" s="49">
        <v>24</v>
      </c>
      <c r="B179" s="80" t="s">
        <v>483</v>
      </c>
      <c r="C179" s="55"/>
      <c r="D179" s="85">
        <v>0</v>
      </c>
      <c r="E179" s="55"/>
      <c r="G179" s="99"/>
      <c r="H179" s="55"/>
      <c r="J179" s="55"/>
      <c r="L179" s="54"/>
      <c r="N179" s="55"/>
      <c r="O179" s="46"/>
      <c r="P179" s="55"/>
    </row>
    <row r="180" spans="1:16">
      <c r="A180" s="49"/>
      <c r="B180" s="54"/>
      <c r="C180" s="55"/>
      <c r="D180" s="55"/>
      <c r="E180" s="55"/>
      <c r="G180" s="99"/>
      <c r="H180" s="55"/>
      <c r="J180" s="55"/>
      <c r="L180" s="54"/>
      <c r="N180" s="55"/>
      <c r="O180" s="46"/>
      <c r="P180" s="55"/>
    </row>
    <row r="181" spans="1:16">
      <c r="A181" s="49">
        <v>25</v>
      </c>
      <c r="B181" s="100" t="s">
        <v>332</v>
      </c>
      <c r="C181" s="98"/>
      <c r="D181" s="55">
        <f>D175*D185</f>
        <v>0</v>
      </c>
      <c r="E181" s="55"/>
      <c r="F181" s="55" t="s">
        <v>252</v>
      </c>
      <c r="G181" s="57"/>
      <c r="H181" s="55"/>
      <c r="I181" s="55">
        <f>D175*I185</f>
        <v>0</v>
      </c>
      <c r="J181" s="55"/>
      <c r="L181" s="54"/>
      <c r="N181" s="55"/>
      <c r="O181" s="46"/>
      <c r="P181" s="55"/>
    </row>
    <row r="182" spans="1:16" ht="16.5" thickBot="1">
      <c r="A182" s="49">
        <v>26</v>
      </c>
      <c r="B182" s="40" t="s">
        <v>333</v>
      </c>
      <c r="C182" s="98"/>
      <c r="D182" s="60">
        <f>D178*D179</f>
        <v>0</v>
      </c>
      <c r="E182" s="55"/>
      <c r="F182" s="40" t="s">
        <v>278</v>
      </c>
      <c r="G182" s="57">
        <f>G100</f>
        <v>8.2771444364782704E-2</v>
      </c>
      <c r="H182" s="55"/>
      <c r="I182" s="60">
        <f>G182*D182</f>
        <v>0</v>
      </c>
      <c r="J182" s="55"/>
      <c r="L182" s="55" t="s">
        <v>171</v>
      </c>
      <c r="N182" s="55"/>
      <c r="O182" s="46"/>
      <c r="P182" s="55"/>
    </row>
    <row r="183" spans="1:16">
      <c r="A183" s="49">
        <v>27</v>
      </c>
      <c r="B183" s="103" t="s">
        <v>334</v>
      </c>
      <c r="C183" s="40" t="s">
        <v>335</v>
      </c>
      <c r="D183" s="104">
        <f>+D181+D182</f>
        <v>0</v>
      </c>
      <c r="E183" s="55"/>
      <c r="F183" s="55" t="s">
        <v>171</v>
      </c>
      <c r="G183" s="57" t="s">
        <v>171</v>
      </c>
      <c r="H183" s="55"/>
      <c r="I183" s="104">
        <f>+I181+I182</f>
        <v>0</v>
      </c>
      <c r="J183" s="55"/>
      <c r="L183" s="55"/>
      <c r="N183" s="55"/>
      <c r="O183" s="46"/>
      <c r="P183" s="55"/>
    </row>
    <row r="184" spans="1:16">
      <c r="A184" s="49" t="s">
        <v>171</v>
      </c>
      <c r="C184" s="105"/>
      <c r="D184" s="55"/>
      <c r="E184" s="55"/>
      <c r="F184" s="55"/>
      <c r="G184" s="57"/>
      <c r="H184" s="55"/>
      <c r="I184" s="55"/>
      <c r="J184" s="55"/>
      <c r="K184" s="55"/>
      <c r="L184" s="55"/>
      <c r="N184" s="55"/>
      <c r="O184" s="55"/>
      <c r="P184" s="54"/>
    </row>
    <row r="185" spans="1:16">
      <c r="A185" s="49">
        <v>28</v>
      </c>
      <c r="B185" s="54" t="s">
        <v>336</v>
      </c>
      <c r="C185" s="84"/>
      <c r="D185" s="55">
        <f>+$I246*D118</f>
        <v>506159.75950150983</v>
      </c>
      <c r="E185" s="55"/>
      <c r="F185" s="55" t="s">
        <v>252</v>
      </c>
      <c r="G185" s="99"/>
      <c r="H185" s="55"/>
      <c r="I185" s="55">
        <f>+$I246*I118</f>
        <v>41832.882474770719</v>
      </c>
      <c r="J185" s="55"/>
      <c r="L185" s="54"/>
      <c r="N185" s="55"/>
      <c r="O185" s="46"/>
      <c r="P185" s="55" t="s">
        <v>171</v>
      </c>
    </row>
    <row r="186" spans="1:16">
      <c r="A186" s="49"/>
      <c r="B186" s="103" t="s">
        <v>337</v>
      </c>
      <c r="D186" s="55"/>
      <c r="E186" s="55"/>
      <c r="F186" s="55"/>
      <c r="G186" s="99"/>
      <c r="H186" s="55"/>
      <c r="I186" s="55"/>
      <c r="J186" s="55"/>
      <c r="K186" s="84"/>
      <c r="L186" s="44"/>
      <c r="N186" s="55"/>
      <c r="O186" s="46"/>
      <c r="P186" s="55"/>
    </row>
    <row r="187" spans="1:16">
      <c r="A187" s="49"/>
      <c r="B187" s="54"/>
      <c r="D187" s="106"/>
      <c r="E187" s="55"/>
      <c r="F187" s="55"/>
      <c r="G187" s="99"/>
      <c r="H187" s="55"/>
      <c r="I187" s="106"/>
      <c r="J187" s="55"/>
      <c r="K187" s="84"/>
      <c r="L187" s="44"/>
      <c r="N187" s="55"/>
      <c r="O187" s="46"/>
      <c r="P187" s="55"/>
    </row>
    <row r="188" spans="1:16">
      <c r="A188" s="49">
        <v>29</v>
      </c>
      <c r="B188" s="54" t="s">
        <v>338</v>
      </c>
      <c r="C188" s="55"/>
      <c r="D188" s="106">
        <f>+D185+D183+D171+D160+D154</f>
        <v>823938.74950150982</v>
      </c>
      <c r="E188" s="55"/>
      <c r="F188" s="55"/>
      <c r="G188" s="55"/>
      <c r="H188" s="55"/>
      <c r="I188" s="106">
        <f>+I185+I183+I171+I160+I154</f>
        <v>84981.15239714882</v>
      </c>
      <c r="J188" s="44"/>
      <c r="K188" s="44"/>
      <c r="L188" s="44"/>
      <c r="N188" s="44"/>
      <c r="O188" s="72"/>
      <c r="P188" s="54"/>
    </row>
    <row r="189" spans="1:16">
      <c r="A189" s="49"/>
      <c r="B189" s="54"/>
      <c r="C189" s="55"/>
      <c r="D189" s="106"/>
      <c r="E189" s="55"/>
      <c r="F189" s="55"/>
      <c r="G189" s="55"/>
      <c r="H189" s="55"/>
      <c r="I189" s="106"/>
      <c r="J189" s="44"/>
      <c r="K189" s="44"/>
      <c r="L189" s="44"/>
      <c r="N189" s="44"/>
      <c r="O189" s="72"/>
      <c r="P189" s="54"/>
    </row>
    <row r="190" spans="1:16">
      <c r="A190" s="49">
        <v>30</v>
      </c>
      <c r="B190" s="40" t="s">
        <v>339</v>
      </c>
      <c r="J190" s="44"/>
      <c r="K190" s="44"/>
      <c r="L190" s="44"/>
      <c r="N190" s="44"/>
      <c r="O190" s="72"/>
      <c r="P190" s="54"/>
    </row>
    <row r="191" spans="1:16">
      <c r="A191" s="49"/>
      <c r="B191" s="40" t="s">
        <v>340</v>
      </c>
      <c r="J191" s="44"/>
      <c r="K191" s="44"/>
      <c r="L191" s="44"/>
      <c r="N191" s="44"/>
      <c r="O191" s="72"/>
      <c r="P191" s="54"/>
    </row>
    <row r="192" spans="1:16">
      <c r="A192" s="49"/>
      <c r="B192" s="40" t="s">
        <v>341</v>
      </c>
      <c r="D192" s="107">
        <v>0</v>
      </c>
      <c r="E192" s="54"/>
      <c r="F192" s="54"/>
      <c r="G192" s="54"/>
      <c r="H192" s="54"/>
      <c r="I192" s="107">
        <v>0</v>
      </c>
      <c r="J192" s="44"/>
      <c r="K192" s="44"/>
      <c r="L192" s="44"/>
      <c r="N192" s="44"/>
      <c r="O192" s="72"/>
      <c r="P192" s="54"/>
    </row>
    <row r="193" spans="1:16">
      <c r="A193" s="49"/>
      <c r="B193" s="54"/>
      <c r="C193" s="55"/>
      <c r="D193" s="106"/>
      <c r="E193" s="55"/>
      <c r="F193" s="55"/>
      <c r="G193" s="55"/>
      <c r="H193" s="55"/>
      <c r="I193" s="106"/>
      <c r="J193" s="44"/>
      <c r="K193" s="44"/>
      <c r="L193" s="44"/>
      <c r="N193" s="44"/>
      <c r="O193" s="72"/>
      <c r="P193" s="54"/>
    </row>
    <row r="194" spans="1:16">
      <c r="A194" s="49" t="s">
        <v>342</v>
      </c>
      <c r="B194" s="93" t="s">
        <v>484</v>
      </c>
      <c r="C194" s="93"/>
      <c r="D194" s="93"/>
      <c r="J194" s="55"/>
      <c r="K194" s="55"/>
      <c r="L194" s="44"/>
      <c r="N194" s="55"/>
      <c r="O194" s="46"/>
      <c r="P194" s="55" t="s">
        <v>171</v>
      </c>
    </row>
    <row r="195" spans="1:16">
      <c r="A195" s="49"/>
      <c r="B195" s="40" t="s">
        <v>340</v>
      </c>
      <c r="J195" s="55"/>
      <c r="K195" s="55"/>
      <c r="L195" s="44"/>
      <c r="N195" s="55"/>
      <c r="O195" s="46"/>
      <c r="P195" s="55"/>
    </row>
    <row r="196" spans="1:16" ht="16.5" thickBot="1">
      <c r="A196" s="49"/>
      <c r="B196" s="40" t="s">
        <v>343</v>
      </c>
      <c r="D196" s="108">
        <v>0</v>
      </c>
      <c r="E196" s="54"/>
      <c r="F196" s="54"/>
      <c r="G196" s="54"/>
      <c r="H196" s="54"/>
      <c r="I196" s="108">
        <v>0</v>
      </c>
      <c r="J196" s="55"/>
      <c r="K196" s="55"/>
      <c r="L196" s="44"/>
      <c r="N196" s="55"/>
      <c r="O196" s="46"/>
      <c r="P196" s="55"/>
    </row>
    <row r="197" spans="1:16" ht="16.5" thickBot="1">
      <c r="A197" s="92">
        <v>31</v>
      </c>
      <c r="B197" s="93" t="s">
        <v>344</v>
      </c>
      <c r="C197" s="93"/>
      <c r="D197" s="109">
        <f>+D188-D192-D196</f>
        <v>823938.74950150982</v>
      </c>
      <c r="E197" s="93"/>
      <c r="F197" s="93"/>
      <c r="G197" s="93"/>
      <c r="H197" s="93"/>
      <c r="I197" s="109">
        <f>+I188-I192-I196</f>
        <v>84981.15239714882</v>
      </c>
      <c r="J197" s="48"/>
      <c r="K197" s="48"/>
      <c r="L197" s="47"/>
      <c r="M197" s="93"/>
      <c r="N197" s="48"/>
      <c r="O197" s="46"/>
      <c r="P197" s="55"/>
    </row>
    <row r="198" spans="1:16" ht="16.5" thickTop="1">
      <c r="A198" s="49"/>
      <c r="B198" s="40" t="s">
        <v>345</v>
      </c>
      <c r="J198" s="55"/>
      <c r="K198" s="55"/>
      <c r="L198" s="44"/>
      <c r="N198" s="55"/>
      <c r="O198" s="46"/>
      <c r="P198" s="55"/>
    </row>
    <row r="199" spans="1:16" s="111" customFormat="1">
      <c r="A199" s="110"/>
      <c r="J199" s="112"/>
      <c r="K199" s="112"/>
      <c r="L199" s="113"/>
      <c r="N199" s="112"/>
      <c r="O199" s="114"/>
      <c r="P199" s="112"/>
    </row>
    <row r="200" spans="1:16" s="111" customFormat="1">
      <c r="A200" s="110"/>
      <c r="J200" s="112"/>
      <c r="K200" s="112"/>
      <c r="L200" s="113"/>
      <c r="N200" s="112"/>
      <c r="O200" s="114"/>
      <c r="P200" s="112"/>
    </row>
    <row r="201" spans="1:16" s="111" customFormat="1">
      <c r="A201" s="110"/>
      <c r="J201" s="112"/>
      <c r="K201" s="115" t="s">
        <v>480</v>
      </c>
      <c r="L201" s="113"/>
      <c r="N201" s="112"/>
      <c r="O201" s="114"/>
      <c r="P201" s="112"/>
    </row>
    <row r="202" spans="1:16">
      <c r="B202" s="41"/>
      <c r="C202" s="41"/>
      <c r="D202" s="42"/>
      <c r="E202" s="41"/>
      <c r="F202" s="41"/>
      <c r="G202" s="41"/>
      <c r="H202" s="43"/>
      <c r="I202" s="43"/>
      <c r="J202" s="44"/>
      <c r="K202" s="45" t="s">
        <v>346</v>
      </c>
      <c r="L202" s="54"/>
      <c r="N202" s="44"/>
      <c r="O202" s="44"/>
      <c r="P202" s="44"/>
    </row>
    <row r="203" spans="1:16">
      <c r="A203" s="49"/>
      <c r="J203" s="55"/>
      <c r="K203" s="55"/>
      <c r="L203" s="54"/>
      <c r="N203" s="55"/>
      <c r="O203" s="46"/>
      <c r="P203" s="55"/>
    </row>
    <row r="204" spans="1:16">
      <c r="A204" s="49"/>
      <c r="B204" s="54" t="str">
        <f>B4</f>
        <v xml:space="preserve">Formula Rate - Non-Levelized </v>
      </c>
      <c r="D204" s="40" t="str">
        <f>D4</f>
        <v xml:space="preserve">   Rate Formula Template</v>
      </c>
      <c r="J204" s="55"/>
      <c r="K204" s="115" t="str">
        <f>K4</f>
        <v>For the 12 months ended 12/31/2013</v>
      </c>
      <c r="L204" s="54"/>
      <c r="N204" s="55"/>
      <c r="O204" s="55"/>
      <c r="P204" s="54"/>
    </row>
    <row r="205" spans="1:16">
      <c r="A205" s="49"/>
      <c r="B205" s="54"/>
      <c r="D205" s="40" t="str">
        <f>D5</f>
        <v>Utilizing EIA Form 412 Data</v>
      </c>
      <c r="J205" s="55"/>
      <c r="K205" s="55"/>
      <c r="L205" s="54"/>
      <c r="N205" s="55"/>
      <c r="O205" s="55"/>
      <c r="P205" s="54"/>
    </row>
    <row r="206" spans="1:16" ht="9" customHeight="1">
      <c r="A206" s="49"/>
      <c r="J206" s="55"/>
      <c r="K206" s="55"/>
      <c r="L206" s="54"/>
      <c r="N206" s="55"/>
      <c r="O206" s="55"/>
      <c r="P206" s="54"/>
    </row>
    <row r="207" spans="1:16">
      <c r="A207" s="49"/>
      <c r="D207" s="40" t="str">
        <f>D7</f>
        <v>Benson (Minnesota) Municipal Utilities</v>
      </c>
      <c r="J207" s="55"/>
      <c r="K207" s="55"/>
      <c r="L207" s="54"/>
      <c r="N207" s="55"/>
      <c r="O207" s="55"/>
      <c r="P207" s="54"/>
    </row>
    <row r="208" spans="1:16">
      <c r="A208" s="49" t="s">
        <v>1</v>
      </c>
      <c r="C208" s="54"/>
      <c r="D208" s="54"/>
      <c r="E208" s="54"/>
      <c r="F208" s="54"/>
      <c r="G208" s="54"/>
      <c r="H208" s="54"/>
      <c r="I208" s="54"/>
      <c r="J208" s="54"/>
      <c r="K208" s="54"/>
      <c r="L208" s="116"/>
      <c r="N208" s="54"/>
      <c r="O208" s="54"/>
      <c r="P208" s="54"/>
    </row>
    <row r="209" spans="1:17" ht="16.5" thickBot="1">
      <c r="A209" s="51" t="s">
        <v>2</v>
      </c>
      <c r="C209" s="77" t="s">
        <v>347</v>
      </c>
      <c r="E209" s="44"/>
      <c r="F209" s="44"/>
      <c r="G209" s="44"/>
      <c r="H209" s="44"/>
      <c r="I209" s="44"/>
      <c r="J209" s="55"/>
      <c r="K209" s="55"/>
      <c r="L209" s="116"/>
      <c r="N209" s="44"/>
      <c r="O209" s="55"/>
      <c r="P209" s="54"/>
    </row>
    <row r="210" spans="1:17">
      <c r="A210" s="49"/>
      <c r="B210" s="41" t="s">
        <v>348</v>
      </c>
      <c r="C210" s="44"/>
      <c r="D210" s="44"/>
      <c r="E210" s="44"/>
      <c r="F210" s="44"/>
      <c r="G210" s="44"/>
      <c r="H210" s="44"/>
      <c r="I210" s="44"/>
      <c r="J210" s="55"/>
      <c r="K210" s="55"/>
      <c r="L210" s="54"/>
      <c r="N210" s="44"/>
      <c r="O210" s="55"/>
      <c r="P210" s="54"/>
    </row>
    <row r="211" spans="1:17">
      <c r="A211" s="49">
        <v>1</v>
      </c>
      <c r="B211" s="43" t="s">
        <v>349</v>
      </c>
      <c r="C211" s="44"/>
      <c r="D211" s="55"/>
      <c r="E211" s="55"/>
      <c r="F211" s="55"/>
      <c r="G211" s="55"/>
      <c r="H211" s="55"/>
      <c r="I211" s="55">
        <f>D80</f>
        <v>676120.5</v>
      </c>
      <c r="J211" s="55"/>
      <c r="K211" s="55"/>
      <c r="L211" s="54"/>
      <c r="N211" s="44"/>
      <c r="O211" s="55"/>
      <c r="P211" s="54"/>
    </row>
    <row r="212" spans="1:17">
      <c r="A212" s="49">
        <v>2</v>
      </c>
      <c r="B212" s="43" t="s">
        <v>350</v>
      </c>
      <c r="I212" s="85">
        <v>0</v>
      </c>
      <c r="J212" s="55"/>
      <c r="K212" s="55"/>
      <c r="L212" s="54"/>
      <c r="N212" s="44"/>
      <c r="O212" s="55"/>
      <c r="P212" s="54"/>
    </row>
    <row r="213" spans="1:17" ht="16.5" thickBot="1">
      <c r="A213" s="49">
        <v>3</v>
      </c>
      <c r="B213" s="117" t="s">
        <v>351</v>
      </c>
      <c r="C213" s="118"/>
      <c r="D213" s="106"/>
      <c r="E213" s="55"/>
      <c r="F213" s="55"/>
      <c r="G213" s="88"/>
      <c r="H213" s="55"/>
      <c r="I213" s="83">
        <v>0</v>
      </c>
      <c r="J213" s="55"/>
      <c r="K213" s="55"/>
      <c r="L213" s="54"/>
      <c r="N213" s="44"/>
      <c r="O213" s="55"/>
      <c r="P213" s="54"/>
    </row>
    <row r="214" spans="1:17">
      <c r="A214" s="49">
        <v>4</v>
      </c>
      <c r="B214" s="43" t="s">
        <v>352</v>
      </c>
      <c r="C214" s="44"/>
      <c r="D214" s="55"/>
      <c r="E214" s="55"/>
      <c r="F214" s="55"/>
      <c r="G214" s="88"/>
      <c r="H214" s="55"/>
      <c r="I214" s="55">
        <f>I211-I212-I213</f>
        <v>676120.5</v>
      </c>
      <c r="J214" s="55"/>
      <c r="K214" s="55"/>
      <c r="L214" s="54"/>
      <c r="N214" s="44"/>
      <c r="O214" s="55"/>
      <c r="P214" s="54"/>
    </row>
    <row r="215" spans="1:17">
      <c r="A215" s="49"/>
      <c r="C215" s="44"/>
      <c r="D215" s="55"/>
      <c r="E215" s="55"/>
      <c r="F215" s="55"/>
      <c r="G215" s="88"/>
      <c r="H215" s="55"/>
      <c r="J215" s="55"/>
      <c r="K215" s="55"/>
    </row>
    <row r="216" spans="1:17">
      <c r="A216" s="49">
        <v>5</v>
      </c>
      <c r="B216" s="43" t="s">
        <v>353</v>
      </c>
      <c r="C216" s="50"/>
      <c r="D216" s="120"/>
      <c r="E216" s="120"/>
      <c r="F216" s="120"/>
      <c r="G216" s="74"/>
      <c r="H216" s="55" t="s">
        <v>354</v>
      </c>
      <c r="I216" s="87">
        <f>IF(I211&gt;0,I214/I211,0)</f>
        <v>1</v>
      </c>
      <c r="J216" s="55"/>
      <c r="K216" s="55"/>
    </row>
    <row r="217" spans="1:17">
      <c r="J217" s="55"/>
      <c r="K217" s="55"/>
      <c r="M217" s="119" t="s">
        <v>485</v>
      </c>
    </row>
    <row r="218" spans="1:17">
      <c r="B218" s="54" t="s">
        <v>355</v>
      </c>
      <c r="J218" s="55"/>
      <c r="K218" s="55"/>
    </row>
    <row r="219" spans="1:17">
      <c r="A219" s="49">
        <v>6</v>
      </c>
      <c r="B219" s="40" t="s">
        <v>357</v>
      </c>
      <c r="D219" s="44"/>
      <c r="E219" s="44"/>
      <c r="F219" s="44"/>
      <c r="G219" s="46"/>
      <c r="H219" s="44"/>
      <c r="I219" s="55">
        <f>D145</f>
        <v>364405.23</v>
      </c>
      <c r="J219" s="55"/>
      <c r="K219" s="55"/>
      <c r="L219" s="453" t="s">
        <v>486</v>
      </c>
      <c r="M219" s="454"/>
      <c r="N219" s="454"/>
      <c r="O219" s="454"/>
      <c r="P219" s="454"/>
      <c r="Q219" s="455"/>
    </row>
    <row r="220" spans="1:17" ht="16.5" thickBot="1">
      <c r="A220" s="49">
        <v>7</v>
      </c>
      <c r="B220" s="117" t="s">
        <v>359</v>
      </c>
      <c r="C220" s="118"/>
      <c r="D220" s="106"/>
      <c r="E220" s="106"/>
      <c r="F220" s="55"/>
      <c r="G220" s="55"/>
      <c r="H220" s="55"/>
      <c r="I220" s="83">
        <v>0</v>
      </c>
      <c r="J220" s="55"/>
      <c r="K220" s="55"/>
      <c r="L220" s="121">
        <f>+I220</f>
        <v>0</v>
      </c>
      <c r="M220" s="122" t="s">
        <v>356</v>
      </c>
      <c r="N220" s="123"/>
      <c r="O220" s="106"/>
      <c r="P220" s="124"/>
      <c r="Q220" s="125"/>
    </row>
    <row r="221" spans="1:17">
      <c r="A221" s="49">
        <v>8</v>
      </c>
      <c r="B221" s="43" t="s">
        <v>361</v>
      </c>
      <c r="C221" s="50"/>
      <c r="D221" s="120"/>
      <c r="E221" s="120"/>
      <c r="F221" s="120"/>
      <c r="G221" s="74"/>
      <c r="H221" s="120"/>
      <c r="I221" s="55">
        <f>+I219-I220</f>
        <v>364405.23</v>
      </c>
      <c r="J221" s="55"/>
      <c r="K221" s="55"/>
      <c r="L221" s="126">
        <v>0</v>
      </c>
      <c r="M221" s="127" t="s">
        <v>358</v>
      </c>
      <c r="N221" s="128"/>
      <c r="O221" s="128"/>
      <c r="P221" s="128"/>
      <c r="Q221" s="125"/>
    </row>
    <row r="222" spans="1:17">
      <c r="A222" s="49"/>
      <c r="B222" s="43"/>
      <c r="C222" s="44"/>
      <c r="D222" s="55"/>
      <c r="E222" s="55"/>
      <c r="F222" s="55"/>
      <c r="G222" s="55"/>
      <c r="J222" s="55"/>
      <c r="K222" s="55"/>
      <c r="L222" s="121">
        <f>L220-L221</f>
        <v>0</v>
      </c>
      <c r="M222" s="127" t="s">
        <v>360</v>
      </c>
      <c r="N222" s="128"/>
      <c r="O222" s="128"/>
      <c r="P222" s="128"/>
      <c r="Q222" s="125"/>
    </row>
    <row r="223" spans="1:17">
      <c r="A223" s="49">
        <v>9</v>
      </c>
      <c r="B223" s="43" t="s">
        <v>364</v>
      </c>
      <c r="C223" s="44"/>
      <c r="D223" s="55"/>
      <c r="E223" s="55"/>
      <c r="F223" s="55"/>
      <c r="G223" s="55"/>
      <c r="H223" s="55"/>
      <c r="I223" s="82">
        <f>IF(I219&gt;0,I221/I219,0)</f>
        <v>1</v>
      </c>
      <c r="J223" s="55"/>
      <c r="K223" s="55"/>
      <c r="L223" s="129"/>
      <c r="M223" s="130" t="s">
        <v>362</v>
      </c>
      <c r="N223" s="131"/>
      <c r="O223" s="131"/>
      <c r="P223" s="131"/>
      <c r="Q223" s="132"/>
    </row>
    <row r="224" spans="1:17">
      <c r="A224" s="49">
        <v>10</v>
      </c>
      <c r="B224" s="43" t="s">
        <v>366</v>
      </c>
      <c r="C224" s="44"/>
      <c r="D224" s="55"/>
      <c r="E224" s="55"/>
      <c r="F224" s="55"/>
      <c r="G224" s="55"/>
      <c r="H224" s="44" t="s">
        <v>196</v>
      </c>
      <c r="I224" s="135">
        <f>I216</f>
        <v>1</v>
      </c>
      <c r="J224" s="55"/>
      <c r="K224" s="55"/>
      <c r="L224" s="133">
        <v>0</v>
      </c>
      <c r="M224" s="134" t="s">
        <v>363</v>
      </c>
      <c r="N224" s="106"/>
      <c r="O224" s="124"/>
      <c r="P224" s="128"/>
      <c r="Q224" s="125"/>
    </row>
    <row r="225" spans="1:17">
      <c r="A225" s="49">
        <v>11</v>
      </c>
      <c r="B225" s="43" t="s">
        <v>368</v>
      </c>
      <c r="C225" s="44"/>
      <c r="D225" s="44"/>
      <c r="E225" s="44"/>
      <c r="F225" s="44"/>
      <c r="G225" s="44"/>
      <c r="H225" s="44" t="s">
        <v>369</v>
      </c>
      <c r="I225" s="136">
        <f>+I224*I223</f>
        <v>1</v>
      </c>
      <c r="J225" s="55"/>
      <c r="K225" s="55"/>
      <c r="L225" s="133">
        <v>0</v>
      </c>
      <c r="M225" s="134" t="s">
        <v>365</v>
      </c>
      <c r="N225" s="106"/>
      <c r="O225" s="124"/>
      <c r="P225" s="128"/>
      <c r="Q225" s="125"/>
    </row>
    <row r="226" spans="1:17">
      <c r="A226" s="49"/>
      <c r="C226" s="44"/>
      <c r="D226" s="55"/>
      <c r="E226" s="55"/>
      <c r="F226" s="55"/>
      <c r="G226" s="88"/>
      <c r="H226" s="55"/>
      <c r="L226" s="126">
        <v>0</v>
      </c>
      <c r="M226" s="134" t="s">
        <v>367</v>
      </c>
      <c r="N226" s="106"/>
      <c r="O226" s="124"/>
      <c r="P226" s="128"/>
      <c r="Q226" s="125"/>
    </row>
    <row r="227" spans="1:17" ht="16.5" thickBot="1">
      <c r="A227" s="49" t="s">
        <v>171</v>
      </c>
      <c r="B227" s="54" t="s">
        <v>372</v>
      </c>
      <c r="C227" s="55"/>
      <c r="D227" s="142" t="s">
        <v>373</v>
      </c>
      <c r="E227" s="142" t="s">
        <v>196</v>
      </c>
      <c r="F227" s="55"/>
      <c r="G227" s="142" t="s">
        <v>374</v>
      </c>
      <c r="H227" s="55"/>
      <c r="I227" s="55"/>
      <c r="L227" s="137">
        <f>SUM(L224:L226)</f>
        <v>0</v>
      </c>
      <c r="M227" s="127" t="s">
        <v>370</v>
      </c>
      <c r="N227" s="128"/>
      <c r="O227" s="128"/>
      <c r="P227" s="128"/>
      <c r="Q227" s="125"/>
    </row>
    <row r="228" spans="1:17">
      <c r="A228" s="49">
        <v>12</v>
      </c>
      <c r="B228" s="54" t="s">
        <v>250</v>
      </c>
      <c r="C228" s="55"/>
      <c r="D228" s="85">
        <f>+Salaries!L11</f>
        <v>0</v>
      </c>
      <c r="E228" s="143">
        <v>0</v>
      </c>
      <c r="F228" s="143"/>
      <c r="G228" s="55">
        <f>D228*E228</f>
        <v>0</v>
      </c>
      <c r="H228" s="55"/>
      <c r="I228" s="55"/>
      <c r="J228" s="55"/>
      <c r="K228" s="55"/>
      <c r="L228" s="138">
        <f>L222-L227</f>
        <v>0</v>
      </c>
      <c r="M228" s="139" t="s">
        <v>371</v>
      </c>
      <c r="N228" s="140"/>
      <c r="O228" s="140"/>
      <c r="P228" s="140"/>
      <c r="Q228" s="141"/>
    </row>
    <row r="229" spans="1:17">
      <c r="A229" s="49">
        <v>13</v>
      </c>
      <c r="B229" s="54" t="s">
        <v>253</v>
      </c>
      <c r="C229" s="55"/>
      <c r="D229" s="85">
        <f>+Salaries!L15</f>
        <v>0</v>
      </c>
      <c r="E229" s="143">
        <f>+I216</f>
        <v>1</v>
      </c>
      <c r="F229" s="143"/>
      <c r="G229" s="55">
        <f>D229*E229</f>
        <v>0</v>
      </c>
      <c r="H229" s="55"/>
      <c r="I229" s="55"/>
      <c r="J229" s="55"/>
      <c r="K229" s="55"/>
      <c r="L229" s="144"/>
      <c r="M229" s="127"/>
      <c r="N229" s="106"/>
      <c r="O229" s="124"/>
      <c r="P229" s="128"/>
      <c r="Q229" s="128"/>
    </row>
    <row r="230" spans="1:17">
      <c r="A230" s="49">
        <v>14</v>
      </c>
      <c r="B230" s="54" t="s">
        <v>255</v>
      </c>
      <c r="C230" s="55"/>
      <c r="D230" s="85">
        <v>0</v>
      </c>
      <c r="E230" s="143">
        <v>0</v>
      </c>
      <c r="F230" s="143"/>
      <c r="G230" s="55">
        <f>D230*E230</f>
        <v>0</v>
      </c>
      <c r="H230" s="55"/>
      <c r="I230" s="145" t="s">
        <v>375</v>
      </c>
      <c r="J230" s="55"/>
      <c r="K230" s="55"/>
      <c r="L230" s="54"/>
      <c r="M230" s="40" t="s">
        <v>533</v>
      </c>
      <c r="N230" s="55"/>
      <c r="O230" s="55"/>
      <c r="P230" s="54"/>
    </row>
    <row r="231" spans="1:17" ht="16.5" thickBot="1">
      <c r="A231" s="49">
        <v>15</v>
      </c>
      <c r="B231" s="54" t="s">
        <v>376</v>
      </c>
      <c r="C231" s="55"/>
      <c r="D231" s="83">
        <f>+Salaries!L28:L28</f>
        <v>92081</v>
      </c>
      <c r="E231" s="143">
        <v>0</v>
      </c>
      <c r="F231" s="143"/>
      <c r="G231" s="60">
        <f>D231*E231</f>
        <v>0</v>
      </c>
      <c r="H231" s="55"/>
      <c r="I231" s="51" t="s">
        <v>377</v>
      </c>
      <c r="J231" s="55"/>
      <c r="K231" s="55"/>
      <c r="L231" s="54"/>
      <c r="M231" s="40" t="s">
        <v>1056</v>
      </c>
      <c r="N231" s="55"/>
      <c r="O231" s="55"/>
      <c r="P231" s="54"/>
    </row>
    <row r="232" spans="1:17">
      <c r="A232" s="49">
        <v>16</v>
      </c>
      <c r="B232" s="54" t="s">
        <v>378</v>
      </c>
      <c r="C232" s="55"/>
      <c r="D232" s="55">
        <f>SUM(D228:D231)</f>
        <v>92081</v>
      </c>
      <c r="E232" s="55"/>
      <c r="F232" s="55"/>
      <c r="G232" s="55">
        <f>SUM(G228:G231)</f>
        <v>0</v>
      </c>
      <c r="H232" s="46" t="s">
        <v>379</v>
      </c>
      <c r="I232" s="82">
        <f>IF(G232&gt;0,G229/D232,0)</f>
        <v>0</v>
      </c>
      <c r="J232" s="55" t="s">
        <v>379</v>
      </c>
      <c r="K232" s="55" t="s">
        <v>259</v>
      </c>
      <c r="L232" s="54"/>
      <c r="N232" s="55"/>
      <c r="O232" s="55"/>
      <c r="P232" s="54"/>
    </row>
    <row r="233" spans="1:17">
      <c r="A233" s="49" t="s">
        <v>171</v>
      </c>
      <c r="B233" s="54" t="s">
        <v>171</v>
      </c>
      <c r="C233" s="55" t="s">
        <v>171</v>
      </c>
      <c r="E233" s="55"/>
      <c r="F233" s="55"/>
      <c r="L233" s="54"/>
      <c r="N233" s="55"/>
      <c r="O233" s="55"/>
      <c r="P233" s="54"/>
    </row>
    <row r="234" spans="1:17">
      <c r="A234" s="49"/>
      <c r="B234" s="54" t="s">
        <v>380</v>
      </c>
      <c r="C234" s="55"/>
      <c r="D234" s="75" t="s">
        <v>373</v>
      </c>
      <c r="E234" s="55"/>
      <c r="F234" s="55"/>
      <c r="G234" s="88" t="s">
        <v>381</v>
      </c>
      <c r="H234" s="99" t="s">
        <v>171</v>
      </c>
      <c r="I234" s="84" t="s">
        <v>382</v>
      </c>
      <c r="J234" s="55"/>
      <c r="K234" s="55"/>
      <c r="L234" s="54"/>
      <c r="N234" s="55"/>
      <c r="O234" s="55"/>
      <c r="P234" s="54"/>
    </row>
    <row r="235" spans="1:17">
      <c r="A235" s="49">
        <v>17</v>
      </c>
      <c r="B235" s="54" t="s">
        <v>383</v>
      </c>
      <c r="C235" s="55"/>
      <c r="D235" s="85">
        <v>0</v>
      </c>
      <c r="E235" s="55"/>
      <c r="G235" s="49" t="s">
        <v>384</v>
      </c>
      <c r="H235" s="146"/>
      <c r="I235" s="49" t="s">
        <v>385</v>
      </c>
      <c r="J235" s="55"/>
      <c r="K235" s="46" t="s">
        <v>261</v>
      </c>
      <c r="L235" s="54"/>
      <c r="M235" s="40" t="s">
        <v>532</v>
      </c>
      <c r="N235" s="55"/>
      <c r="O235" s="55"/>
      <c r="P235" s="54"/>
    </row>
    <row r="236" spans="1:17">
      <c r="A236" s="49">
        <v>18</v>
      </c>
      <c r="B236" s="54" t="s">
        <v>386</v>
      </c>
      <c r="C236" s="55"/>
      <c r="D236" s="85">
        <v>0</v>
      </c>
      <c r="E236" s="55"/>
      <c r="G236" s="57">
        <f>IF(D238&gt;0,D235/D238,0)</f>
        <v>0</v>
      </c>
      <c r="H236" s="88" t="s">
        <v>387</v>
      </c>
      <c r="I236" s="57">
        <f>I232</f>
        <v>0</v>
      </c>
      <c r="J236" s="99" t="s">
        <v>379</v>
      </c>
      <c r="K236" s="57">
        <f>I236*G236</f>
        <v>0</v>
      </c>
      <c r="L236" s="54"/>
      <c r="N236" s="55"/>
      <c r="O236" s="55"/>
      <c r="P236" s="54"/>
    </row>
    <row r="237" spans="1:17" ht="16.5" thickBot="1">
      <c r="A237" s="49">
        <v>19</v>
      </c>
      <c r="B237" s="147" t="s">
        <v>388</v>
      </c>
      <c r="C237" s="60"/>
      <c r="D237" s="83">
        <v>0</v>
      </c>
      <c r="E237" s="55"/>
      <c r="F237" s="55"/>
      <c r="G237" s="55" t="s">
        <v>171</v>
      </c>
      <c r="H237" s="55"/>
      <c r="I237" s="55"/>
      <c r="L237" s="54"/>
      <c r="N237" s="55"/>
      <c r="O237" s="55"/>
      <c r="P237" s="54"/>
    </row>
    <row r="238" spans="1:17">
      <c r="A238" s="49">
        <v>20</v>
      </c>
      <c r="B238" s="54" t="s">
        <v>389</v>
      </c>
      <c r="C238" s="55"/>
      <c r="D238" s="55">
        <f>D235+D236+D237</f>
        <v>0</v>
      </c>
      <c r="E238" s="55"/>
      <c r="F238" s="55"/>
      <c r="G238" s="55"/>
      <c r="H238" s="55"/>
      <c r="I238" s="55"/>
      <c r="J238" s="55"/>
      <c r="K238" s="55"/>
      <c r="L238" s="54"/>
      <c r="N238" s="55"/>
      <c r="O238" s="55"/>
      <c r="P238" s="54"/>
    </row>
    <row r="239" spans="1:17">
      <c r="A239" s="49"/>
      <c r="B239" s="54" t="s">
        <v>171</v>
      </c>
      <c r="C239" s="55"/>
      <c r="E239" s="55"/>
      <c r="F239" s="55"/>
      <c r="G239" s="55"/>
      <c r="H239" s="55"/>
      <c r="I239" s="55" t="s">
        <v>171</v>
      </c>
      <c r="J239" s="55"/>
      <c r="K239" s="55"/>
      <c r="L239" s="54"/>
      <c r="N239" s="55"/>
      <c r="O239" s="55"/>
      <c r="P239" s="54"/>
    </row>
    <row r="240" spans="1:17" ht="16.5" thickBot="1">
      <c r="A240" s="49"/>
      <c r="B240" s="41" t="s">
        <v>390</v>
      </c>
      <c r="C240" s="55"/>
      <c r="D240" s="142" t="s">
        <v>373</v>
      </c>
      <c r="E240" s="55"/>
      <c r="F240" s="55"/>
      <c r="G240" s="55"/>
      <c r="H240" s="55"/>
      <c r="J240" s="55" t="s">
        <v>171</v>
      </c>
      <c r="K240" s="55"/>
      <c r="L240" s="54"/>
      <c r="N240" s="55"/>
      <c r="O240" s="55"/>
      <c r="P240" s="54"/>
    </row>
    <row r="241" spans="1:16">
      <c r="A241" s="49">
        <v>21</v>
      </c>
      <c r="B241" s="55" t="s">
        <v>391</v>
      </c>
      <c r="C241" s="43" t="s">
        <v>392</v>
      </c>
      <c r="D241" s="148">
        <f>+'Sched 3 Income Statement'!C24</f>
        <v>162851</v>
      </c>
      <c r="E241" s="55"/>
      <c r="F241" s="55"/>
      <c r="G241" s="55"/>
      <c r="H241" s="55"/>
      <c r="I241" s="55"/>
      <c r="J241" s="55"/>
      <c r="K241" s="55"/>
      <c r="L241" s="54"/>
      <c r="M241" s="40" t="s">
        <v>176</v>
      </c>
      <c r="N241" s="55"/>
      <c r="O241" s="55"/>
      <c r="P241" s="54"/>
    </row>
    <row r="242" spans="1:16">
      <c r="A242" s="49"/>
      <c r="B242" s="54"/>
      <c r="D242" s="55"/>
      <c r="E242" s="55"/>
      <c r="F242" s="55"/>
      <c r="G242" s="88" t="s">
        <v>393</v>
      </c>
      <c r="H242" s="55"/>
      <c r="I242" s="55"/>
      <c r="J242" s="55"/>
      <c r="K242" s="55"/>
      <c r="L242" s="54"/>
      <c r="N242" s="55"/>
      <c r="O242" s="55"/>
      <c r="P242" s="54"/>
    </row>
    <row r="243" spans="1:16" ht="16.5" thickBot="1">
      <c r="A243" s="49"/>
      <c r="B243" s="41"/>
      <c r="C243" s="43"/>
      <c r="D243" s="51" t="s">
        <v>373</v>
      </c>
      <c r="E243" s="51" t="s">
        <v>394</v>
      </c>
      <c r="F243" s="55"/>
      <c r="G243" s="51" t="s">
        <v>395</v>
      </c>
      <c r="H243" s="55"/>
      <c r="I243" s="51" t="s">
        <v>396</v>
      </c>
      <c r="J243" s="55"/>
      <c r="K243" s="55"/>
      <c r="L243" s="54"/>
      <c r="N243" s="55"/>
      <c r="O243" s="55"/>
      <c r="P243" s="54"/>
    </row>
    <row r="244" spans="1:16">
      <c r="A244" s="49">
        <v>22</v>
      </c>
      <c r="B244" s="41" t="s">
        <v>397</v>
      </c>
      <c r="C244" s="43" t="s">
        <v>398</v>
      </c>
      <c r="D244" s="85">
        <f>+'Sched 2 Balance sheet'!F20</f>
        <v>5875000</v>
      </c>
      <c r="E244" s="149">
        <f>IF($D$246&gt;0,D244/$D$246,0)</f>
        <v>0.5360129051835596</v>
      </c>
      <c r="F244" s="150"/>
      <c r="G244" s="151">
        <f>IF(D244&gt;0,D241/D244,0)</f>
        <v>2.7719319148936172E-2</v>
      </c>
      <c r="I244" s="150">
        <f>G244*E244</f>
        <v>1.4857912786731552E-2</v>
      </c>
      <c r="J244" s="152" t="s">
        <v>399</v>
      </c>
      <c r="K244" s="55"/>
      <c r="L244" s="54"/>
      <c r="M244" s="40" t="s">
        <v>175</v>
      </c>
      <c r="N244" s="55"/>
      <c r="O244" s="55"/>
      <c r="P244" s="54"/>
    </row>
    <row r="245" spans="1:16" ht="16.5" thickBot="1">
      <c r="A245" s="49">
        <v>23</v>
      </c>
      <c r="B245" s="41" t="s">
        <v>400</v>
      </c>
      <c r="C245" s="43" t="s">
        <v>401</v>
      </c>
      <c r="D245" s="83">
        <f>+'Sched 2 Balance sheet'!F16</f>
        <v>5085557</v>
      </c>
      <c r="E245" s="153">
        <f>IF($D$246&gt;0,D245/$D$246,0)</f>
        <v>0.46398709481644046</v>
      </c>
      <c r="F245" s="150"/>
      <c r="G245" s="150">
        <f>I248</f>
        <v>0.12379999999999999</v>
      </c>
      <c r="I245" s="154">
        <f>G245*E245</f>
        <v>5.7441602338275326E-2</v>
      </c>
      <c r="L245" s="54"/>
      <c r="M245" s="40" t="s">
        <v>175</v>
      </c>
      <c r="N245" s="55"/>
      <c r="O245" s="55"/>
      <c r="P245" s="54"/>
    </row>
    <row r="246" spans="1:16">
      <c r="A246" s="49">
        <v>24</v>
      </c>
      <c r="B246" s="41" t="s">
        <v>402</v>
      </c>
      <c r="C246" s="43"/>
      <c r="D246" s="55">
        <f>SUM(D244:D245)</f>
        <v>10960557</v>
      </c>
      <c r="E246" s="155">
        <f>SUM(E244+E245)</f>
        <v>1</v>
      </c>
      <c r="F246" s="150"/>
      <c r="G246" s="150"/>
      <c r="I246" s="150">
        <f>SUM(I244:I245)</f>
        <v>7.2299515125006875E-2</v>
      </c>
      <c r="J246" s="152" t="s">
        <v>403</v>
      </c>
      <c r="L246" s="54"/>
      <c r="N246" s="55"/>
      <c r="O246" s="55"/>
      <c r="P246" s="54"/>
    </row>
    <row r="247" spans="1:16">
      <c r="A247" s="49" t="s">
        <v>171</v>
      </c>
      <c r="B247" s="54"/>
      <c r="D247" s="55"/>
      <c r="E247" s="55" t="s">
        <v>171</v>
      </c>
      <c r="F247" s="55"/>
      <c r="G247" s="55"/>
      <c r="H247" s="55"/>
      <c r="I247" s="150"/>
      <c r="L247" s="54"/>
      <c r="N247" s="55"/>
      <c r="O247" s="55"/>
      <c r="P247" s="54"/>
    </row>
    <row r="248" spans="1:16">
      <c r="A248" s="49">
        <v>25</v>
      </c>
      <c r="E248" s="55"/>
      <c r="F248" s="55"/>
      <c r="G248" s="55"/>
      <c r="H248" s="91" t="s">
        <v>404</v>
      </c>
      <c r="I248" s="156">
        <v>0.12379999999999999</v>
      </c>
      <c r="L248" s="54"/>
      <c r="N248" s="55"/>
      <c r="O248" s="55"/>
      <c r="P248" s="54"/>
    </row>
    <row r="249" spans="1:16">
      <c r="A249" s="49">
        <v>26</v>
      </c>
      <c r="H249" s="115" t="s">
        <v>405</v>
      </c>
      <c r="I249" s="143">
        <f>IF(G244&gt;0,I246/G244,0)</f>
        <v>2.6082716799983752</v>
      </c>
      <c r="L249" s="54"/>
      <c r="N249" s="55"/>
      <c r="O249" s="55"/>
      <c r="P249" s="54"/>
    </row>
    <row r="250" spans="1:16">
      <c r="A250" s="49"/>
      <c r="B250" s="41" t="s">
        <v>406</v>
      </c>
      <c r="C250" s="43"/>
      <c r="D250" s="43"/>
      <c r="E250" s="43"/>
      <c r="F250" s="43"/>
      <c r="G250" s="43"/>
      <c r="H250" s="43"/>
      <c r="I250" s="43"/>
      <c r="K250" s="55"/>
      <c r="L250" s="54"/>
      <c r="N250" s="55"/>
      <c r="O250" s="55"/>
      <c r="P250" s="54"/>
    </row>
    <row r="251" spans="1:16" ht="16.5" thickBot="1">
      <c r="A251" s="49"/>
      <c r="B251" s="41"/>
      <c r="C251" s="41"/>
      <c r="D251" s="41"/>
      <c r="E251" s="41"/>
      <c r="F251" s="41"/>
      <c r="G251" s="41"/>
      <c r="H251" s="41"/>
      <c r="I251" s="51" t="s">
        <v>407</v>
      </c>
      <c r="J251" s="43"/>
      <c r="K251" s="43"/>
      <c r="L251" s="54"/>
      <c r="N251" s="55"/>
      <c r="O251" s="55"/>
      <c r="P251" s="54"/>
    </row>
    <row r="252" spans="1:16">
      <c r="A252" s="49"/>
      <c r="B252" s="41" t="s">
        <v>408</v>
      </c>
      <c r="C252" s="43"/>
      <c r="D252" s="43"/>
      <c r="E252" s="43"/>
      <c r="F252" s="43"/>
      <c r="G252" s="157" t="s">
        <v>171</v>
      </c>
      <c r="H252" s="111"/>
      <c r="I252" s="158"/>
      <c r="J252" s="41"/>
      <c r="K252" s="41"/>
      <c r="L252" s="54"/>
      <c r="N252" s="55"/>
      <c r="O252" s="55"/>
      <c r="P252" s="54"/>
    </row>
    <row r="253" spans="1:16">
      <c r="A253" s="49">
        <v>27</v>
      </c>
      <c r="B253" s="40" t="s">
        <v>409</v>
      </c>
      <c r="C253" s="43"/>
      <c r="D253" s="43"/>
      <c r="E253" s="43" t="s">
        <v>410</v>
      </c>
      <c r="F253" s="43"/>
      <c r="H253" s="111"/>
      <c r="I253" s="85">
        <v>0</v>
      </c>
      <c r="J253" s="41"/>
      <c r="K253" s="41"/>
      <c r="L253" s="54"/>
      <c r="N253" s="88"/>
      <c r="O253" s="55"/>
      <c r="P253" s="54"/>
    </row>
    <row r="254" spans="1:16" ht="16.5" thickBot="1">
      <c r="A254" s="49">
        <v>28</v>
      </c>
      <c r="B254" s="89" t="s">
        <v>411</v>
      </c>
      <c r="C254" s="118"/>
      <c r="D254" s="128"/>
      <c r="E254" s="159"/>
      <c r="F254" s="159"/>
      <c r="G254" s="159"/>
      <c r="H254" s="43"/>
      <c r="I254" s="83">
        <v>0</v>
      </c>
      <c r="J254" s="41"/>
      <c r="K254" s="41"/>
      <c r="L254" s="54"/>
      <c r="N254" s="41"/>
      <c r="O254" s="55"/>
      <c r="P254" s="54"/>
    </row>
    <row r="255" spans="1:16">
      <c r="A255" s="49">
        <v>29</v>
      </c>
      <c r="B255" s="40" t="s">
        <v>412</v>
      </c>
      <c r="C255" s="44"/>
      <c r="D255" s="128"/>
      <c r="E255" s="159"/>
      <c r="F255" s="159"/>
      <c r="G255" s="159"/>
      <c r="H255" s="43"/>
      <c r="I255" s="85">
        <f>+I253-I254</f>
        <v>0</v>
      </c>
      <c r="J255" s="41"/>
      <c r="K255" s="41"/>
      <c r="L255" s="54"/>
      <c r="N255" s="41"/>
      <c r="O255" s="55"/>
      <c r="P255" s="54"/>
    </row>
    <row r="256" spans="1:16">
      <c r="A256" s="49"/>
      <c r="B256" s="40" t="s">
        <v>171</v>
      </c>
      <c r="C256" s="44"/>
      <c r="D256" s="128"/>
      <c r="E256" s="159"/>
      <c r="F256" s="159"/>
      <c r="G256" s="160"/>
      <c r="H256" s="43"/>
      <c r="I256" s="161" t="s">
        <v>171</v>
      </c>
      <c r="J256" s="41"/>
      <c r="K256" s="41"/>
      <c r="L256" s="54"/>
      <c r="N256" s="41"/>
      <c r="O256" s="55"/>
      <c r="P256" s="54"/>
    </row>
    <row r="257" spans="1:17">
      <c r="A257" s="49">
        <v>30</v>
      </c>
      <c r="B257" s="41" t="s">
        <v>413</v>
      </c>
      <c r="C257" s="44"/>
      <c r="D257" s="128"/>
      <c r="E257" s="159"/>
      <c r="F257" s="159"/>
      <c r="G257" s="160"/>
      <c r="H257" s="43"/>
      <c r="I257" s="162">
        <v>0</v>
      </c>
      <c r="J257" s="41"/>
      <c r="K257" s="41"/>
      <c r="M257" s="40" t="s">
        <v>565</v>
      </c>
      <c r="N257" s="41"/>
      <c r="O257" s="55"/>
      <c r="P257" s="54"/>
    </row>
    <row r="258" spans="1:17">
      <c r="A258" s="49"/>
      <c r="C258" s="43"/>
      <c r="D258" s="159"/>
      <c r="E258" s="159"/>
      <c r="F258" s="159"/>
      <c r="G258" s="159"/>
      <c r="H258" s="43"/>
      <c r="I258" s="161"/>
      <c r="J258" s="41"/>
      <c r="K258" s="41"/>
      <c r="N258" s="41"/>
      <c r="O258" s="55"/>
      <c r="P258" s="54"/>
    </row>
    <row r="259" spans="1:17">
      <c r="B259" s="41" t="s">
        <v>414</v>
      </c>
      <c r="C259" s="43"/>
      <c r="D259" s="159"/>
      <c r="E259" s="159"/>
      <c r="F259" s="159"/>
      <c r="G259" s="159"/>
      <c r="H259" s="43"/>
      <c r="J259" s="41"/>
      <c r="K259" s="41"/>
      <c r="N259" s="41"/>
      <c r="O259" s="55"/>
      <c r="P259" s="54"/>
    </row>
    <row r="260" spans="1:17">
      <c r="A260" s="49">
        <v>31</v>
      </c>
      <c r="B260" s="41" t="s">
        <v>415</v>
      </c>
      <c r="C260" s="55"/>
      <c r="D260" s="106"/>
      <c r="E260" s="106"/>
      <c r="F260" s="106"/>
      <c r="G260" s="106"/>
      <c r="H260" s="55"/>
      <c r="I260" s="163">
        <f>+'Acct 456.1'!L36</f>
        <v>4181.4433421013691</v>
      </c>
      <c r="J260" s="41"/>
      <c r="K260" s="41"/>
      <c r="L260" s="167"/>
      <c r="M260" s="40" t="s">
        <v>1069</v>
      </c>
      <c r="O260" s="55"/>
      <c r="P260" s="54"/>
    </row>
    <row r="261" spans="1:17">
      <c r="A261" s="49">
        <v>32</v>
      </c>
      <c r="B261" s="164" t="s">
        <v>416</v>
      </c>
      <c r="C261" s="159"/>
      <c r="D261" s="159"/>
      <c r="E261" s="159"/>
      <c r="F261" s="159"/>
      <c r="G261" s="159"/>
      <c r="H261" s="43"/>
      <c r="I261" s="163">
        <f>+'Acct 456.1'!L37</f>
        <v>124.26834350492102</v>
      </c>
      <c r="J261" s="41"/>
      <c r="K261" s="41"/>
      <c r="L261" s="88"/>
      <c r="M261" s="40" t="s">
        <v>1069</v>
      </c>
      <c r="O261" s="55"/>
      <c r="P261" s="54"/>
    </row>
    <row r="262" spans="1:17">
      <c r="A262" s="49" t="s">
        <v>417</v>
      </c>
      <c r="B262" s="193" t="s">
        <v>487</v>
      </c>
      <c r="C262" s="194"/>
      <c r="D262" s="159"/>
      <c r="E262" s="159"/>
      <c r="F262" s="159"/>
      <c r="G262" s="159"/>
      <c r="H262" s="43"/>
      <c r="I262" s="163">
        <v>0</v>
      </c>
      <c r="J262" s="41"/>
      <c r="K262" s="41"/>
      <c r="L262" s="88"/>
      <c r="N262" s="167" t="s">
        <v>489</v>
      </c>
      <c r="O262" s="55"/>
      <c r="P262" s="54"/>
    </row>
    <row r="263" spans="1:17" ht="16.5" thickBot="1">
      <c r="A263" s="49" t="s">
        <v>418</v>
      </c>
      <c r="B263" s="195" t="s">
        <v>488</v>
      </c>
      <c r="C263" s="196"/>
      <c r="D263" s="159"/>
      <c r="E263" s="159"/>
      <c r="F263" s="159"/>
      <c r="G263" s="159"/>
      <c r="H263" s="43"/>
      <c r="I263" s="165">
        <v>0</v>
      </c>
      <c r="J263" s="41"/>
      <c r="K263" s="41"/>
      <c r="L263" s="88"/>
      <c r="N263" s="167" t="s">
        <v>490</v>
      </c>
      <c r="O263" s="55"/>
      <c r="P263" s="54"/>
    </row>
    <row r="264" spans="1:17" s="111" customFormat="1">
      <c r="A264" s="49">
        <v>33</v>
      </c>
      <c r="B264" s="40" t="s">
        <v>419</v>
      </c>
      <c r="C264" s="49"/>
      <c r="D264" s="106"/>
      <c r="E264" s="106"/>
      <c r="F264" s="106"/>
      <c r="G264" s="106"/>
      <c r="H264" s="43"/>
      <c r="I264" s="166">
        <f>+I260-I261-I262-I263</f>
        <v>4057.1749985964479</v>
      </c>
      <c r="J264" s="41"/>
      <c r="K264" s="41"/>
      <c r="M264" s="40"/>
      <c r="N264" s="41"/>
      <c r="O264" s="44"/>
      <c r="P264" s="54"/>
      <c r="Q264" s="40"/>
    </row>
    <row r="265" spans="1:17">
      <c r="A265" s="49"/>
      <c r="B265" s="168"/>
      <c r="C265" s="49"/>
      <c r="D265" s="106"/>
      <c r="E265" s="106"/>
      <c r="F265" s="106"/>
      <c r="G265" s="106"/>
      <c r="H265" s="43"/>
      <c r="I265" s="166"/>
      <c r="J265" s="41"/>
      <c r="K265" s="41"/>
      <c r="M265" s="111"/>
      <c r="N265" s="169"/>
      <c r="O265" s="113"/>
      <c r="P265" s="170"/>
      <c r="Q265" s="111"/>
    </row>
    <row r="266" spans="1:17">
      <c r="A266" s="49"/>
      <c r="B266" s="168"/>
      <c r="C266" s="49"/>
      <c r="D266" s="106"/>
      <c r="E266" s="106"/>
      <c r="F266" s="106"/>
      <c r="G266" s="106"/>
      <c r="H266" s="43"/>
      <c r="I266" s="166"/>
      <c r="J266" s="41"/>
      <c r="K266" s="41"/>
      <c r="L266" s="167"/>
      <c r="N266" s="41"/>
      <c r="O266" s="44"/>
      <c r="P266" s="54"/>
    </row>
    <row r="267" spans="1:17">
      <c r="A267" s="49"/>
      <c r="B267" s="168"/>
      <c r="C267" s="49"/>
      <c r="D267" s="106"/>
      <c r="E267" s="106"/>
      <c r="F267" s="106"/>
      <c r="G267" s="106"/>
      <c r="H267" s="43"/>
      <c r="I267" s="166"/>
      <c r="J267" s="41"/>
      <c r="K267" s="41"/>
      <c r="L267" s="167"/>
      <c r="N267" s="41"/>
      <c r="O267" s="44"/>
      <c r="P267" s="54"/>
    </row>
    <row r="268" spans="1:17">
      <c r="A268" s="49"/>
      <c r="B268" s="168"/>
      <c r="C268" s="49"/>
      <c r="D268" s="106"/>
      <c r="E268" s="106"/>
      <c r="F268" s="106"/>
      <c r="G268" s="106"/>
      <c r="H268" s="43"/>
      <c r="I268" s="166"/>
      <c r="J268" s="41"/>
      <c r="K268" s="115" t="s">
        <v>480</v>
      </c>
      <c r="L268" s="167"/>
      <c r="N268" s="41"/>
      <c r="O268" s="44"/>
      <c r="P268" s="54"/>
    </row>
    <row r="269" spans="1:17">
      <c r="B269" s="41"/>
      <c r="C269" s="41"/>
      <c r="E269" s="41"/>
      <c r="F269" s="41"/>
      <c r="G269" s="41"/>
      <c r="H269" s="43"/>
      <c r="I269" s="43"/>
      <c r="K269" s="45" t="s">
        <v>420</v>
      </c>
      <c r="L269" s="44"/>
      <c r="N269" s="44"/>
      <c r="O269" s="44"/>
      <c r="P269" s="44"/>
    </row>
    <row r="270" spans="1:17">
      <c r="A270" s="49"/>
      <c r="B270" s="168" t="str">
        <f>B4</f>
        <v xml:space="preserve">Formula Rate - Non-Levelized </v>
      </c>
      <c r="C270" s="456" t="str">
        <f>D4</f>
        <v xml:space="preserve">   Rate Formula Template</v>
      </c>
      <c r="D270" s="456"/>
      <c r="E270" s="55"/>
      <c r="F270" s="55"/>
      <c r="G270" s="55"/>
      <c r="H270" s="171"/>
      <c r="J270" s="44"/>
      <c r="K270" s="172" t="str">
        <f>K4</f>
        <v>For the 12 months ended 12/31/2013</v>
      </c>
      <c r="L270" s="44"/>
      <c r="N270" s="44"/>
      <c r="O270" s="44"/>
      <c r="P270" s="44"/>
    </row>
    <row r="271" spans="1:17">
      <c r="A271" s="49"/>
      <c r="B271" s="168"/>
      <c r="C271" s="49"/>
      <c r="D271" s="55" t="str">
        <f>D5</f>
        <v>Utilizing EIA Form 412 Data</v>
      </c>
      <c r="E271" s="55"/>
      <c r="F271" s="55"/>
      <c r="G271" s="55"/>
      <c r="H271" s="43"/>
      <c r="I271" s="173"/>
      <c r="J271" s="158"/>
      <c r="K271" s="174"/>
      <c r="L271" s="44"/>
      <c r="N271" s="44"/>
      <c r="O271" s="44"/>
      <c r="P271" s="44"/>
    </row>
    <row r="272" spans="1:17">
      <c r="A272" s="49"/>
      <c r="B272" s="168"/>
      <c r="C272" s="49"/>
      <c r="D272" s="55" t="str">
        <f>D7</f>
        <v>Benson (Minnesota) Municipal Utilities</v>
      </c>
      <c r="E272" s="55"/>
      <c r="F272" s="55"/>
      <c r="G272" s="55"/>
      <c r="H272" s="43"/>
      <c r="I272" s="173"/>
      <c r="J272" s="158"/>
      <c r="K272" s="174"/>
      <c r="L272" s="44"/>
      <c r="N272" s="44"/>
      <c r="O272" s="44"/>
      <c r="P272" s="44"/>
    </row>
    <row r="273" spans="1:16">
      <c r="A273" s="49"/>
      <c r="B273" s="41" t="s">
        <v>421</v>
      </c>
      <c r="C273" s="49"/>
      <c r="D273" s="55"/>
      <c r="E273" s="55"/>
      <c r="F273" s="55"/>
      <c r="G273" s="55"/>
      <c r="H273" s="43"/>
      <c r="I273" s="55"/>
      <c r="J273" s="158"/>
      <c r="K273" s="174"/>
      <c r="L273" s="44"/>
      <c r="N273" s="49"/>
      <c r="O273" s="44"/>
      <c r="P273" s="54"/>
    </row>
    <row r="274" spans="1:16">
      <c r="A274" s="49"/>
      <c r="B274" s="175" t="s">
        <v>422</v>
      </c>
      <c r="C274" s="49"/>
      <c r="D274" s="55"/>
      <c r="E274" s="55"/>
      <c r="F274" s="55"/>
      <c r="G274" s="55"/>
      <c r="H274" s="43"/>
      <c r="I274" s="55"/>
      <c r="J274" s="43"/>
      <c r="K274" s="55"/>
      <c r="L274" s="44"/>
      <c r="N274" s="49"/>
      <c r="O274" s="44"/>
      <c r="P274" s="54"/>
    </row>
    <row r="275" spans="1:16">
      <c r="B275" s="175" t="s">
        <v>423</v>
      </c>
      <c r="C275" s="49"/>
      <c r="D275" s="55"/>
      <c r="E275" s="55"/>
      <c r="F275" s="55"/>
      <c r="G275" s="55"/>
      <c r="H275" s="43"/>
      <c r="I275" s="55"/>
      <c r="J275" s="43"/>
      <c r="K275" s="55"/>
      <c r="L275" s="44"/>
      <c r="N275" s="49"/>
      <c r="O275" s="44"/>
      <c r="P275" s="44"/>
    </row>
    <row r="276" spans="1:16">
      <c r="A276" s="49" t="s">
        <v>424</v>
      </c>
      <c r="B276" s="41" t="s">
        <v>425</v>
      </c>
      <c r="C276" s="43"/>
      <c r="D276" s="55"/>
      <c r="E276" s="55"/>
      <c r="F276" s="55"/>
      <c r="G276" s="61"/>
      <c r="H276" s="43"/>
      <c r="I276" s="55"/>
      <c r="J276" s="43"/>
      <c r="K276" s="55"/>
      <c r="L276" s="44"/>
      <c r="N276" s="49"/>
      <c r="O276" s="44"/>
      <c r="P276" s="44"/>
    </row>
    <row r="277" spans="1:16" ht="16.5" thickBot="1">
      <c r="A277" s="51" t="s">
        <v>426</v>
      </c>
      <c r="C277" s="43"/>
      <c r="D277" s="55"/>
      <c r="E277" s="55"/>
      <c r="F277" s="55"/>
      <c r="G277" s="55"/>
      <c r="H277" s="43"/>
      <c r="I277" s="55"/>
      <c r="J277" s="43"/>
      <c r="K277" s="55"/>
      <c r="L277" s="44"/>
      <c r="N277" s="49"/>
      <c r="O277" s="44"/>
      <c r="P277" s="44"/>
    </row>
    <row r="278" spans="1:16" ht="32.25" customHeight="1">
      <c r="A278" s="176" t="s">
        <v>427</v>
      </c>
      <c r="B278" s="452" t="s">
        <v>428</v>
      </c>
      <c r="C278" s="452"/>
      <c r="D278" s="452"/>
      <c r="E278" s="452"/>
      <c r="F278" s="452"/>
      <c r="G278" s="452"/>
      <c r="H278" s="452"/>
      <c r="I278" s="452"/>
      <c r="J278" s="452"/>
      <c r="K278" s="452"/>
      <c r="L278" s="44"/>
      <c r="N278" s="49"/>
      <c r="O278" s="44"/>
      <c r="P278" s="44"/>
    </row>
    <row r="279" spans="1:16" ht="63" customHeight="1">
      <c r="A279" s="176" t="s">
        <v>429</v>
      </c>
      <c r="B279" s="452" t="s">
        <v>430</v>
      </c>
      <c r="C279" s="452"/>
      <c r="D279" s="452"/>
      <c r="E279" s="452"/>
      <c r="F279" s="452"/>
      <c r="G279" s="452"/>
      <c r="H279" s="452"/>
      <c r="I279" s="452"/>
      <c r="J279" s="452"/>
      <c r="K279" s="452"/>
      <c r="L279" s="44"/>
      <c r="N279" s="49"/>
      <c r="O279" s="44"/>
      <c r="P279" s="44"/>
    </row>
    <row r="280" spans="1:16">
      <c r="A280" s="176" t="s">
        <v>431</v>
      </c>
      <c r="B280" s="452" t="s">
        <v>432</v>
      </c>
      <c r="C280" s="452"/>
      <c r="D280" s="452"/>
      <c r="E280" s="452"/>
      <c r="F280" s="452"/>
      <c r="G280" s="452"/>
      <c r="H280" s="452"/>
      <c r="I280" s="452"/>
      <c r="J280" s="452"/>
      <c r="K280" s="452"/>
      <c r="L280" s="44"/>
      <c r="N280" s="49"/>
      <c r="O280" s="44"/>
      <c r="P280" s="44"/>
    </row>
    <row r="281" spans="1:16">
      <c r="A281" s="176" t="s">
        <v>433</v>
      </c>
      <c r="B281" s="452" t="s">
        <v>432</v>
      </c>
      <c r="C281" s="452"/>
      <c r="D281" s="452"/>
      <c r="E281" s="452"/>
      <c r="F281" s="452"/>
      <c r="G281" s="452"/>
      <c r="H281" s="452"/>
      <c r="I281" s="452"/>
      <c r="J281" s="452"/>
      <c r="K281" s="452"/>
      <c r="L281" s="44"/>
      <c r="N281" s="49"/>
      <c r="O281" s="44"/>
      <c r="P281" s="44"/>
    </row>
    <row r="282" spans="1:16">
      <c r="A282" s="176" t="s">
        <v>434</v>
      </c>
      <c r="B282" s="452" t="s">
        <v>491</v>
      </c>
      <c r="C282" s="452"/>
      <c r="D282" s="452"/>
      <c r="E282" s="452"/>
      <c r="F282" s="452"/>
      <c r="G282" s="452"/>
      <c r="H282" s="452"/>
      <c r="I282" s="452"/>
      <c r="J282" s="452"/>
      <c r="K282" s="452"/>
      <c r="L282" s="44"/>
      <c r="N282" s="49"/>
      <c r="O282" s="44"/>
      <c r="P282" s="44"/>
    </row>
    <row r="283" spans="1:16" ht="48" customHeight="1">
      <c r="A283" s="176" t="s">
        <v>435</v>
      </c>
      <c r="B283" s="457" t="s">
        <v>436</v>
      </c>
      <c r="C283" s="457"/>
      <c r="D283" s="457"/>
      <c r="E283" s="457"/>
      <c r="F283" s="457"/>
      <c r="G283" s="457"/>
      <c r="H283" s="457"/>
      <c r="I283" s="457"/>
      <c r="J283" s="457"/>
      <c r="K283" s="457"/>
      <c r="L283" s="44"/>
      <c r="N283" s="49"/>
      <c r="O283" s="44"/>
      <c r="P283" s="44"/>
    </row>
    <row r="284" spans="1:16">
      <c r="A284" s="176" t="s">
        <v>437</v>
      </c>
      <c r="B284" s="457" t="s">
        <v>438</v>
      </c>
      <c r="C284" s="457"/>
      <c r="D284" s="457"/>
      <c r="E284" s="457"/>
      <c r="F284" s="457"/>
      <c r="G284" s="457"/>
      <c r="H284" s="457"/>
      <c r="I284" s="457"/>
      <c r="J284" s="457"/>
      <c r="K284" s="457"/>
      <c r="L284" s="44"/>
      <c r="N284" s="49"/>
      <c r="O284" s="44"/>
      <c r="P284" s="44"/>
    </row>
    <row r="285" spans="1:16" ht="32.25" customHeight="1">
      <c r="A285" s="176" t="s">
        <v>439</v>
      </c>
      <c r="B285" s="457" t="s">
        <v>440</v>
      </c>
      <c r="C285" s="457"/>
      <c r="D285" s="457"/>
      <c r="E285" s="457"/>
      <c r="F285" s="457"/>
      <c r="G285" s="457"/>
      <c r="H285" s="457"/>
      <c r="I285" s="457"/>
      <c r="J285" s="457"/>
      <c r="K285" s="457"/>
      <c r="L285" s="44"/>
      <c r="N285" s="49"/>
      <c r="O285" s="44"/>
      <c r="P285" s="44"/>
    </row>
    <row r="286" spans="1:16" ht="32.25" customHeight="1">
      <c r="A286" s="176" t="s">
        <v>441</v>
      </c>
      <c r="B286" s="452" t="s">
        <v>442</v>
      </c>
      <c r="C286" s="452"/>
      <c r="D286" s="452"/>
      <c r="E286" s="452"/>
      <c r="F286" s="452"/>
      <c r="G286" s="452"/>
      <c r="H286" s="452"/>
      <c r="I286" s="452"/>
      <c r="J286" s="452"/>
      <c r="K286" s="452"/>
      <c r="L286" s="44"/>
      <c r="N286" s="49"/>
      <c r="O286" s="44"/>
      <c r="P286" s="44"/>
    </row>
    <row r="287" spans="1:16" ht="32.25" customHeight="1">
      <c r="A287" s="176" t="s">
        <v>443</v>
      </c>
      <c r="B287" s="457" t="s">
        <v>444</v>
      </c>
      <c r="C287" s="457"/>
      <c r="D287" s="457"/>
      <c r="E287" s="457"/>
      <c r="F287" s="457"/>
      <c r="G287" s="457"/>
      <c r="H287" s="457"/>
      <c r="I287" s="457"/>
      <c r="J287" s="457"/>
      <c r="K287" s="457"/>
      <c r="L287" s="44"/>
      <c r="N287" s="49"/>
      <c r="O287" s="72"/>
      <c r="P287" s="44"/>
    </row>
    <row r="288" spans="1:16" ht="79.5" customHeight="1">
      <c r="A288" s="176" t="s">
        <v>445</v>
      </c>
      <c r="B288" s="457" t="s">
        <v>446</v>
      </c>
      <c r="C288" s="457"/>
      <c r="D288" s="457"/>
      <c r="E288" s="457"/>
      <c r="F288" s="457"/>
      <c r="G288" s="457"/>
      <c r="H288" s="457"/>
      <c r="I288" s="457"/>
      <c r="J288" s="457"/>
      <c r="K288" s="457"/>
      <c r="L288" s="44"/>
      <c r="N288" s="49"/>
      <c r="O288" s="44"/>
      <c r="P288" s="44"/>
    </row>
    <row r="289" spans="1:16">
      <c r="A289" s="176" t="s">
        <v>171</v>
      </c>
      <c r="B289" s="177" t="s">
        <v>447</v>
      </c>
      <c r="C289" s="178" t="s">
        <v>448</v>
      </c>
      <c r="D289" s="179">
        <v>0</v>
      </c>
      <c r="E289" s="178"/>
      <c r="F289" s="180"/>
      <c r="G289" s="180"/>
      <c r="H289" s="181"/>
      <c r="I289" s="180"/>
      <c r="J289" s="181"/>
      <c r="K289" s="180"/>
      <c r="L289" s="44"/>
      <c r="N289" s="49"/>
      <c r="O289" s="44"/>
      <c r="P289" s="44"/>
    </row>
    <row r="290" spans="1:16">
      <c r="A290" s="176"/>
      <c r="B290" s="178"/>
      <c r="C290" s="178" t="s">
        <v>449</v>
      </c>
      <c r="D290" s="179">
        <v>0</v>
      </c>
      <c r="E290" s="457" t="s">
        <v>450</v>
      </c>
      <c r="F290" s="457"/>
      <c r="G290" s="457"/>
      <c r="H290" s="457"/>
      <c r="I290" s="457"/>
      <c r="J290" s="457"/>
      <c r="K290" s="457"/>
      <c r="N290" s="49"/>
      <c r="O290" s="44"/>
      <c r="P290" s="44"/>
    </row>
    <row r="291" spans="1:16">
      <c r="A291" s="176"/>
      <c r="B291" s="178"/>
      <c r="C291" s="178" t="s">
        <v>451</v>
      </c>
      <c r="D291" s="179">
        <v>0</v>
      </c>
      <c r="E291" s="457" t="s">
        <v>452</v>
      </c>
      <c r="F291" s="457"/>
      <c r="G291" s="457"/>
      <c r="H291" s="457"/>
      <c r="I291" s="457"/>
      <c r="J291" s="457"/>
      <c r="K291" s="457"/>
      <c r="L291" s="44"/>
      <c r="N291" s="49"/>
      <c r="O291" s="44"/>
      <c r="P291" s="44"/>
    </row>
    <row r="292" spans="1:16">
      <c r="A292" s="176" t="s">
        <v>453</v>
      </c>
      <c r="B292" s="457" t="s">
        <v>454</v>
      </c>
      <c r="C292" s="457"/>
      <c r="D292" s="457"/>
      <c r="E292" s="457"/>
      <c r="F292" s="457"/>
      <c r="G292" s="457"/>
      <c r="H292" s="457"/>
      <c r="I292" s="457"/>
      <c r="J292" s="457"/>
      <c r="K292" s="457"/>
      <c r="L292" s="44"/>
      <c r="N292" s="49"/>
      <c r="O292" s="44"/>
      <c r="P292" s="44"/>
    </row>
    <row r="293" spans="1:16" ht="32.25" customHeight="1">
      <c r="A293" s="176" t="s">
        <v>455</v>
      </c>
      <c r="B293" s="457" t="s">
        <v>492</v>
      </c>
      <c r="C293" s="457"/>
      <c r="D293" s="457"/>
      <c r="E293" s="457"/>
      <c r="F293" s="457"/>
      <c r="G293" s="457"/>
      <c r="H293" s="457"/>
      <c r="I293" s="457"/>
      <c r="J293" s="457"/>
      <c r="K293" s="457"/>
      <c r="L293" s="182" t="s">
        <v>493</v>
      </c>
      <c r="N293" s="49"/>
      <c r="O293" s="44"/>
      <c r="P293" s="44"/>
    </row>
    <row r="294" spans="1:16" ht="48" customHeight="1">
      <c r="A294" s="176" t="s">
        <v>456</v>
      </c>
      <c r="B294" s="457" t="s">
        <v>457</v>
      </c>
      <c r="C294" s="457"/>
      <c r="D294" s="457"/>
      <c r="E294" s="457"/>
      <c r="F294" s="457"/>
      <c r="G294" s="457"/>
      <c r="H294" s="457"/>
      <c r="I294" s="457"/>
      <c r="J294" s="457"/>
      <c r="K294" s="457"/>
      <c r="L294" s="44"/>
      <c r="N294" s="49"/>
      <c r="O294" s="44"/>
      <c r="P294" s="44"/>
    </row>
    <row r="295" spans="1:16">
      <c r="A295" s="176" t="s">
        <v>458</v>
      </c>
      <c r="B295" s="457" t="s">
        <v>459</v>
      </c>
      <c r="C295" s="457"/>
      <c r="D295" s="457"/>
      <c r="E295" s="457"/>
      <c r="F295" s="457"/>
      <c r="G295" s="457"/>
      <c r="H295" s="457"/>
      <c r="I295" s="457"/>
      <c r="J295" s="457"/>
      <c r="K295" s="457"/>
      <c r="L295" s="44"/>
      <c r="N295" s="49"/>
      <c r="O295" s="72"/>
      <c r="P295" s="44"/>
    </row>
    <row r="296" spans="1:16" ht="48" customHeight="1">
      <c r="A296" s="176" t="s">
        <v>460</v>
      </c>
      <c r="B296" s="452" t="s">
        <v>461</v>
      </c>
      <c r="C296" s="452"/>
      <c r="D296" s="452"/>
      <c r="E296" s="452"/>
      <c r="F296" s="452"/>
      <c r="G296" s="452"/>
      <c r="H296" s="452"/>
      <c r="I296" s="452"/>
      <c r="J296" s="452"/>
      <c r="K296" s="452"/>
      <c r="L296" s="44"/>
      <c r="N296" s="49"/>
      <c r="O296" s="72"/>
      <c r="P296" s="44"/>
    </row>
    <row r="297" spans="1:16" ht="32.25" customHeight="1">
      <c r="A297" s="176" t="s">
        <v>462</v>
      </c>
      <c r="B297" s="457" t="s">
        <v>463</v>
      </c>
      <c r="C297" s="457"/>
      <c r="D297" s="457"/>
      <c r="E297" s="457"/>
      <c r="F297" s="457"/>
      <c r="G297" s="457"/>
      <c r="H297" s="457"/>
      <c r="I297" s="457"/>
      <c r="J297" s="457"/>
      <c r="K297" s="457"/>
      <c r="L297" s="44"/>
      <c r="N297" s="49"/>
      <c r="O297" s="44"/>
      <c r="P297" s="44"/>
    </row>
    <row r="298" spans="1:16">
      <c r="A298" s="176" t="s">
        <v>464</v>
      </c>
      <c r="B298" s="457" t="s">
        <v>465</v>
      </c>
      <c r="C298" s="457"/>
      <c r="D298" s="457"/>
      <c r="E298" s="457"/>
      <c r="F298" s="457"/>
      <c r="G298" s="457"/>
      <c r="H298" s="457"/>
      <c r="I298" s="457"/>
      <c r="J298" s="457"/>
      <c r="K298" s="457"/>
      <c r="L298" s="44"/>
      <c r="N298" s="49"/>
      <c r="O298" s="44"/>
      <c r="P298" s="44"/>
    </row>
    <row r="299" spans="1:16" ht="48" customHeight="1">
      <c r="A299" s="176" t="s">
        <v>466</v>
      </c>
      <c r="B299" s="457" t="s">
        <v>494</v>
      </c>
      <c r="C299" s="457"/>
      <c r="D299" s="457"/>
      <c r="E299" s="457"/>
      <c r="F299" s="457"/>
      <c r="G299" s="457"/>
      <c r="H299" s="457"/>
      <c r="I299" s="457"/>
      <c r="J299" s="457"/>
      <c r="K299" s="457"/>
      <c r="L299" s="44"/>
      <c r="N299" s="49"/>
      <c r="O299" s="44"/>
      <c r="P299" s="44"/>
    </row>
    <row r="300" spans="1:16" ht="65.25" customHeight="1">
      <c r="A300" s="183" t="s">
        <v>467</v>
      </c>
      <c r="B300" s="458" t="s">
        <v>468</v>
      </c>
      <c r="C300" s="458"/>
      <c r="D300" s="458"/>
      <c r="E300" s="458"/>
      <c r="F300" s="458"/>
      <c r="G300" s="458"/>
      <c r="H300" s="458"/>
      <c r="I300" s="458"/>
      <c r="J300" s="458"/>
      <c r="K300" s="458"/>
      <c r="L300" s="44"/>
      <c r="N300" s="49"/>
      <c r="O300" s="44"/>
      <c r="P300" s="44"/>
    </row>
    <row r="301" spans="1:16">
      <c r="A301" s="183" t="s">
        <v>469</v>
      </c>
      <c r="B301" s="458" t="s">
        <v>470</v>
      </c>
      <c r="C301" s="458"/>
      <c r="D301" s="458"/>
      <c r="E301" s="458"/>
      <c r="F301" s="458"/>
      <c r="G301" s="458"/>
      <c r="H301" s="458"/>
      <c r="I301" s="458"/>
      <c r="J301" s="458"/>
      <c r="K301" s="458"/>
      <c r="L301" s="44"/>
      <c r="N301" s="49"/>
      <c r="O301" s="44"/>
      <c r="P301" s="44"/>
    </row>
    <row r="302" spans="1:16">
      <c r="A302" s="184" t="s">
        <v>471</v>
      </c>
      <c r="B302" s="458" t="s">
        <v>495</v>
      </c>
      <c r="C302" s="458"/>
      <c r="D302" s="458"/>
      <c r="E302" s="458"/>
      <c r="F302" s="458"/>
      <c r="G302" s="458"/>
      <c r="H302" s="458"/>
      <c r="I302" s="458"/>
      <c r="J302" s="458"/>
      <c r="K302" s="458"/>
      <c r="L302" s="44"/>
      <c r="N302" s="88"/>
      <c r="O302" s="44"/>
      <c r="P302" s="44"/>
    </row>
    <row r="303" spans="1:16">
      <c r="A303" s="184" t="s">
        <v>472</v>
      </c>
      <c r="B303" s="458" t="s">
        <v>496</v>
      </c>
      <c r="C303" s="458"/>
      <c r="D303" s="458"/>
      <c r="E303" s="458"/>
      <c r="F303" s="458"/>
      <c r="G303" s="458"/>
      <c r="H303" s="458"/>
      <c r="I303" s="458"/>
      <c r="J303" s="458"/>
      <c r="K303" s="458"/>
      <c r="L303" s="44"/>
      <c r="N303" s="88"/>
      <c r="O303" s="44"/>
      <c r="P303" s="44"/>
    </row>
    <row r="304" spans="1:16" s="93" customFormat="1" ht="32.25" customHeight="1">
      <c r="A304" s="183" t="s">
        <v>473</v>
      </c>
      <c r="B304" s="458" t="s">
        <v>497</v>
      </c>
      <c r="C304" s="458"/>
      <c r="D304" s="458"/>
      <c r="E304" s="458"/>
      <c r="F304" s="458"/>
      <c r="G304" s="458"/>
      <c r="H304" s="458"/>
      <c r="I304" s="458"/>
      <c r="J304" s="458"/>
      <c r="K304" s="458"/>
      <c r="L304" s="47"/>
      <c r="N304" s="92"/>
      <c r="O304" s="47"/>
      <c r="P304" s="47"/>
    </row>
    <row r="305" spans="1:16" s="111" customFormat="1">
      <c r="A305" s="184" t="s">
        <v>474</v>
      </c>
      <c r="B305" s="458" t="s">
        <v>498</v>
      </c>
      <c r="C305" s="458"/>
      <c r="D305" s="458"/>
      <c r="E305" s="458"/>
      <c r="F305" s="458"/>
      <c r="G305" s="458"/>
      <c r="H305" s="458"/>
      <c r="I305" s="458"/>
      <c r="J305" s="458"/>
      <c r="K305" s="458"/>
      <c r="L305" s="113"/>
      <c r="N305" s="110"/>
      <c r="O305" s="113"/>
      <c r="P305" s="113"/>
    </row>
    <row r="306" spans="1:16" s="111" customFormat="1" ht="33" customHeight="1">
      <c r="A306" s="183" t="s">
        <v>475</v>
      </c>
      <c r="B306" s="458" t="s">
        <v>499</v>
      </c>
      <c r="C306" s="458"/>
      <c r="D306" s="458"/>
      <c r="E306" s="458"/>
      <c r="F306" s="458"/>
      <c r="G306" s="458"/>
      <c r="H306" s="458"/>
      <c r="I306" s="458"/>
      <c r="J306" s="458"/>
      <c r="K306" s="458"/>
      <c r="L306" s="113"/>
      <c r="N306" s="110"/>
      <c r="O306" s="113"/>
      <c r="P306" s="113"/>
    </row>
    <row r="307" spans="1:16" s="111" customFormat="1" ht="15" customHeight="1">
      <c r="A307" s="183" t="s">
        <v>476</v>
      </c>
      <c r="B307" s="185" t="s">
        <v>477</v>
      </c>
      <c r="C307" s="197"/>
      <c r="D307" s="197"/>
      <c r="E307" s="197"/>
      <c r="F307" s="197"/>
      <c r="G307" s="197"/>
      <c r="H307" s="197"/>
      <c r="I307" s="197"/>
      <c r="J307" s="197"/>
      <c r="K307" s="197"/>
      <c r="L307" s="113"/>
      <c r="N307" s="110"/>
      <c r="O307" s="113"/>
      <c r="P307" s="113"/>
    </row>
    <row r="308" spans="1:16" s="111" customFormat="1" ht="15" customHeight="1">
      <c r="A308" s="183" t="s">
        <v>478</v>
      </c>
      <c r="B308" s="186" t="s">
        <v>479</v>
      </c>
      <c r="C308" s="197"/>
      <c r="D308" s="197"/>
      <c r="E308" s="197"/>
      <c r="F308" s="197"/>
      <c r="G308" s="197"/>
      <c r="H308" s="197"/>
      <c r="I308" s="197"/>
      <c r="J308" s="197"/>
      <c r="K308" s="197"/>
      <c r="L308" s="113"/>
      <c r="N308" s="110"/>
      <c r="O308" s="113"/>
      <c r="P308" s="113"/>
    </row>
    <row r="309" spans="1:16" s="111" customFormat="1" ht="15" customHeight="1">
      <c r="A309" s="198"/>
      <c r="B309" s="199"/>
      <c r="C309" s="197"/>
      <c r="D309" s="197"/>
      <c r="E309" s="197"/>
      <c r="F309" s="197"/>
      <c r="G309" s="197"/>
      <c r="H309" s="197"/>
      <c r="I309" s="197"/>
      <c r="J309" s="197"/>
      <c r="K309" s="197"/>
      <c r="L309" s="113"/>
      <c r="N309" s="110"/>
      <c r="O309" s="113"/>
      <c r="P309" s="113"/>
    </row>
    <row r="310" spans="1:16" s="111" customFormat="1" ht="15" customHeight="1">
      <c r="A310" s="183"/>
      <c r="B310" s="187"/>
      <c r="C310" s="181"/>
      <c r="D310" s="181"/>
      <c r="E310" s="181"/>
      <c r="F310" s="181"/>
      <c r="G310" s="181"/>
      <c r="H310" s="181"/>
      <c r="I310" s="181"/>
      <c r="J310" s="181"/>
      <c r="K310" s="181"/>
      <c r="L310" s="113"/>
      <c r="N310" s="110"/>
      <c r="O310" s="113"/>
      <c r="P310" s="113"/>
    </row>
    <row r="311" spans="1:16">
      <c r="A311" s="49"/>
      <c r="B311" s="43"/>
      <c r="C311" s="43"/>
      <c r="D311" s="43"/>
      <c r="E311" s="43"/>
      <c r="F311" s="43"/>
      <c r="G311" s="43"/>
      <c r="H311" s="43"/>
      <c r="I311" s="43"/>
      <c r="J311" s="43"/>
      <c r="K311" s="43"/>
      <c r="N311" s="49"/>
      <c r="O311" s="44"/>
      <c r="P311" s="44"/>
    </row>
    <row r="312" spans="1:16">
      <c r="A312" s="49"/>
      <c r="B312" s="43"/>
      <c r="C312" s="43"/>
      <c r="D312" s="43"/>
      <c r="E312" s="43"/>
      <c r="F312" s="43"/>
      <c r="G312" s="43"/>
      <c r="H312" s="43"/>
      <c r="I312" s="43"/>
      <c r="J312" s="43"/>
      <c r="K312" s="43"/>
      <c r="N312" s="49"/>
      <c r="O312" s="44"/>
      <c r="P312" s="44"/>
    </row>
    <row r="313" spans="1:16">
      <c r="A313" s="49"/>
      <c r="B313" s="43"/>
      <c r="C313" s="43"/>
      <c r="D313" s="43"/>
      <c r="E313" s="43"/>
      <c r="F313" s="43"/>
      <c r="G313" s="43"/>
      <c r="H313" s="43"/>
      <c r="I313" s="43"/>
      <c r="J313" s="43"/>
      <c r="K313" s="43"/>
      <c r="N313" s="49"/>
      <c r="O313" s="44"/>
      <c r="P313" s="44"/>
    </row>
    <row r="314" spans="1:16">
      <c r="A314" s="49"/>
      <c r="B314" s="43"/>
      <c r="C314" s="43"/>
      <c r="D314" s="43"/>
      <c r="E314" s="43"/>
      <c r="F314" s="43"/>
      <c r="G314" s="43"/>
      <c r="H314" s="43"/>
      <c r="I314" s="43"/>
      <c r="J314" s="43"/>
      <c r="K314" s="43"/>
      <c r="N314" s="49"/>
      <c r="O314" s="44"/>
      <c r="P314" s="44"/>
    </row>
    <row r="315" spans="1:16">
      <c r="A315" s="49"/>
      <c r="B315" s="43"/>
      <c r="C315" s="43"/>
      <c r="D315" s="43"/>
      <c r="E315" s="43"/>
      <c r="F315" s="43"/>
      <c r="G315" s="43"/>
      <c r="H315" s="43"/>
      <c r="I315" s="43"/>
      <c r="J315" s="43"/>
      <c r="K315" s="43"/>
      <c r="N315" s="49"/>
      <c r="O315" s="44"/>
      <c r="P315" s="44"/>
    </row>
    <row r="316" spans="1:16">
      <c r="A316" s="49"/>
      <c r="B316" s="43"/>
      <c r="C316" s="43"/>
      <c r="D316" s="43"/>
      <c r="E316" s="43"/>
      <c r="F316" s="43"/>
      <c r="G316" s="43"/>
      <c r="H316" s="43"/>
      <c r="I316" s="43"/>
      <c r="J316" s="43"/>
      <c r="K316" s="43"/>
      <c r="N316" s="49"/>
      <c r="O316" s="44"/>
      <c r="P316" s="44"/>
    </row>
    <row r="317" spans="1:16">
      <c r="A317" s="49"/>
      <c r="B317" s="43"/>
      <c r="C317" s="43"/>
      <c r="D317" s="43"/>
      <c r="E317" s="43"/>
      <c r="F317" s="43"/>
      <c r="G317" s="43"/>
      <c r="H317" s="43"/>
      <c r="I317" s="43"/>
      <c r="J317" s="43"/>
      <c r="K317" s="43"/>
      <c r="N317" s="49"/>
      <c r="O317" s="44"/>
      <c r="P317" s="44"/>
    </row>
    <row r="318" spans="1:16">
      <c r="A318" s="49"/>
      <c r="B318" s="43"/>
      <c r="C318" s="43"/>
      <c r="D318" s="43"/>
      <c r="E318" s="43"/>
      <c r="F318" s="43"/>
      <c r="G318" s="43"/>
      <c r="H318" s="43"/>
      <c r="I318" s="43"/>
      <c r="J318" s="43"/>
      <c r="K318" s="43"/>
      <c r="N318" s="49"/>
      <c r="O318" s="44"/>
      <c r="P318" s="44"/>
    </row>
    <row r="319" spans="1:16">
      <c r="A319" s="49"/>
      <c r="B319" s="43"/>
      <c r="C319" s="43"/>
      <c r="D319" s="43"/>
      <c r="E319" s="43"/>
      <c r="F319" s="43"/>
      <c r="G319" s="43"/>
      <c r="H319" s="43"/>
      <c r="I319" s="43"/>
      <c r="J319" s="43"/>
      <c r="K319" s="43"/>
      <c r="N319" s="49"/>
      <c r="O319" s="44"/>
      <c r="P319" s="44"/>
    </row>
    <row r="320" spans="1:16">
      <c r="A320" s="49"/>
      <c r="B320" s="43"/>
      <c r="C320" s="43"/>
      <c r="D320" s="43"/>
      <c r="E320" s="43"/>
      <c r="F320" s="43"/>
      <c r="G320" s="43"/>
      <c r="H320" s="43"/>
      <c r="I320" s="43"/>
      <c r="J320" s="43"/>
      <c r="K320" s="43"/>
      <c r="N320" s="49"/>
      <c r="O320" s="44"/>
      <c r="P320" s="44"/>
    </row>
    <row r="321" spans="1:16">
      <c r="A321" s="49"/>
      <c r="B321" s="43"/>
      <c r="C321" s="43"/>
      <c r="D321" s="43"/>
      <c r="E321" s="43"/>
      <c r="F321" s="43"/>
      <c r="G321" s="43"/>
      <c r="H321" s="43"/>
      <c r="I321" s="43"/>
      <c r="J321" s="43"/>
      <c r="K321" s="43"/>
      <c r="N321" s="49"/>
      <c r="O321" s="44"/>
      <c r="P321" s="44"/>
    </row>
    <row r="322" spans="1:16">
      <c r="A322" s="49"/>
      <c r="B322" s="43"/>
      <c r="C322" s="43"/>
      <c r="D322" s="43"/>
      <c r="E322" s="43"/>
      <c r="F322" s="43"/>
      <c r="G322" s="43"/>
      <c r="H322" s="43"/>
      <c r="I322" s="43"/>
      <c r="J322" s="43"/>
      <c r="K322" s="43"/>
      <c r="N322" s="49"/>
      <c r="O322" s="44"/>
      <c r="P322" s="44"/>
    </row>
    <row r="323" spans="1:16">
      <c r="A323" s="49"/>
      <c r="B323" s="43"/>
      <c r="C323" s="43"/>
      <c r="D323" s="43"/>
      <c r="E323" s="43"/>
      <c r="F323" s="43"/>
      <c r="G323" s="43"/>
      <c r="H323" s="43"/>
      <c r="I323" s="43"/>
      <c r="J323" s="43"/>
      <c r="K323" s="43"/>
      <c r="N323" s="49"/>
      <c r="O323" s="44"/>
      <c r="P323" s="44"/>
    </row>
    <row r="324" spans="1:16">
      <c r="A324" s="49"/>
      <c r="B324" s="43"/>
      <c r="C324" s="43"/>
      <c r="D324" s="43"/>
      <c r="E324" s="43"/>
      <c r="F324" s="43"/>
      <c r="G324" s="43"/>
      <c r="H324" s="43"/>
      <c r="I324" s="43"/>
      <c r="J324" s="43"/>
      <c r="K324" s="43"/>
      <c r="N324" s="49"/>
      <c r="O324" s="44"/>
      <c r="P324" s="44"/>
    </row>
    <row r="325" spans="1:16">
      <c r="A325" s="49"/>
      <c r="B325" s="43"/>
      <c r="C325" s="43"/>
      <c r="D325" s="43"/>
      <c r="E325" s="43"/>
      <c r="F325" s="43"/>
      <c r="G325" s="43"/>
      <c r="H325" s="43"/>
      <c r="I325" s="43"/>
      <c r="J325" s="43"/>
      <c r="K325" s="43"/>
      <c r="N325" s="49"/>
      <c r="O325" s="44"/>
      <c r="P325" s="44"/>
    </row>
    <row r="326" spans="1:16">
      <c r="B326" s="44"/>
      <c r="C326" s="44"/>
      <c r="D326" s="44"/>
      <c r="E326" s="44"/>
      <c r="F326" s="44"/>
      <c r="G326" s="44"/>
      <c r="H326" s="44"/>
      <c r="I326" s="44"/>
      <c r="J326" s="43"/>
      <c r="K326" s="43"/>
      <c r="N326" s="49"/>
      <c r="O326" s="44"/>
      <c r="P326" s="44"/>
    </row>
    <row r="327" spans="1:16">
      <c r="B327" s="44"/>
      <c r="C327" s="44"/>
      <c r="D327" s="44"/>
      <c r="E327" s="44"/>
      <c r="F327" s="44"/>
      <c r="G327" s="44"/>
      <c r="H327" s="44"/>
      <c r="I327" s="44"/>
      <c r="J327" s="44"/>
      <c r="K327" s="44"/>
      <c r="N327" s="49"/>
      <c r="O327" s="44"/>
      <c r="P327" s="44"/>
    </row>
    <row r="328" spans="1:16">
      <c r="B328" s="44"/>
      <c r="C328" s="44"/>
      <c r="D328" s="44"/>
      <c r="E328" s="44"/>
      <c r="F328" s="44"/>
      <c r="G328" s="44"/>
      <c r="H328" s="44"/>
      <c r="I328" s="44"/>
      <c r="J328" s="44"/>
      <c r="K328" s="44"/>
      <c r="N328" s="49"/>
      <c r="O328" s="44"/>
      <c r="P328" s="44"/>
    </row>
    <row r="329" spans="1:16">
      <c r="B329" s="44"/>
      <c r="C329" s="44"/>
      <c r="D329" s="44"/>
      <c r="E329" s="44"/>
      <c r="F329" s="44"/>
      <c r="G329" s="44"/>
      <c r="H329" s="44"/>
      <c r="I329" s="44"/>
      <c r="J329" s="44"/>
      <c r="K329" s="44"/>
      <c r="N329" s="44"/>
      <c r="O329" s="44"/>
      <c r="P329" s="44"/>
    </row>
    <row r="330" spans="1:16">
      <c r="B330" s="44"/>
      <c r="C330" s="44"/>
      <c r="D330" s="44"/>
      <c r="E330" s="44"/>
      <c r="F330" s="44"/>
      <c r="G330" s="44"/>
      <c r="H330" s="44"/>
      <c r="I330" s="44"/>
      <c r="J330" s="44"/>
      <c r="K330" s="44"/>
      <c r="N330" s="44"/>
      <c r="O330" s="44"/>
      <c r="P330" s="44"/>
    </row>
    <row r="331" spans="1:16">
      <c r="B331" s="44"/>
      <c r="C331" s="44"/>
      <c r="D331" s="44"/>
      <c r="E331" s="44"/>
      <c r="F331" s="44"/>
      <c r="G331" s="44"/>
      <c r="H331" s="44"/>
      <c r="I331" s="44"/>
      <c r="J331" s="44"/>
      <c r="K331" s="44"/>
      <c r="N331" s="44"/>
      <c r="O331" s="44"/>
      <c r="P331" s="44"/>
    </row>
    <row r="332" spans="1:16">
      <c r="B332" s="44"/>
      <c r="C332" s="44"/>
      <c r="D332" s="44"/>
      <c r="E332" s="44"/>
      <c r="F332" s="44"/>
      <c r="G332" s="44"/>
      <c r="H332" s="44"/>
      <c r="I332" s="44"/>
      <c r="J332" s="44"/>
      <c r="K332" s="44"/>
      <c r="N332" s="44"/>
      <c r="O332" s="44"/>
      <c r="P332" s="44"/>
    </row>
    <row r="333" spans="1:16">
      <c r="B333" s="44"/>
      <c r="C333" s="44"/>
      <c r="D333" s="44"/>
      <c r="E333" s="44"/>
      <c r="F333" s="44"/>
      <c r="G333" s="44"/>
      <c r="H333" s="44"/>
      <c r="I333" s="44"/>
      <c r="J333" s="44"/>
      <c r="K333" s="44"/>
      <c r="N333" s="44"/>
      <c r="O333" s="44"/>
      <c r="P333" s="44"/>
    </row>
    <row r="334" spans="1:16">
      <c r="B334" s="44"/>
      <c r="C334" s="44"/>
      <c r="D334" s="44"/>
      <c r="E334" s="44"/>
      <c r="F334" s="44"/>
      <c r="G334" s="44"/>
      <c r="H334" s="44"/>
      <c r="I334" s="44"/>
      <c r="J334" s="44"/>
      <c r="K334" s="44"/>
      <c r="N334" s="44"/>
      <c r="O334" s="44"/>
      <c r="P334" s="44"/>
    </row>
    <row r="335" spans="1:16">
      <c r="J335" s="44"/>
      <c r="K335" s="44"/>
      <c r="N335" s="44"/>
      <c r="O335" s="44"/>
      <c r="P335" s="44"/>
    </row>
    <row r="336" spans="1:16">
      <c r="N336" s="44"/>
      <c r="O336" s="44"/>
      <c r="P336" s="44"/>
    </row>
    <row r="337" spans="14:16">
      <c r="N337" s="44"/>
      <c r="O337" s="44"/>
      <c r="P337" s="44"/>
    </row>
  </sheetData>
  <mergeCells count="30">
    <mergeCell ref="B306:K306"/>
    <mergeCell ref="B295:K295"/>
    <mergeCell ref="B296:K296"/>
    <mergeCell ref="B297:K297"/>
    <mergeCell ref="B298:K298"/>
    <mergeCell ref="B299:K299"/>
    <mergeCell ref="B300:K300"/>
    <mergeCell ref="B301:K301"/>
    <mergeCell ref="B302:K302"/>
    <mergeCell ref="B303:K303"/>
    <mergeCell ref="B304:K304"/>
    <mergeCell ref="B305:K305"/>
    <mergeCell ref="B294:K294"/>
    <mergeCell ref="B282:K282"/>
    <mergeCell ref="B283:K283"/>
    <mergeCell ref="B284:K284"/>
    <mergeCell ref="B285:K285"/>
    <mergeCell ref="B286:K286"/>
    <mergeCell ref="B287:K287"/>
    <mergeCell ref="B288:K288"/>
    <mergeCell ref="E290:K290"/>
    <mergeCell ref="E291:K291"/>
    <mergeCell ref="B292:K292"/>
    <mergeCell ref="B293:K293"/>
    <mergeCell ref="B281:K281"/>
    <mergeCell ref="L219:Q219"/>
    <mergeCell ref="C270:D270"/>
    <mergeCell ref="B278:K278"/>
    <mergeCell ref="B279:K279"/>
    <mergeCell ref="B280:K280"/>
  </mergeCells>
  <pageMargins left="0.5" right="0.5" top="0.75" bottom="0.75" header="0.09" footer="0.5"/>
  <pageSetup scale="63" fitToHeight="5" orientation="portrait" horizontalDpi="300" verticalDpi="300" r:id="rId1"/>
  <headerFooter alignWithMargins="0"/>
  <rowBreaks count="4" manualBreakCount="4">
    <brk id="67" max="10" man="1"/>
    <brk id="133" max="10" man="1"/>
    <brk id="200" max="10" man="1"/>
    <brk id="26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6"/>
  <sheetViews>
    <sheetView zoomScale="90" zoomScaleNormal="90" workbookViewId="0">
      <selection activeCell="B40" sqref="B40"/>
    </sheetView>
  </sheetViews>
  <sheetFormatPr defaultRowHeight="15.75"/>
  <cols>
    <col min="1" max="1" width="9.140625" style="236" bestFit="1" customWidth="1"/>
    <col min="2" max="2" width="49.85546875" style="234" customWidth="1"/>
    <col min="3" max="3" width="2.28515625" style="234" customWidth="1"/>
    <col min="4" max="4" width="13.42578125" style="340" customWidth="1"/>
    <col min="5" max="16384" width="9.140625" style="234"/>
  </cols>
  <sheetData>
    <row r="1" spans="1:5">
      <c r="A1" s="479" t="s">
        <v>188</v>
      </c>
      <c r="B1" s="480"/>
      <c r="C1" s="480"/>
      <c r="D1" s="480"/>
      <c r="E1" s="480"/>
    </row>
    <row r="2" spans="1:5">
      <c r="A2" s="481"/>
      <c r="B2" s="481"/>
      <c r="C2" s="481"/>
      <c r="D2" s="481"/>
      <c r="E2" s="481"/>
    </row>
    <row r="3" spans="1:5">
      <c r="A3" s="481" t="s">
        <v>536</v>
      </c>
      <c r="B3" s="481"/>
      <c r="C3" s="481"/>
      <c r="D3" s="481"/>
      <c r="E3" s="481"/>
    </row>
    <row r="4" spans="1:5">
      <c r="A4" s="482" t="str">
        <f>+'[9]Nonlevelized-EIA 412'!K4</f>
        <v>For the 12 months ended 12/31/2013</v>
      </c>
      <c r="B4" s="482"/>
      <c r="C4" s="482"/>
      <c r="D4" s="482"/>
      <c r="E4" s="482"/>
    </row>
    <row r="5" spans="1:5">
      <c r="A5" s="483"/>
      <c r="B5" s="483"/>
      <c r="C5" s="483"/>
      <c r="D5" s="483"/>
      <c r="E5" s="483"/>
    </row>
    <row r="6" spans="1:5">
      <c r="A6" s="449" t="s">
        <v>537</v>
      </c>
    </row>
    <row r="7" spans="1:5">
      <c r="A7" s="235">
        <v>1</v>
      </c>
      <c r="B7" s="234" t="s">
        <v>538</v>
      </c>
      <c r="D7" s="450">
        <v>0</v>
      </c>
      <c r="E7" s="234" t="s">
        <v>539</v>
      </c>
    </row>
    <row r="8" spans="1:5">
      <c r="B8" s="234" t="s">
        <v>540</v>
      </c>
    </row>
    <row r="9" spans="1:5">
      <c r="B9" s="234" t="s">
        <v>541</v>
      </c>
    </row>
    <row r="11" spans="1:5">
      <c r="A11" s="235">
        <v>2</v>
      </c>
      <c r="B11" s="234" t="s">
        <v>542</v>
      </c>
    </row>
    <row r="12" spans="1:5">
      <c r="B12" s="234" t="s">
        <v>543</v>
      </c>
      <c r="D12" s="451"/>
    </row>
    <row r="13" spans="1:5">
      <c r="B13" s="234" t="s">
        <v>544</v>
      </c>
      <c r="D13" s="451"/>
    </row>
    <row r="14" spans="1:5">
      <c r="B14" s="234" t="s">
        <v>545</v>
      </c>
      <c r="D14" s="451"/>
    </row>
    <row r="15" spans="1:5">
      <c r="B15" s="234" t="s">
        <v>546</v>
      </c>
      <c r="D15" s="341">
        <f>SUM(D12:D14)</f>
        <v>0</v>
      </c>
    </row>
    <row r="17" spans="1:5">
      <c r="A17" s="235">
        <v>3</v>
      </c>
      <c r="B17" s="234" t="s">
        <v>547</v>
      </c>
      <c r="D17" s="450">
        <v>0</v>
      </c>
    </row>
    <row r="18" spans="1:5">
      <c r="B18" s="234" t="s">
        <v>548</v>
      </c>
    </row>
    <row r="20" spans="1:5">
      <c r="A20" s="235">
        <v>4</v>
      </c>
      <c r="B20" s="234" t="s">
        <v>547</v>
      </c>
      <c r="D20" s="450">
        <v>0</v>
      </c>
    </row>
    <row r="21" spans="1:5">
      <c r="B21" s="234" t="s">
        <v>549</v>
      </c>
    </row>
    <row r="22" spans="1:5">
      <c r="B22" s="234" t="s">
        <v>548</v>
      </c>
    </row>
    <row r="24" spans="1:5">
      <c r="A24" s="235">
        <v>5</v>
      </c>
      <c r="B24" s="234" t="s">
        <v>550</v>
      </c>
    </row>
    <row r="25" spans="1:5">
      <c r="B25" s="234" t="s">
        <v>551</v>
      </c>
      <c r="D25" s="451">
        <v>4905</v>
      </c>
    </row>
    <row r="26" spans="1:5">
      <c r="B26" s="234" t="s">
        <v>552</v>
      </c>
      <c r="D26" s="451">
        <v>3745</v>
      </c>
    </row>
    <row r="27" spans="1:5">
      <c r="B27" s="234" t="s">
        <v>553</v>
      </c>
      <c r="D27" s="450">
        <f>SUM(D25:D26)</f>
        <v>8650</v>
      </c>
    </row>
    <row r="29" spans="1:5">
      <c r="A29" s="235">
        <v>6</v>
      </c>
      <c r="B29" s="234" t="s">
        <v>554</v>
      </c>
      <c r="D29" s="450">
        <v>296073</v>
      </c>
    </row>
    <row r="30" spans="1:5">
      <c r="B30" s="234" t="s">
        <v>555</v>
      </c>
    </row>
    <row r="32" spans="1:5">
      <c r="A32" s="235">
        <v>7</v>
      </c>
      <c r="B32" s="234" t="s">
        <v>556</v>
      </c>
      <c r="D32" s="450">
        <v>4169</v>
      </c>
      <c r="E32" s="234" t="s">
        <v>1055</v>
      </c>
    </row>
    <row r="33" spans="1:4">
      <c r="B33" s="234" t="s">
        <v>557</v>
      </c>
    </row>
    <row r="35" spans="1:4">
      <c r="A35" s="235">
        <v>8</v>
      </c>
      <c r="B35" s="234" t="s">
        <v>558</v>
      </c>
      <c r="D35" s="450">
        <v>0</v>
      </c>
    </row>
    <row r="36" spans="1:4">
      <c r="B36" s="234" t="s">
        <v>559</v>
      </c>
    </row>
  </sheetData>
  <mergeCells count="5">
    <mergeCell ref="A1:E1"/>
    <mergeCell ref="A2:E2"/>
    <mergeCell ref="A3:E3"/>
    <mergeCell ref="A4:E4"/>
    <mergeCell ref="A5:E5"/>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76"/>
  <sheetViews>
    <sheetView zoomScale="80" workbookViewId="0">
      <selection activeCell="C43" sqref="C43"/>
    </sheetView>
  </sheetViews>
  <sheetFormatPr defaultRowHeight="12.75"/>
  <cols>
    <col min="1" max="1" width="6.7109375" style="239" customWidth="1"/>
    <col min="2" max="2" width="39.7109375" style="239" customWidth="1"/>
    <col min="3" max="3" width="16.7109375" style="239" customWidth="1"/>
    <col min="4" max="4" width="6.7109375" style="239" customWidth="1"/>
    <col min="5" max="5" width="39.7109375" style="239" customWidth="1"/>
    <col min="6" max="6" width="16.7109375" style="239" customWidth="1"/>
    <col min="7" max="16384" width="9.140625" style="239"/>
  </cols>
  <sheetData>
    <row r="1" spans="1:6" ht="15.75">
      <c r="A1" s="459" t="s">
        <v>188</v>
      </c>
      <c r="B1" s="459"/>
      <c r="C1" s="459"/>
      <c r="D1" s="459"/>
      <c r="E1" s="459"/>
      <c r="F1" s="459"/>
    </row>
    <row r="2" spans="1:6" ht="15">
      <c r="A2" s="460" t="s">
        <v>0</v>
      </c>
      <c r="B2" s="460"/>
      <c r="C2" s="460"/>
      <c r="D2" s="460"/>
      <c r="E2" s="460"/>
      <c r="F2" s="460"/>
    </row>
    <row r="3" spans="1:6" ht="15">
      <c r="A3" s="460" t="s">
        <v>175</v>
      </c>
      <c r="B3" s="460"/>
      <c r="C3" s="460"/>
      <c r="D3" s="460"/>
      <c r="E3" s="460"/>
      <c r="F3" s="460"/>
    </row>
    <row r="4" spans="1:6" ht="15.75">
      <c r="A4" s="461" t="s">
        <v>560</v>
      </c>
      <c r="B4" s="461"/>
      <c r="C4" s="461"/>
      <c r="D4" s="461"/>
      <c r="E4" s="461"/>
      <c r="F4" s="461"/>
    </row>
    <row r="6" spans="1:6" ht="15">
      <c r="A6" s="462" t="s">
        <v>90</v>
      </c>
      <c r="B6" s="462"/>
      <c r="C6" s="462"/>
      <c r="D6" s="462"/>
      <c r="E6" s="462"/>
      <c r="F6" s="462"/>
    </row>
    <row r="7" spans="1:6">
      <c r="A7" s="262" t="s">
        <v>1</v>
      </c>
      <c r="B7" s="255"/>
      <c r="C7" s="263" t="s">
        <v>4</v>
      </c>
      <c r="D7" s="263" t="s">
        <v>1</v>
      </c>
      <c r="E7" s="255"/>
      <c r="F7" s="263" t="s">
        <v>4</v>
      </c>
    </row>
    <row r="8" spans="1:6">
      <c r="A8" s="248" t="s">
        <v>2</v>
      </c>
      <c r="B8" s="247" t="s">
        <v>3</v>
      </c>
      <c r="C8" s="247" t="s">
        <v>7</v>
      </c>
      <c r="D8" s="247" t="s">
        <v>5</v>
      </c>
      <c r="E8" s="247" t="s">
        <v>6</v>
      </c>
      <c r="F8" s="247" t="s">
        <v>7</v>
      </c>
    </row>
    <row r="9" spans="1:6">
      <c r="A9" s="254"/>
      <c r="B9" s="2" t="s">
        <v>21</v>
      </c>
      <c r="C9" s="264"/>
      <c r="D9" s="262"/>
      <c r="E9" s="2" t="s">
        <v>52</v>
      </c>
      <c r="F9" s="264"/>
    </row>
    <row r="10" spans="1:6">
      <c r="A10" s="254">
        <v>1</v>
      </c>
      <c r="B10" s="265" t="s">
        <v>8</v>
      </c>
      <c r="C10" s="266"/>
      <c r="D10" s="254"/>
      <c r="E10" s="265"/>
      <c r="F10" s="266"/>
    </row>
    <row r="11" spans="1:6">
      <c r="A11" s="248"/>
      <c r="B11" s="267" t="s">
        <v>9</v>
      </c>
      <c r="C11" s="268">
        <v>13739035</v>
      </c>
      <c r="D11" s="248">
        <v>29</v>
      </c>
      <c r="E11" s="245" t="s">
        <v>53</v>
      </c>
      <c r="F11" s="269">
        <v>0</v>
      </c>
    </row>
    <row r="12" spans="1:6">
      <c r="A12" s="251">
        <v>2</v>
      </c>
      <c r="B12" s="270" t="s">
        <v>10</v>
      </c>
      <c r="C12" s="271"/>
      <c r="D12" s="251">
        <v>30</v>
      </c>
      <c r="E12" s="272" t="s">
        <v>54</v>
      </c>
      <c r="F12" s="273">
        <v>0</v>
      </c>
    </row>
    <row r="13" spans="1:6">
      <c r="A13" s="254">
        <v>3</v>
      </c>
      <c r="B13" s="265" t="s">
        <v>11</v>
      </c>
      <c r="C13" s="274"/>
      <c r="D13" s="254"/>
      <c r="E13" s="265"/>
      <c r="F13" s="266"/>
    </row>
    <row r="14" spans="1:6">
      <c r="A14" s="254"/>
      <c r="B14" s="275" t="s">
        <v>12</v>
      </c>
      <c r="C14" s="274"/>
      <c r="D14" s="254">
        <v>31</v>
      </c>
      <c r="E14" s="265" t="s">
        <v>55</v>
      </c>
      <c r="F14" s="266"/>
    </row>
    <row r="15" spans="1:6" ht="13.5" thickBot="1">
      <c r="A15" s="248"/>
      <c r="B15" s="267" t="s">
        <v>13</v>
      </c>
      <c r="C15" s="274">
        <v>6795789</v>
      </c>
      <c r="D15" s="248"/>
      <c r="E15" s="267" t="s">
        <v>56</v>
      </c>
      <c r="F15" s="274">
        <v>5085557</v>
      </c>
    </row>
    <row r="16" spans="1:6" ht="13.5" thickBot="1">
      <c r="A16" s="251">
        <v>4</v>
      </c>
      <c r="B16" s="15" t="s">
        <v>14</v>
      </c>
      <c r="C16" s="207">
        <f>+C11+C12-C15</f>
        <v>6943246</v>
      </c>
      <c r="D16" s="276">
        <v>32</v>
      </c>
      <c r="E16" s="14" t="s">
        <v>57</v>
      </c>
      <c r="F16" s="207">
        <f>+F15+F11+F12</f>
        <v>5085557</v>
      </c>
    </row>
    <row r="17" spans="1:6">
      <c r="A17" s="277">
        <v>5</v>
      </c>
      <c r="B17" s="278" t="s">
        <v>15</v>
      </c>
      <c r="C17" s="279">
        <v>0</v>
      </c>
      <c r="D17" s="254"/>
      <c r="E17" s="6" t="s">
        <v>58</v>
      </c>
      <c r="F17" s="274"/>
    </row>
    <row r="18" spans="1:6">
      <c r="A18" s="280">
        <v>6</v>
      </c>
      <c r="B18" s="281" t="s">
        <v>11</v>
      </c>
      <c r="C18" s="274"/>
      <c r="D18" s="263"/>
      <c r="E18" s="265"/>
      <c r="F18" s="274"/>
    </row>
    <row r="19" spans="1:6">
      <c r="A19" s="254"/>
      <c r="B19" s="275" t="s">
        <v>16</v>
      </c>
      <c r="C19" s="274"/>
      <c r="D19" s="254"/>
      <c r="E19" s="265"/>
      <c r="F19" s="274"/>
    </row>
    <row r="20" spans="1:6">
      <c r="A20" s="254"/>
      <c r="B20" s="275" t="s">
        <v>17</v>
      </c>
      <c r="C20" s="274">
        <v>0</v>
      </c>
      <c r="D20" s="248">
        <v>33</v>
      </c>
      <c r="E20" s="245" t="s">
        <v>59</v>
      </c>
      <c r="F20" s="282">
        <v>5875000</v>
      </c>
    </row>
    <row r="21" spans="1:6" ht="13.5" thickBot="1">
      <c r="A21" s="283">
        <v>7</v>
      </c>
      <c r="B21" s="19" t="s">
        <v>18</v>
      </c>
      <c r="C21" s="208"/>
      <c r="D21" s="263">
        <v>34</v>
      </c>
      <c r="E21" s="278" t="s">
        <v>60</v>
      </c>
      <c r="F21" s="274"/>
    </row>
    <row r="22" spans="1:6" ht="13.5" thickBot="1">
      <c r="A22" s="248"/>
      <c r="B22" s="18" t="s">
        <v>19</v>
      </c>
      <c r="C22" s="207">
        <f>+C16+C17-C20</f>
        <v>6943246</v>
      </c>
      <c r="D22" s="247"/>
      <c r="E22" s="267" t="s">
        <v>61</v>
      </c>
      <c r="F22" s="282">
        <v>0</v>
      </c>
    </row>
    <row r="23" spans="1:6">
      <c r="A23" s="254"/>
      <c r="B23" s="1" t="s">
        <v>20</v>
      </c>
      <c r="C23" s="274"/>
      <c r="D23" s="254">
        <v>35</v>
      </c>
      <c r="E23" s="278" t="s">
        <v>62</v>
      </c>
      <c r="F23" s="274"/>
    </row>
    <row r="24" spans="1:6">
      <c r="A24" s="248">
        <v>8</v>
      </c>
      <c r="B24" s="245" t="s">
        <v>22</v>
      </c>
      <c r="C24" s="284">
        <v>0</v>
      </c>
      <c r="D24" s="248"/>
      <c r="E24" s="285" t="s">
        <v>63</v>
      </c>
      <c r="F24" s="284">
        <v>0</v>
      </c>
    </row>
    <row r="25" spans="1:6">
      <c r="A25" s="254">
        <v>9</v>
      </c>
      <c r="B25" s="265" t="s">
        <v>11</v>
      </c>
      <c r="C25" s="286"/>
      <c r="D25" s="254">
        <v>36</v>
      </c>
      <c r="E25" s="278" t="s">
        <v>64</v>
      </c>
      <c r="F25" s="286"/>
    </row>
    <row r="26" spans="1:6">
      <c r="A26" s="248"/>
      <c r="B26" s="267" t="s">
        <v>23</v>
      </c>
      <c r="C26" s="284">
        <v>0</v>
      </c>
      <c r="D26" s="248"/>
      <c r="E26" s="267" t="s">
        <v>65</v>
      </c>
      <c r="F26" s="284">
        <v>0</v>
      </c>
    </row>
    <row r="27" spans="1:6" ht="13.5" thickBot="1">
      <c r="A27" s="254">
        <v>10</v>
      </c>
      <c r="B27" s="265" t="s">
        <v>24</v>
      </c>
      <c r="C27" s="286"/>
      <c r="D27" s="254"/>
      <c r="E27" s="278"/>
      <c r="F27" s="286"/>
    </row>
    <row r="28" spans="1:6" ht="13.5" thickBot="1">
      <c r="A28" s="248"/>
      <c r="B28" s="267" t="s">
        <v>25</v>
      </c>
      <c r="C28" s="284">
        <v>0</v>
      </c>
      <c r="D28" s="248">
        <v>37</v>
      </c>
      <c r="E28" s="20" t="s">
        <v>66</v>
      </c>
      <c r="F28" s="209">
        <f>+F20+F22+F24-F26</f>
        <v>5875000</v>
      </c>
    </row>
    <row r="29" spans="1:6" ht="13.5" thickBot="1">
      <c r="A29" s="251">
        <v>11</v>
      </c>
      <c r="B29" s="270" t="s">
        <v>26</v>
      </c>
      <c r="C29" s="287">
        <v>0</v>
      </c>
      <c r="D29" s="248"/>
      <c r="E29" s="245"/>
      <c r="F29" s="284"/>
    </row>
    <row r="30" spans="1:6" ht="13.5" thickBot="1">
      <c r="A30" s="251">
        <v>12</v>
      </c>
      <c r="B30" s="16" t="s">
        <v>27</v>
      </c>
      <c r="C30" s="209">
        <f>+C24+C26+C28+C29</f>
        <v>0</v>
      </c>
      <c r="D30" s="247"/>
      <c r="E30" s="7" t="s">
        <v>67</v>
      </c>
      <c r="F30" s="284"/>
    </row>
    <row r="31" spans="1:6">
      <c r="A31" s="254"/>
      <c r="B31" s="1" t="s">
        <v>28</v>
      </c>
      <c r="C31" s="286"/>
      <c r="D31" s="251">
        <v>38</v>
      </c>
      <c r="E31" s="272" t="s">
        <v>68</v>
      </c>
      <c r="F31" s="288">
        <f>40316+15234</f>
        <v>55550</v>
      </c>
    </row>
    <row r="32" spans="1:6" ht="13.5" thickBot="1">
      <c r="A32" s="254">
        <v>13</v>
      </c>
      <c r="B32" s="265" t="s">
        <v>29</v>
      </c>
      <c r="C32" s="286"/>
      <c r="D32" s="251">
        <v>39</v>
      </c>
      <c r="E32" s="272" t="s">
        <v>69</v>
      </c>
      <c r="F32" s="287">
        <v>0</v>
      </c>
    </row>
    <row r="33" spans="1:6" ht="13.5" thickBot="1">
      <c r="A33" s="248"/>
      <c r="B33" s="267" t="s">
        <v>30</v>
      </c>
      <c r="C33" s="284">
        <v>3773313</v>
      </c>
      <c r="D33" s="248">
        <v>40</v>
      </c>
      <c r="E33" s="17" t="s">
        <v>70</v>
      </c>
      <c r="F33" s="209">
        <f>SUM(F31:F32)</f>
        <v>55550</v>
      </c>
    </row>
    <row r="34" spans="1:6">
      <c r="A34" s="254">
        <v>14</v>
      </c>
      <c r="B34" s="265" t="s">
        <v>31</v>
      </c>
      <c r="C34" s="286"/>
      <c r="D34" s="254"/>
      <c r="E34" s="265"/>
      <c r="F34" s="286"/>
    </row>
    <row r="35" spans="1:6">
      <c r="A35" s="248"/>
      <c r="B35" s="267" t="s">
        <v>32</v>
      </c>
      <c r="C35" s="284">
        <f>14691+629</f>
        <v>15320</v>
      </c>
      <c r="D35" s="248"/>
      <c r="E35" s="7" t="s">
        <v>71</v>
      </c>
      <c r="F35" s="284"/>
    </row>
    <row r="36" spans="1:6">
      <c r="A36" s="251">
        <v>15</v>
      </c>
      <c r="B36" s="270" t="s">
        <v>33</v>
      </c>
      <c r="C36" s="288">
        <v>476466</v>
      </c>
      <c r="D36" s="248">
        <v>41</v>
      </c>
      <c r="E36" s="245" t="s">
        <v>72</v>
      </c>
      <c r="F36" s="284">
        <v>0</v>
      </c>
    </row>
    <row r="37" spans="1:6">
      <c r="A37" s="254">
        <v>16</v>
      </c>
      <c r="B37" s="265" t="s">
        <v>11</v>
      </c>
      <c r="C37" s="286"/>
      <c r="D37" s="254"/>
      <c r="E37" s="265"/>
      <c r="F37" s="286"/>
    </row>
    <row r="38" spans="1:6">
      <c r="A38" s="248"/>
      <c r="B38" s="267" t="s">
        <v>34</v>
      </c>
      <c r="C38" s="284">
        <v>0</v>
      </c>
      <c r="D38" s="248">
        <v>42</v>
      </c>
      <c r="E38" s="245" t="s">
        <v>73</v>
      </c>
      <c r="F38" s="284">
        <v>359201</v>
      </c>
    </row>
    <row r="39" spans="1:6">
      <c r="A39" s="254">
        <v>17</v>
      </c>
      <c r="B39" s="265" t="s">
        <v>35</v>
      </c>
      <c r="C39" s="286" t="s">
        <v>171</v>
      </c>
      <c r="D39" s="254">
        <v>43</v>
      </c>
      <c r="E39" s="278" t="s">
        <v>75</v>
      </c>
      <c r="F39" s="286"/>
    </row>
    <row r="40" spans="1:6">
      <c r="A40" s="248"/>
      <c r="B40" s="267" t="s">
        <v>36</v>
      </c>
      <c r="C40" s="284">
        <v>0</v>
      </c>
      <c r="D40" s="248"/>
      <c r="E40" s="267" t="s">
        <v>74</v>
      </c>
      <c r="F40" s="284">
        <v>110456</v>
      </c>
    </row>
    <row r="41" spans="1:6">
      <c r="A41" s="251">
        <v>18</v>
      </c>
      <c r="B41" s="270" t="s">
        <v>37</v>
      </c>
      <c r="C41" s="288">
        <v>178105</v>
      </c>
      <c r="D41" s="248">
        <v>44</v>
      </c>
      <c r="E41" s="245" t="s">
        <v>76</v>
      </c>
      <c r="F41" s="284">
        <v>2814</v>
      </c>
    </row>
    <row r="42" spans="1:6">
      <c r="A42" s="251">
        <v>19</v>
      </c>
      <c r="B42" s="270" t="s">
        <v>38</v>
      </c>
      <c r="C42" s="288">
        <v>0</v>
      </c>
      <c r="D42" s="248">
        <v>45</v>
      </c>
      <c r="E42" s="245" t="s">
        <v>77</v>
      </c>
      <c r="F42" s="284">
        <v>0</v>
      </c>
    </row>
    <row r="43" spans="1:6">
      <c r="A43" s="251">
        <v>20</v>
      </c>
      <c r="B43" s="270" t="s">
        <v>39</v>
      </c>
      <c r="C43" s="288">
        <v>33522</v>
      </c>
      <c r="D43" s="248">
        <v>46</v>
      </c>
      <c r="E43" s="245" t="s">
        <v>78</v>
      </c>
      <c r="F43" s="284">
        <v>24667</v>
      </c>
    </row>
    <row r="44" spans="1:6" ht="13.5" thickBot="1">
      <c r="A44" s="289">
        <v>21</v>
      </c>
      <c r="B44" s="270" t="s">
        <v>40</v>
      </c>
      <c r="C44" s="288">
        <v>0</v>
      </c>
      <c r="D44" s="248">
        <v>47</v>
      </c>
      <c r="E44" s="245" t="s">
        <v>79</v>
      </c>
      <c r="F44" s="286"/>
    </row>
    <row r="45" spans="1:6" ht="13.5" thickBot="1">
      <c r="A45" s="289">
        <v>22</v>
      </c>
      <c r="B45" s="270" t="s">
        <v>41</v>
      </c>
      <c r="C45" s="287">
        <v>0</v>
      </c>
      <c r="D45" s="248">
        <v>48</v>
      </c>
      <c r="E45" s="17" t="s">
        <v>80</v>
      </c>
      <c r="F45" s="22">
        <f>+F44+F43+F42+F41+F40+F38+F36</f>
        <v>497138</v>
      </c>
    </row>
    <row r="46" spans="1:6" ht="13.5" thickBot="1">
      <c r="A46" s="289">
        <v>23</v>
      </c>
      <c r="B46" s="16" t="s">
        <v>42</v>
      </c>
      <c r="C46" s="209">
        <f>+C33+C35+C36-C38+C40+C42+C43+C44+C45+C41</f>
        <v>4476726</v>
      </c>
      <c r="D46" s="247"/>
      <c r="E46" s="7" t="s">
        <v>84</v>
      </c>
      <c r="F46" s="290"/>
    </row>
    <row r="47" spans="1:6">
      <c r="A47" s="265"/>
      <c r="B47" s="1" t="s">
        <v>50</v>
      </c>
      <c r="C47" s="286"/>
      <c r="D47" s="280">
        <v>49</v>
      </c>
      <c r="E47" s="278" t="s">
        <v>85</v>
      </c>
      <c r="F47" s="291"/>
    </row>
    <row r="48" spans="1:6">
      <c r="A48" s="292">
        <v>24</v>
      </c>
      <c r="B48" s="245" t="s">
        <v>43</v>
      </c>
      <c r="C48" s="284">
        <v>0</v>
      </c>
      <c r="D48" s="248"/>
      <c r="E48" s="293" t="s">
        <v>86</v>
      </c>
      <c r="F48" s="290">
        <v>0</v>
      </c>
    </row>
    <row r="49" spans="1:6">
      <c r="A49" s="280">
        <v>25</v>
      </c>
      <c r="B49" s="265" t="s">
        <v>44</v>
      </c>
      <c r="C49" s="291"/>
      <c r="D49" s="280">
        <v>50</v>
      </c>
      <c r="E49" s="265" t="s">
        <v>87</v>
      </c>
      <c r="F49" s="291"/>
    </row>
    <row r="50" spans="1:6">
      <c r="A50" s="245"/>
      <c r="B50" s="267" t="s">
        <v>45</v>
      </c>
      <c r="C50" s="290">
        <v>0</v>
      </c>
      <c r="D50" s="248"/>
      <c r="E50" s="267" t="s">
        <v>88</v>
      </c>
      <c r="F50" s="290">
        <v>0</v>
      </c>
    </row>
    <row r="51" spans="1:6">
      <c r="A51" s="280">
        <v>26</v>
      </c>
      <c r="B51" s="265" t="s">
        <v>46</v>
      </c>
      <c r="C51" s="291"/>
      <c r="D51" s="254"/>
      <c r="E51" s="265"/>
      <c r="F51" s="291"/>
    </row>
    <row r="52" spans="1:6">
      <c r="A52" s="254"/>
      <c r="B52" s="275" t="s">
        <v>47</v>
      </c>
      <c r="C52" s="291"/>
      <c r="D52" s="254">
        <v>51</v>
      </c>
      <c r="E52" s="265" t="s">
        <v>83</v>
      </c>
      <c r="F52" s="291"/>
    </row>
    <row r="53" spans="1:6" ht="13.5" thickBot="1">
      <c r="A53" s="248"/>
      <c r="B53" s="267" t="s">
        <v>48</v>
      </c>
      <c r="C53" s="291">
        <v>93273</v>
      </c>
      <c r="D53" s="248"/>
      <c r="E53" s="293" t="s">
        <v>89</v>
      </c>
      <c r="F53" s="291">
        <v>0</v>
      </c>
    </row>
    <row r="54" spans="1:6" ht="13.5" thickBot="1">
      <c r="A54" s="251">
        <v>27</v>
      </c>
      <c r="B54" s="16" t="s">
        <v>49</v>
      </c>
      <c r="C54" s="22">
        <f>C48+C50+C53</f>
        <v>93273</v>
      </c>
      <c r="D54" s="247">
        <v>52</v>
      </c>
      <c r="E54" s="17" t="s">
        <v>82</v>
      </c>
      <c r="F54" s="22">
        <f>+F53+F50+F48</f>
        <v>0</v>
      </c>
    </row>
    <row r="55" spans="1:6" ht="13.5" thickBot="1">
      <c r="A55" s="254"/>
      <c r="B55" s="4"/>
      <c r="C55" s="23"/>
      <c r="D55" s="254"/>
      <c r="E55" s="265"/>
      <c r="F55" s="291"/>
    </row>
    <row r="56" spans="1:6" ht="13.5" thickBot="1">
      <c r="A56" s="294">
        <v>28</v>
      </c>
      <c r="B56" s="21" t="s">
        <v>51</v>
      </c>
      <c r="C56" s="24">
        <f>+C54+C46+C21+C22+C30</f>
        <v>11513245</v>
      </c>
      <c r="D56" s="295">
        <v>53</v>
      </c>
      <c r="E56" s="21" t="s">
        <v>81</v>
      </c>
      <c r="F56" s="24">
        <f>+F54+F45+F28+F16+F33</f>
        <v>11513245</v>
      </c>
    </row>
    <row r="57" spans="1:6">
      <c r="A57" s="259"/>
      <c r="B57" s="259"/>
      <c r="C57" s="296"/>
      <c r="D57" s="259"/>
      <c r="E57" s="259"/>
      <c r="F57" s="297">
        <f>+C56-F56</f>
        <v>0</v>
      </c>
    </row>
    <row r="58" spans="1:6">
      <c r="A58" s="259"/>
      <c r="B58" s="259"/>
      <c r="C58" s="296"/>
      <c r="D58" s="259"/>
      <c r="E58" s="259"/>
      <c r="F58" s="297"/>
    </row>
    <row r="59" spans="1:6">
      <c r="A59" s="259"/>
      <c r="B59" s="259"/>
      <c r="C59" s="260"/>
      <c r="D59" s="259"/>
      <c r="E59" s="259"/>
      <c r="F59" s="297"/>
    </row>
    <row r="60" spans="1:6">
      <c r="A60" s="259"/>
      <c r="B60" s="259"/>
      <c r="C60" s="260"/>
      <c r="D60" s="259"/>
      <c r="E60" s="259"/>
      <c r="F60" s="297"/>
    </row>
    <row r="61" spans="1:6">
      <c r="A61" s="259"/>
      <c r="B61" s="259"/>
      <c r="C61" s="260"/>
      <c r="D61" s="259"/>
      <c r="E61" s="259"/>
      <c r="F61" s="297"/>
    </row>
    <row r="62" spans="1:6">
      <c r="A62" s="259"/>
      <c r="B62" s="259"/>
      <c r="C62" s="260"/>
      <c r="D62" s="259"/>
      <c r="E62" s="259"/>
      <c r="F62" s="297"/>
    </row>
    <row r="63" spans="1:6">
      <c r="A63" s="259"/>
      <c r="B63" s="259"/>
      <c r="C63" s="260"/>
      <c r="D63" s="259"/>
      <c r="E63" s="259"/>
      <c r="F63" s="297"/>
    </row>
    <row r="64" spans="1:6">
      <c r="A64" s="259"/>
      <c r="B64" s="259"/>
      <c r="C64" s="260"/>
      <c r="D64" s="259"/>
      <c r="E64" s="259"/>
      <c r="F64" s="259"/>
    </row>
    <row r="65" spans="1:6">
      <c r="A65" s="259"/>
      <c r="B65" s="259"/>
      <c r="C65" s="260"/>
      <c r="D65" s="259"/>
      <c r="E65" s="259"/>
      <c r="F65" s="259"/>
    </row>
    <row r="66" spans="1:6">
      <c r="A66" s="259"/>
      <c r="B66" s="259"/>
      <c r="C66" s="260"/>
      <c r="D66" s="259"/>
      <c r="E66" s="259"/>
      <c r="F66" s="259"/>
    </row>
    <row r="67" spans="1:6">
      <c r="A67" s="259"/>
      <c r="B67" s="259"/>
      <c r="C67" s="260"/>
      <c r="D67" s="259"/>
      <c r="E67" s="259"/>
      <c r="F67" s="259"/>
    </row>
    <row r="68" spans="1:6">
      <c r="A68" s="259"/>
      <c r="B68" s="259"/>
      <c r="C68" s="260"/>
      <c r="D68" s="259"/>
      <c r="E68" s="259"/>
      <c r="F68" s="259"/>
    </row>
    <row r="69" spans="1:6">
      <c r="A69" s="259"/>
      <c r="B69" s="259"/>
      <c r="C69" s="259"/>
      <c r="D69" s="259"/>
      <c r="E69" s="259"/>
      <c r="F69" s="259"/>
    </row>
    <row r="70" spans="1:6">
      <c r="A70" s="259"/>
      <c r="B70" s="259"/>
      <c r="C70" s="259"/>
      <c r="D70" s="259"/>
      <c r="E70" s="259"/>
      <c r="F70" s="259"/>
    </row>
    <row r="71" spans="1:6">
      <c r="A71" s="259"/>
      <c r="B71" s="259"/>
      <c r="C71" s="259"/>
      <c r="D71" s="259"/>
      <c r="E71" s="259"/>
      <c r="F71" s="259"/>
    </row>
    <row r="72" spans="1:6">
      <c r="A72" s="259"/>
      <c r="B72" s="259"/>
      <c r="C72" s="259"/>
      <c r="D72" s="259"/>
      <c r="E72" s="259"/>
      <c r="F72" s="259"/>
    </row>
    <row r="73" spans="1:6">
      <c r="A73" s="259"/>
      <c r="B73" s="259"/>
      <c r="C73" s="259"/>
      <c r="D73" s="259"/>
      <c r="E73" s="259"/>
      <c r="F73" s="259"/>
    </row>
    <row r="74" spans="1:6">
      <c r="A74" s="259"/>
      <c r="B74" s="259"/>
      <c r="C74" s="259"/>
      <c r="D74" s="259"/>
      <c r="E74" s="259"/>
      <c r="F74" s="259"/>
    </row>
    <row r="75" spans="1:6">
      <c r="A75" s="259"/>
      <c r="B75" s="259"/>
      <c r="C75" s="259"/>
      <c r="D75" s="259"/>
      <c r="E75" s="259"/>
      <c r="F75" s="259"/>
    </row>
    <row r="76" spans="1:6">
      <c r="A76" s="259"/>
      <c r="B76" s="259"/>
      <c r="C76" s="259"/>
      <c r="D76" s="259"/>
      <c r="E76" s="259"/>
      <c r="F76" s="259"/>
    </row>
  </sheetData>
  <mergeCells count="5">
    <mergeCell ref="A1:F1"/>
    <mergeCell ref="A2:F2"/>
    <mergeCell ref="A4:F4"/>
    <mergeCell ref="A6:F6"/>
    <mergeCell ref="A3:F3"/>
  </mergeCells>
  <phoneticPr fontId="0" type="noConversion"/>
  <pageMargins left="0.47" right="0.45" top="1" bottom="0.5" header="0.5" footer="0.5"/>
  <pageSetup scale="76" orientation="portrait" r:id="rId1"/>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53"/>
  <sheetViews>
    <sheetView zoomScale="90" workbookViewId="0">
      <selection activeCell="J15" sqref="J15"/>
    </sheetView>
  </sheetViews>
  <sheetFormatPr defaultRowHeight="12.75"/>
  <cols>
    <col min="1" max="1" width="6.7109375" style="239" customWidth="1"/>
    <col min="2" max="2" width="77.140625" style="239" customWidth="1"/>
    <col min="3" max="3" width="16.7109375" style="239" customWidth="1"/>
    <col min="4" max="16384" width="9.140625" style="239"/>
  </cols>
  <sheetData>
    <row r="1" spans="1:6" ht="15.75">
      <c r="A1" s="459" t="str">
        <f>+'Sched 2 Balance sheet'!A1:F1</f>
        <v>Benson (Minnesota) Municipal Utilities</v>
      </c>
      <c r="B1" s="459"/>
      <c r="C1" s="459"/>
      <c r="D1" s="10"/>
      <c r="E1" s="10"/>
      <c r="F1" s="10"/>
    </row>
    <row r="2" spans="1:6" ht="15">
      <c r="A2" s="460" t="s">
        <v>0</v>
      </c>
      <c r="B2" s="460"/>
      <c r="C2" s="460"/>
      <c r="D2" s="10"/>
      <c r="E2" s="10"/>
      <c r="F2" s="10"/>
    </row>
    <row r="3" spans="1:6" ht="15">
      <c r="A3" s="460" t="s">
        <v>176</v>
      </c>
      <c r="B3" s="460"/>
      <c r="C3" s="460"/>
      <c r="D3" s="10"/>
      <c r="E3" s="10"/>
      <c r="F3" s="10"/>
    </row>
    <row r="4" spans="1:6" ht="15.75">
      <c r="A4" s="461" t="str">
        <f>+'Sched 2 Balance sheet'!A4:F4</f>
        <v>For the Year Ended December 31, 2013</v>
      </c>
      <c r="B4" s="461"/>
      <c r="C4" s="461"/>
      <c r="D4" s="11"/>
      <c r="E4" s="11"/>
      <c r="F4" s="11"/>
    </row>
    <row r="5" spans="1:6">
      <c r="A5" s="241"/>
      <c r="B5" s="241"/>
      <c r="C5" s="241"/>
      <c r="D5" s="241"/>
      <c r="E5" s="241"/>
      <c r="F5" s="241"/>
    </row>
    <row r="6" spans="1:6" ht="15">
      <c r="A6" s="462" t="s">
        <v>91</v>
      </c>
      <c r="B6" s="462"/>
      <c r="C6" s="462"/>
      <c r="D6" s="12"/>
      <c r="E6" s="12"/>
      <c r="F6" s="12"/>
    </row>
    <row r="7" spans="1:6">
      <c r="A7" s="242" t="s">
        <v>1</v>
      </c>
      <c r="B7" s="243"/>
      <c r="C7" s="244" t="s">
        <v>93</v>
      </c>
    </row>
    <row r="8" spans="1:6">
      <c r="A8" s="245" t="s">
        <v>2</v>
      </c>
      <c r="B8" s="246"/>
      <c r="C8" s="247" t="s">
        <v>7</v>
      </c>
    </row>
    <row r="9" spans="1:6">
      <c r="A9" s="248">
        <v>1</v>
      </c>
      <c r="B9" s="246" t="s">
        <v>92</v>
      </c>
      <c r="C9" s="249">
        <v>4408751</v>
      </c>
    </row>
    <row r="10" spans="1:6">
      <c r="A10" s="248">
        <v>2</v>
      </c>
      <c r="B10" s="246" t="s">
        <v>94</v>
      </c>
      <c r="C10" s="250">
        <f>+'Sched 7 Op &amp; Maint'!D31+'Sched 7 Op &amp; Maint'!C15</f>
        <v>2790931</v>
      </c>
    </row>
    <row r="11" spans="1:6">
      <c r="A11" s="248">
        <v>3</v>
      </c>
      <c r="B11" s="246" t="s">
        <v>95</v>
      </c>
      <c r="C11" s="250">
        <f>+'Sched 7 Op &amp; Maint'!E31</f>
        <v>668189</v>
      </c>
    </row>
    <row r="12" spans="1:6">
      <c r="A12" s="251">
        <v>4</v>
      </c>
      <c r="B12" s="252" t="s">
        <v>96</v>
      </c>
      <c r="C12" s="253">
        <v>508797</v>
      </c>
    </row>
    <row r="13" spans="1:6">
      <c r="A13" s="248">
        <v>5</v>
      </c>
      <c r="B13" s="246" t="s">
        <v>97</v>
      </c>
      <c r="C13" s="250">
        <v>0</v>
      </c>
    </row>
    <row r="14" spans="1:6" ht="13.5" thickBot="1">
      <c r="A14" s="254">
        <v>6</v>
      </c>
      <c r="B14" s="255" t="s">
        <v>98</v>
      </c>
      <c r="C14" s="256">
        <v>98344</v>
      </c>
    </row>
    <row r="15" spans="1:6" ht="13.5" thickBot="1">
      <c r="A15" s="257">
        <v>7</v>
      </c>
      <c r="B15" s="258" t="s">
        <v>99</v>
      </c>
      <c r="C15" s="210">
        <f>SUM(C10:C14)</f>
        <v>4066261</v>
      </c>
    </row>
    <row r="16" spans="1:6" ht="13.5" thickBot="1">
      <c r="A16" s="257">
        <v>8</v>
      </c>
      <c r="B16" s="13" t="s">
        <v>100</v>
      </c>
      <c r="C16" s="210">
        <f>+C9-C15</f>
        <v>342490</v>
      </c>
    </row>
    <row r="17" spans="1:5" ht="13.5" thickBot="1">
      <c r="A17" s="254">
        <v>9</v>
      </c>
      <c r="B17" s="255" t="s">
        <v>101</v>
      </c>
      <c r="C17" s="256"/>
    </row>
    <row r="18" spans="1:5" ht="13.5" thickBot="1">
      <c r="A18" s="257">
        <v>10</v>
      </c>
      <c r="B18" s="258" t="s">
        <v>102</v>
      </c>
      <c r="C18" s="210">
        <f>+C17+C16</f>
        <v>342490</v>
      </c>
    </row>
    <row r="19" spans="1:5">
      <c r="A19" s="248">
        <v>11</v>
      </c>
      <c r="B19" s="246" t="s">
        <v>103</v>
      </c>
      <c r="C19" s="250">
        <f>22873+5630</f>
        <v>28503</v>
      </c>
      <c r="E19" s="239" t="s">
        <v>563</v>
      </c>
    </row>
    <row r="20" spans="1:5">
      <c r="A20" s="248">
        <v>12</v>
      </c>
      <c r="B20" s="246" t="s">
        <v>104</v>
      </c>
      <c r="C20" s="250">
        <v>87537</v>
      </c>
      <c r="E20" s="239" t="s">
        <v>564</v>
      </c>
    </row>
    <row r="21" spans="1:5">
      <c r="A21" s="248">
        <v>13</v>
      </c>
      <c r="B21" s="246" t="s">
        <v>105</v>
      </c>
      <c r="C21" s="250">
        <v>0</v>
      </c>
    </row>
    <row r="22" spans="1:5" ht="13.5" thickBot="1">
      <c r="A22" s="254">
        <v>14</v>
      </c>
      <c r="B22" s="255" t="s">
        <v>106</v>
      </c>
      <c r="C22" s="256">
        <v>0</v>
      </c>
    </row>
    <row r="23" spans="1:5" ht="13.5" thickBot="1">
      <c r="A23" s="257">
        <v>15</v>
      </c>
      <c r="B23" s="258" t="s">
        <v>107</v>
      </c>
      <c r="C23" s="210">
        <f>+C18+C19-C20-C21-C22</f>
        <v>283456</v>
      </c>
    </row>
    <row r="24" spans="1:5">
      <c r="A24" s="248">
        <v>16</v>
      </c>
      <c r="B24" s="246" t="s">
        <v>108</v>
      </c>
      <c r="C24" s="250">
        <v>162851</v>
      </c>
    </row>
    <row r="25" spans="1:5">
      <c r="A25" s="248">
        <v>17</v>
      </c>
      <c r="B25" s="246" t="s">
        <v>109</v>
      </c>
      <c r="C25" s="250">
        <v>0</v>
      </c>
    </row>
    <row r="26" spans="1:5" ht="13.5" thickBot="1">
      <c r="A26" s="254">
        <v>18</v>
      </c>
      <c r="B26" s="255" t="s">
        <v>110</v>
      </c>
      <c r="C26" s="38">
        <v>0</v>
      </c>
    </row>
    <row r="27" spans="1:5" ht="13.5" thickBot="1">
      <c r="A27" s="257">
        <v>19</v>
      </c>
      <c r="B27" s="258" t="s">
        <v>111</v>
      </c>
      <c r="C27" s="25">
        <f>SUM(C24:C26)</f>
        <v>162851</v>
      </c>
    </row>
    <row r="28" spans="1:5" ht="13.5" thickBot="1">
      <c r="A28" s="257">
        <v>20</v>
      </c>
      <c r="B28" s="258" t="s">
        <v>112</v>
      </c>
      <c r="C28" s="25">
        <f>+C23-C27</f>
        <v>120605</v>
      </c>
    </row>
    <row r="29" spans="1:5">
      <c r="A29" s="248">
        <v>21</v>
      </c>
      <c r="B29" s="246" t="s">
        <v>113</v>
      </c>
      <c r="C29" s="37">
        <v>0</v>
      </c>
    </row>
    <row r="30" spans="1:5" ht="13.5" thickBot="1">
      <c r="A30" s="254">
        <v>22</v>
      </c>
      <c r="B30" s="255" t="s">
        <v>114</v>
      </c>
      <c r="C30" s="38">
        <v>0</v>
      </c>
    </row>
    <row r="31" spans="1:5" ht="13.5" thickBot="1">
      <c r="A31" s="257">
        <v>23</v>
      </c>
      <c r="B31" s="13" t="s">
        <v>115</v>
      </c>
      <c r="C31" s="26">
        <f>SUM(C28:C30)</f>
        <v>120605</v>
      </c>
    </row>
    <row r="32" spans="1:5">
      <c r="A32" s="259"/>
      <c r="B32" s="259"/>
      <c r="C32" s="260"/>
    </row>
    <row r="33" spans="1:4">
      <c r="A33" s="259"/>
      <c r="B33" s="259"/>
      <c r="C33" s="260"/>
      <c r="D33" s="259"/>
    </row>
    <row r="34" spans="1:4">
      <c r="A34" s="259"/>
      <c r="B34" s="259"/>
      <c r="C34" s="260"/>
      <c r="D34" s="259"/>
    </row>
    <row r="35" spans="1:4">
      <c r="A35" s="259"/>
      <c r="B35" s="259"/>
      <c r="C35" s="260"/>
      <c r="D35" s="259"/>
    </row>
    <row r="36" spans="1:4">
      <c r="A36" s="259"/>
      <c r="B36" s="259"/>
      <c r="C36" s="260"/>
      <c r="D36" s="259"/>
    </row>
    <row r="37" spans="1:4">
      <c r="A37" s="259"/>
      <c r="B37" s="259"/>
      <c r="C37" s="260"/>
      <c r="D37" s="259"/>
    </row>
    <row r="38" spans="1:4">
      <c r="A38" s="259"/>
      <c r="B38" s="259"/>
      <c r="C38" s="260"/>
      <c r="D38" s="259"/>
    </row>
    <row r="39" spans="1:4">
      <c r="A39" s="259"/>
      <c r="B39" s="259"/>
      <c r="C39" s="260"/>
      <c r="D39" s="259"/>
    </row>
    <row r="40" spans="1:4">
      <c r="A40" s="259"/>
      <c r="B40" s="259"/>
      <c r="C40" s="260"/>
      <c r="D40" s="259"/>
    </row>
    <row r="41" spans="1:4">
      <c r="A41" s="259"/>
      <c r="B41" s="259"/>
      <c r="C41" s="260"/>
      <c r="D41" s="259"/>
    </row>
    <row r="42" spans="1:4">
      <c r="A42" s="259"/>
      <c r="B42" s="259"/>
      <c r="C42" s="260"/>
      <c r="D42" s="259"/>
    </row>
    <row r="43" spans="1:4">
      <c r="A43" s="259"/>
      <c r="B43" s="259"/>
      <c r="C43" s="260"/>
      <c r="D43" s="259"/>
    </row>
    <row r="44" spans="1:4">
      <c r="C44" s="261"/>
    </row>
    <row r="45" spans="1:4">
      <c r="C45" s="261"/>
    </row>
    <row r="46" spans="1:4">
      <c r="C46" s="261"/>
    </row>
    <row r="47" spans="1:4">
      <c r="C47" s="261"/>
    </row>
    <row r="48" spans="1:4">
      <c r="C48" s="261"/>
    </row>
    <row r="49" spans="3:3">
      <c r="C49" s="261"/>
    </row>
    <row r="50" spans="3:3">
      <c r="C50" s="261"/>
    </row>
    <row r="51" spans="3:3">
      <c r="C51" s="261"/>
    </row>
    <row r="52" spans="3:3">
      <c r="C52" s="261"/>
    </row>
    <row r="53" spans="3:3">
      <c r="C53" s="261"/>
    </row>
  </sheetData>
  <mergeCells count="5">
    <mergeCell ref="A1:C1"/>
    <mergeCell ref="A2:C2"/>
    <mergeCell ref="A4:C4"/>
    <mergeCell ref="A6:C6"/>
    <mergeCell ref="A3:C3"/>
  </mergeCells>
  <phoneticPr fontId="0" type="noConversion"/>
  <pageMargins left="0.75" right="0.75" top="1" bottom="1" header="0.5" footer="0.5"/>
  <pageSetup scale="89" orientation="portrait" horizontalDpi="4294967293" r:id="rId1"/>
  <headerFooter alignWithMargins="0">
    <oddFooter>&amp;L&amp;Z&amp;F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95"/>
  <sheetViews>
    <sheetView zoomScale="90" workbookViewId="0">
      <selection activeCell="K30" sqref="K30"/>
    </sheetView>
  </sheetViews>
  <sheetFormatPr defaultRowHeight="15"/>
  <cols>
    <col min="1" max="1" width="6.7109375" style="239" customWidth="1"/>
    <col min="2" max="2" width="29.28515625" style="239" customWidth="1"/>
    <col min="3" max="7" width="15.7109375" style="239" customWidth="1"/>
    <col min="8" max="8" width="9.140625" style="239"/>
    <col min="9" max="9" width="16.42578125" style="300" customWidth="1"/>
    <col min="10" max="10" width="1" style="300" customWidth="1"/>
    <col min="11" max="11" width="17.28515625" style="300" customWidth="1"/>
    <col min="12" max="12" width="1" style="301" customWidth="1"/>
    <col min="13" max="13" width="17.28515625" style="300" customWidth="1"/>
    <col min="14" max="16384" width="9.140625" style="239"/>
  </cols>
  <sheetData>
    <row r="1" spans="1:13" ht="15.75">
      <c r="A1" s="459" t="str">
        <f>+'Sched 2 Balance sheet'!A1:F1</f>
        <v>Benson (Minnesota) Municipal Utilities</v>
      </c>
      <c r="B1" s="459"/>
      <c r="C1" s="459"/>
      <c r="D1" s="459"/>
      <c r="E1" s="459"/>
      <c r="F1" s="459"/>
      <c r="G1" s="459"/>
      <c r="I1" s="298"/>
      <c r="J1" s="298"/>
      <c r="K1" s="298"/>
      <c r="L1" s="299"/>
      <c r="M1" s="298"/>
    </row>
    <row r="2" spans="1:13">
      <c r="A2" s="460" t="s">
        <v>0</v>
      </c>
      <c r="B2" s="460"/>
      <c r="C2" s="460"/>
      <c r="D2" s="460"/>
      <c r="E2" s="460"/>
      <c r="F2" s="460"/>
      <c r="G2" s="460"/>
      <c r="I2" s="298"/>
      <c r="J2" s="298"/>
      <c r="K2" s="298"/>
      <c r="L2" s="299"/>
      <c r="M2" s="298"/>
    </row>
    <row r="3" spans="1:13">
      <c r="A3" s="460" t="s">
        <v>177</v>
      </c>
      <c r="B3" s="460"/>
      <c r="C3" s="460"/>
      <c r="D3" s="460"/>
      <c r="E3" s="460"/>
      <c r="F3" s="460"/>
      <c r="G3" s="460"/>
      <c r="I3" s="298"/>
      <c r="J3" s="298"/>
      <c r="K3" s="298"/>
      <c r="L3" s="299"/>
      <c r="M3" s="298"/>
    </row>
    <row r="4" spans="1:13" ht="15.75">
      <c r="A4" s="461" t="str">
        <f>+'Sched 2 Balance sheet'!A4:F4</f>
        <v>For the Year Ended December 31, 2013</v>
      </c>
      <c r="B4" s="461"/>
      <c r="C4" s="461"/>
      <c r="D4" s="461"/>
      <c r="E4" s="461"/>
      <c r="F4" s="461"/>
      <c r="G4" s="461"/>
      <c r="I4" s="298"/>
      <c r="J4" s="298"/>
      <c r="K4" s="298"/>
      <c r="L4" s="299"/>
      <c r="M4" s="298"/>
    </row>
    <row r="5" spans="1:13" ht="12.75">
      <c r="A5" s="241"/>
      <c r="B5" s="241"/>
      <c r="C5" s="241"/>
      <c r="I5" s="298"/>
      <c r="J5" s="298"/>
      <c r="K5" s="298"/>
      <c r="L5" s="299"/>
      <c r="M5" s="298"/>
    </row>
    <row r="6" spans="1:13" ht="15.75">
      <c r="A6" s="462" t="s">
        <v>21</v>
      </c>
      <c r="B6" s="462"/>
      <c r="C6" s="462"/>
      <c r="D6" s="462"/>
      <c r="E6" s="462"/>
      <c r="F6" s="462"/>
      <c r="G6" s="462"/>
    </row>
    <row r="7" spans="1:13" ht="12.75">
      <c r="A7" s="262" t="s">
        <v>1</v>
      </c>
      <c r="B7" s="244"/>
      <c r="C7" s="244" t="s">
        <v>116</v>
      </c>
      <c r="D7" s="244"/>
      <c r="E7" s="244"/>
      <c r="F7" s="244"/>
      <c r="G7" s="244" t="s">
        <v>121</v>
      </c>
      <c r="I7" s="238" t="s">
        <v>500</v>
      </c>
      <c r="J7" s="298"/>
      <c r="K7" s="237" t="s">
        <v>561</v>
      </c>
      <c r="L7" s="302"/>
      <c r="M7" s="238" t="s">
        <v>562</v>
      </c>
    </row>
    <row r="8" spans="1:13" ht="12.75">
      <c r="A8" s="248" t="s">
        <v>2</v>
      </c>
      <c r="B8" s="247"/>
      <c r="C8" s="247" t="s">
        <v>117</v>
      </c>
      <c r="D8" s="247" t="s">
        <v>118</v>
      </c>
      <c r="E8" s="247" t="s">
        <v>119</v>
      </c>
      <c r="F8" s="247" t="s">
        <v>120</v>
      </c>
      <c r="G8" s="247" t="s">
        <v>117</v>
      </c>
      <c r="I8" s="303" t="s">
        <v>501</v>
      </c>
      <c r="J8" s="298"/>
      <c r="K8" s="303" t="s">
        <v>502</v>
      </c>
      <c r="L8" s="302"/>
      <c r="M8" s="304" t="s">
        <v>503</v>
      </c>
    </row>
    <row r="9" spans="1:13" ht="20.100000000000001" customHeight="1">
      <c r="A9" s="251">
        <v>1</v>
      </c>
      <c r="B9" s="270" t="s">
        <v>122</v>
      </c>
      <c r="C9" s="305">
        <v>0</v>
      </c>
      <c r="D9" s="305">
        <v>0</v>
      </c>
      <c r="E9" s="305">
        <v>0</v>
      </c>
      <c r="F9" s="305">
        <v>0</v>
      </c>
      <c r="G9" s="27">
        <f t="shared" ref="G9:G17" si="0">+C9+D9-E9-F9</f>
        <v>0</v>
      </c>
      <c r="I9" s="268">
        <v>0</v>
      </c>
      <c r="J9" s="299"/>
      <c r="K9" s="268">
        <v>0</v>
      </c>
      <c r="L9" s="306"/>
      <c r="M9" s="307">
        <v>0</v>
      </c>
    </row>
    <row r="10" spans="1:13" ht="12.75" customHeight="1">
      <c r="A10" s="251"/>
      <c r="B10" s="270"/>
      <c r="C10" s="305"/>
      <c r="D10" s="305"/>
      <c r="E10" s="305"/>
      <c r="F10" s="305"/>
      <c r="G10" s="27"/>
      <c r="I10" s="308"/>
      <c r="J10" s="298"/>
      <c r="K10" s="308"/>
      <c r="L10" s="306"/>
      <c r="M10" s="308"/>
    </row>
    <row r="11" spans="1:13" ht="20.100000000000001" customHeight="1">
      <c r="A11" s="251">
        <v>2</v>
      </c>
      <c r="B11" s="270" t="s">
        <v>123</v>
      </c>
      <c r="C11" s="309">
        <v>0</v>
      </c>
      <c r="D11" s="309">
        <v>0</v>
      </c>
      <c r="E11" s="309">
        <v>0</v>
      </c>
      <c r="F11" s="309"/>
      <c r="G11" s="28">
        <f t="shared" si="0"/>
        <v>0</v>
      </c>
      <c r="I11" s="308">
        <v>0</v>
      </c>
      <c r="J11" s="298"/>
      <c r="K11" s="308">
        <v>0</v>
      </c>
      <c r="L11" s="306"/>
      <c r="M11" s="308">
        <v>0</v>
      </c>
    </row>
    <row r="12" spans="1:13" ht="20.100000000000001" customHeight="1">
      <c r="A12" s="251">
        <v>3</v>
      </c>
      <c r="B12" s="270" t="s">
        <v>124</v>
      </c>
      <c r="C12" s="309">
        <v>0</v>
      </c>
      <c r="D12" s="309">
        <v>0</v>
      </c>
      <c r="E12" s="309">
        <v>0</v>
      </c>
      <c r="F12" s="309">
        <v>0</v>
      </c>
      <c r="G12" s="28">
        <f t="shared" si="0"/>
        <v>0</v>
      </c>
      <c r="I12" s="307">
        <v>0</v>
      </c>
      <c r="J12" s="299"/>
      <c r="K12" s="307">
        <v>0</v>
      </c>
      <c r="L12" s="306"/>
      <c r="M12" s="307">
        <v>0</v>
      </c>
    </row>
    <row r="13" spans="1:13" ht="20.100000000000001" customHeight="1">
      <c r="A13" s="251">
        <v>4</v>
      </c>
      <c r="B13" s="270" t="s">
        <v>125</v>
      </c>
      <c r="C13" s="309">
        <v>0</v>
      </c>
      <c r="D13" s="310">
        <v>0</v>
      </c>
      <c r="E13" s="309">
        <v>0</v>
      </c>
      <c r="F13" s="309">
        <v>0</v>
      </c>
      <c r="G13" s="28">
        <f t="shared" si="0"/>
        <v>0</v>
      </c>
      <c r="I13" s="307">
        <v>0</v>
      </c>
      <c r="J13" s="299"/>
      <c r="K13" s="307">
        <v>0</v>
      </c>
      <c r="L13" s="306"/>
      <c r="M13" s="307">
        <v>0</v>
      </c>
    </row>
    <row r="14" spans="1:13" ht="20.100000000000001" customHeight="1" thickBot="1">
      <c r="A14" s="251">
        <v>5</v>
      </c>
      <c r="B14" s="270" t="s">
        <v>126</v>
      </c>
      <c r="C14" s="287">
        <v>3933302.5</v>
      </c>
      <c r="D14" s="287">
        <v>344007</v>
      </c>
      <c r="E14" s="311">
        <v>0</v>
      </c>
      <c r="F14" s="311"/>
      <c r="G14" s="29">
        <f t="shared" si="0"/>
        <v>4277309.5</v>
      </c>
      <c r="I14" s="312">
        <v>2651187</v>
      </c>
      <c r="J14" s="299"/>
      <c r="K14" s="312">
        <f>+G14-I14</f>
        <v>1626122.5</v>
      </c>
      <c r="L14" s="306"/>
      <c r="M14" s="312">
        <v>171185.71</v>
      </c>
    </row>
    <row r="15" spans="1:13" ht="20.100000000000001" customHeight="1" thickBot="1">
      <c r="A15" s="251">
        <v>6</v>
      </c>
      <c r="B15" s="16" t="s">
        <v>127</v>
      </c>
      <c r="C15" s="200">
        <f>SUM(C11:C14)</f>
        <v>3933302.5</v>
      </c>
      <c r="D15" s="202">
        <f>SUM(D11:D14)</f>
        <v>344007</v>
      </c>
      <c r="E15" s="32">
        <f>SUM(E11:E14)</f>
        <v>0</v>
      </c>
      <c r="F15" s="32">
        <f>SUM(F11:F14)</f>
        <v>0</v>
      </c>
      <c r="G15" s="26">
        <f t="shared" si="0"/>
        <v>4277309.5</v>
      </c>
      <c r="I15" s="206">
        <f>SUM(I11:I14)</f>
        <v>2651187</v>
      </c>
      <c r="J15" s="299"/>
      <c r="K15" s="206">
        <f>SUM(K11:K14)</f>
        <v>1626122.5</v>
      </c>
      <c r="L15" s="205"/>
      <c r="M15" s="206">
        <f>SUM(M11:M14)</f>
        <v>171185.71</v>
      </c>
    </row>
    <row r="16" spans="1:13" ht="12" customHeight="1">
      <c r="A16" s="251"/>
      <c r="B16" s="5"/>
      <c r="C16" s="201"/>
      <c r="D16" s="203"/>
      <c r="E16" s="30"/>
      <c r="F16" s="30"/>
      <c r="G16" s="30"/>
      <c r="I16" s="313"/>
      <c r="J16" s="299"/>
      <c r="K16" s="313"/>
      <c r="L16" s="306"/>
      <c r="M16" s="313"/>
    </row>
    <row r="17" spans="1:13" ht="20.100000000000001" customHeight="1">
      <c r="A17" s="251">
        <v>7</v>
      </c>
      <c r="B17" s="270" t="s">
        <v>129</v>
      </c>
      <c r="C17" s="288">
        <v>676120.5</v>
      </c>
      <c r="D17" s="288">
        <v>0</v>
      </c>
      <c r="E17" s="309"/>
      <c r="F17" s="309">
        <v>0</v>
      </c>
      <c r="G17" s="28">
        <f t="shared" si="0"/>
        <v>676120.5</v>
      </c>
      <c r="I17" s="307">
        <v>101418</v>
      </c>
      <c r="J17" s="299"/>
      <c r="K17" s="307">
        <f>+G17-I17</f>
        <v>574702.5</v>
      </c>
      <c r="L17" s="306"/>
      <c r="M17" s="307">
        <v>20283.599999999999</v>
      </c>
    </row>
    <row r="18" spans="1:13" ht="20.100000000000001" customHeight="1">
      <c r="A18" s="251">
        <v>8</v>
      </c>
      <c r="B18" s="270" t="s">
        <v>130</v>
      </c>
      <c r="C18" s="288">
        <v>7964901</v>
      </c>
      <c r="D18" s="288">
        <v>415697</v>
      </c>
      <c r="E18" s="309">
        <v>11221</v>
      </c>
      <c r="F18" s="309">
        <v>0</v>
      </c>
      <c r="G18" s="28">
        <f>+C18+D18-E18-F18</f>
        <v>8369377</v>
      </c>
      <c r="I18" s="307">
        <v>3677413</v>
      </c>
      <c r="J18" s="299"/>
      <c r="K18" s="307">
        <f>+G18-I18</f>
        <v>4691964</v>
      </c>
      <c r="L18" s="306"/>
      <c r="M18" s="307">
        <v>311020.68</v>
      </c>
    </row>
    <row r="19" spans="1:13" ht="20.100000000000001" customHeight="1" thickBot="1">
      <c r="A19" s="251">
        <v>9</v>
      </c>
      <c r="B19" s="270" t="s">
        <v>131</v>
      </c>
      <c r="C19" s="287">
        <v>426346</v>
      </c>
      <c r="D19" s="287"/>
      <c r="E19" s="311">
        <v>10118</v>
      </c>
      <c r="F19" s="311">
        <v>0</v>
      </c>
      <c r="G19" s="29">
        <f>+C19+D19-E19-F19</f>
        <v>416228</v>
      </c>
      <c r="I19" s="312">
        <v>365771</v>
      </c>
      <c r="J19" s="299"/>
      <c r="K19" s="314">
        <f>+G19-I19</f>
        <v>50457</v>
      </c>
      <c r="L19" s="306"/>
      <c r="M19" s="312">
        <v>6307.39</v>
      </c>
    </row>
    <row r="20" spans="1:13" ht="20.100000000000001" customHeight="1" thickBot="1">
      <c r="A20" s="251">
        <v>10</v>
      </c>
      <c r="B20" s="16" t="s">
        <v>132</v>
      </c>
      <c r="C20" s="31">
        <f>SUM(C15:C19)</f>
        <v>13000670</v>
      </c>
      <c r="D20" s="32">
        <f>SUM(D15:D19)</f>
        <v>759704</v>
      </c>
      <c r="E20" s="32">
        <f>SUM(E15:E19)</f>
        <v>21339</v>
      </c>
      <c r="F20" s="32">
        <f>SUM(F15:F19)</f>
        <v>0</v>
      </c>
      <c r="G20" s="26">
        <f>+C20+D20-E20-F20</f>
        <v>13739035</v>
      </c>
      <c r="I20" s="206">
        <f>SUM(I15:I19)</f>
        <v>6795789</v>
      </c>
      <c r="J20" s="299"/>
      <c r="K20" s="206">
        <f>SUM(K15:K19)</f>
        <v>6943246</v>
      </c>
      <c r="L20" s="205"/>
      <c r="M20" s="206">
        <f>SUM(M15:M19)</f>
        <v>508797.38</v>
      </c>
    </row>
    <row r="21" spans="1:13" ht="11.25" customHeight="1">
      <c r="A21" s="251"/>
      <c r="B21" s="5"/>
      <c r="C21" s="30"/>
      <c r="D21" s="30"/>
      <c r="E21" s="30"/>
      <c r="F21" s="30"/>
      <c r="G21" s="30"/>
      <c r="I21" s="249"/>
      <c r="J21" s="299"/>
      <c r="K21" s="315"/>
      <c r="L21" s="306"/>
      <c r="M21" s="316"/>
    </row>
    <row r="22" spans="1:13" ht="20.100000000000001" customHeight="1">
      <c r="A22" s="251">
        <v>11</v>
      </c>
      <c r="B22" s="270" t="s">
        <v>133</v>
      </c>
      <c r="C22" s="309">
        <v>0</v>
      </c>
      <c r="D22" s="309">
        <v>0</v>
      </c>
      <c r="E22" s="309">
        <v>0</v>
      </c>
      <c r="F22" s="309">
        <v>0</v>
      </c>
      <c r="G22" s="309">
        <f>+C22+D22+E22+F22</f>
        <v>0</v>
      </c>
      <c r="I22" s="307">
        <v>0</v>
      </c>
      <c r="J22" s="299"/>
      <c r="K22" s="307">
        <v>0</v>
      </c>
      <c r="L22" s="306"/>
      <c r="M22" s="308">
        <v>0</v>
      </c>
    </row>
    <row r="23" spans="1:13" ht="20.100000000000001" customHeight="1">
      <c r="A23" s="251">
        <v>12</v>
      </c>
      <c r="B23" s="270" t="s">
        <v>134</v>
      </c>
      <c r="C23" s="309">
        <v>0</v>
      </c>
      <c r="D23" s="309">
        <v>0</v>
      </c>
      <c r="E23" s="309">
        <v>0</v>
      </c>
      <c r="F23" s="309">
        <v>0</v>
      </c>
      <c r="G23" s="309">
        <f>+C23+D23+E23+F23</f>
        <v>0</v>
      </c>
      <c r="I23" s="307">
        <v>0</v>
      </c>
      <c r="J23" s="299"/>
      <c r="K23" s="307">
        <v>0</v>
      </c>
      <c r="L23" s="306"/>
      <c r="M23" s="308">
        <v>0</v>
      </c>
    </row>
    <row r="24" spans="1:13" ht="20.100000000000001" customHeight="1" thickBot="1">
      <c r="A24" s="251">
        <v>13</v>
      </c>
      <c r="B24" s="270" t="s">
        <v>135</v>
      </c>
      <c r="C24" s="311">
        <v>0</v>
      </c>
      <c r="D24" s="311">
        <v>0</v>
      </c>
      <c r="E24" s="311">
        <v>0</v>
      </c>
      <c r="F24" s="311">
        <v>0</v>
      </c>
      <c r="G24" s="311">
        <f>+C24+D24+E24+F24</f>
        <v>0</v>
      </c>
      <c r="I24" s="312">
        <v>0</v>
      </c>
      <c r="J24" s="299"/>
      <c r="K24" s="312">
        <v>0</v>
      </c>
      <c r="L24" s="306"/>
      <c r="M24" s="317">
        <v>0</v>
      </c>
    </row>
    <row r="25" spans="1:13" ht="20.100000000000001" customHeight="1" thickBot="1">
      <c r="A25" s="251">
        <v>14</v>
      </c>
      <c r="B25" s="16" t="s">
        <v>8</v>
      </c>
      <c r="C25" s="31">
        <f>SUM(C20:C24)</f>
        <v>13000670</v>
      </c>
      <c r="D25" s="32">
        <f>SUM(D20:D24)</f>
        <v>759704</v>
      </c>
      <c r="E25" s="32">
        <f>SUM(E20:E24)</f>
        <v>21339</v>
      </c>
      <c r="F25" s="32">
        <f>SUM(F20:F24)</f>
        <v>0</v>
      </c>
      <c r="G25" s="26">
        <f>+C25+D25-E25+F25</f>
        <v>13739035</v>
      </c>
      <c r="I25" s="206">
        <f>SUM(I20:I24)</f>
        <v>6795789</v>
      </c>
      <c r="J25" s="299"/>
      <c r="K25" s="206">
        <f>SUM(K20:K24)</f>
        <v>6943246</v>
      </c>
      <c r="L25" s="205"/>
      <c r="M25" s="204">
        <f>SUM(M20:M24)</f>
        <v>508797.38</v>
      </c>
    </row>
    <row r="26" spans="1:13" ht="11.25" customHeight="1">
      <c r="A26" s="251"/>
      <c r="B26" s="5"/>
      <c r="C26" s="33"/>
      <c r="D26" s="33"/>
      <c r="E26" s="33"/>
      <c r="F26" s="33"/>
      <c r="G26" s="33"/>
      <c r="I26" s="249"/>
      <c r="J26" s="299"/>
      <c r="K26" s="315"/>
      <c r="L26" s="306"/>
      <c r="M26" s="316"/>
    </row>
    <row r="27" spans="1:13" ht="20.100000000000001" customHeight="1" thickBot="1">
      <c r="A27" s="251">
        <v>15</v>
      </c>
      <c r="B27" s="270" t="s">
        <v>136</v>
      </c>
      <c r="C27" s="311">
        <v>282137</v>
      </c>
      <c r="D27" s="311"/>
      <c r="E27" s="311">
        <v>282137</v>
      </c>
      <c r="F27" s="311">
        <v>0</v>
      </c>
      <c r="G27" s="29">
        <f>+C27+D27-E27-F27</f>
        <v>0</v>
      </c>
      <c r="I27" s="312"/>
      <c r="J27" s="299"/>
      <c r="K27" s="312">
        <f>+G27</f>
        <v>0</v>
      </c>
      <c r="L27" s="306"/>
      <c r="M27" s="312"/>
    </row>
    <row r="28" spans="1:13" ht="20.100000000000001" customHeight="1" thickBot="1">
      <c r="A28" s="251">
        <v>16</v>
      </c>
      <c r="B28" s="16" t="s">
        <v>137</v>
      </c>
      <c r="C28" s="31">
        <f>SUM(C25:C27)</f>
        <v>13282807</v>
      </c>
      <c r="D28" s="32">
        <f>SUM(D25:D27)</f>
        <v>759704</v>
      </c>
      <c r="E28" s="32">
        <f>SUM(E25:E27)</f>
        <v>303476</v>
      </c>
      <c r="F28" s="32">
        <f>SUM(F25:F27)</f>
        <v>0</v>
      </c>
      <c r="G28" s="26">
        <f>+C28+D28-E28-F28</f>
        <v>13739035</v>
      </c>
      <c r="I28" s="206">
        <f>SUM(I25:I27)</f>
        <v>6795789</v>
      </c>
      <c r="J28" s="299"/>
      <c r="K28" s="206">
        <f>SUM(K25:K27)</f>
        <v>6943246</v>
      </c>
      <c r="L28" s="205"/>
      <c r="M28" s="204">
        <f>SUM(M25:M27)</f>
        <v>508797.38</v>
      </c>
    </row>
    <row r="29" spans="1:13" ht="20.100000000000001" customHeight="1">
      <c r="B29" s="239" t="s">
        <v>128</v>
      </c>
      <c r="G29" s="261"/>
      <c r="I29" s="299"/>
      <c r="J29" s="299"/>
      <c r="K29" s="299"/>
      <c r="L29" s="299"/>
      <c r="M29" s="298"/>
    </row>
    <row r="30" spans="1:13" ht="12.75">
      <c r="I30" s="318"/>
      <c r="J30" s="299"/>
      <c r="K30" s="319"/>
      <c r="L30" s="299"/>
      <c r="M30" s="298"/>
    </row>
    <row r="31" spans="1:13" ht="12.75">
      <c r="G31" s="261"/>
      <c r="I31" s="299"/>
      <c r="J31" s="299"/>
      <c r="K31" s="319"/>
      <c r="L31" s="299"/>
      <c r="M31" s="298"/>
    </row>
    <row r="32" spans="1:13">
      <c r="G32" s="261" t="s">
        <v>171</v>
      </c>
      <c r="I32" s="299"/>
      <c r="J32" s="299"/>
      <c r="K32" s="319"/>
    </row>
    <row r="33" spans="9:13">
      <c r="I33" s="318"/>
      <c r="J33" s="299"/>
      <c r="K33" s="318"/>
    </row>
    <row r="34" spans="9:13">
      <c r="I34" s="299"/>
      <c r="J34" s="299"/>
      <c r="K34" s="299"/>
    </row>
    <row r="35" spans="9:13">
      <c r="I35" s="299"/>
      <c r="J35" s="299"/>
      <c r="K35" s="299"/>
    </row>
    <row r="36" spans="9:13">
      <c r="I36" s="299"/>
      <c r="J36" s="299"/>
      <c r="K36" s="299"/>
    </row>
    <row r="37" spans="9:13">
      <c r="I37" s="301"/>
      <c r="J37" s="301"/>
      <c r="K37" s="301"/>
      <c r="M37" s="301"/>
    </row>
    <row r="38" spans="9:13">
      <c r="I38" s="301"/>
      <c r="J38" s="301"/>
      <c r="K38" s="301"/>
      <c r="M38" s="301"/>
    </row>
    <row r="39" spans="9:13">
      <c r="I39" s="301"/>
      <c r="J39" s="301"/>
      <c r="K39" s="301"/>
      <c r="M39" s="301"/>
    </row>
    <row r="495" spans="9:13">
      <c r="I495" s="320"/>
      <c r="J495" s="320"/>
      <c r="K495" s="320"/>
      <c r="L495" s="320"/>
      <c r="M495" s="320"/>
    </row>
  </sheetData>
  <mergeCells count="5">
    <mergeCell ref="A1:G1"/>
    <mergeCell ref="A2:G2"/>
    <mergeCell ref="A4:G4"/>
    <mergeCell ref="A6:G6"/>
    <mergeCell ref="A3:G3"/>
  </mergeCells>
  <phoneticPr fontId="0" type="noConversion"/>
  <pageMargins left="0.5" right="0.5" top="0.75" bottom="0.5" header="0.5" footer="0.5"/>
  <pageSetup scale="73"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AK722"/>
  <sheetViews>
    <sheetView defaultGridColor="0" colorId="22" zoomScale="75" workbookViewId="0">
      <pane ySplit="5" topLeftCell="A231" activePane="bottomLeft" state="frozenSplit"/>
      <selection pane="bottomLeft" activeCell="AP262" sqref="AP262"/>
    </sheetView>
  </sheetViews>
  <sheetFormatPr defaultColWidth="12.5703125" defaultRowHeight="15.75"/>
  <cols>
    <col min="1" max="1" width="3.5703125" style="358" customWidth="1"/>
    <col min="2" max="2" width="40.85546875" style="358" customWidth="1"/>
    <col min="3" max="3" width="15.140625" style="358" customWidth="1"/>
    <col min="4" max="4" width="17.7109375" style="358" customWidth="1"/>
    <col min="5" max="5" width="17.5703125" style="358" customWidth="1"/>
    <col min="6" max="6" width="17.7109375" style="358" customWidth="1"/>
    <col min="7" max="7" width="15.140625" style="358" customWidth="1"/>
    <col min="8" max="8" width="17.28515625" style="358" customWidth="1"/>
    <col min="9" max="9" width="7" style="358" customWidth="1"/>
    <col min="10" max="10" width="8.7109375" style="358" customWidth="1"/>
    <col min="11" max="16" width="13.85546875" style="358" hidden="1" customWidth="1"/>
    <col min="17" max="25" width="12.5703125" style="358" hidden="1" customWidth="1"/>
    <col min="26" max="32" width="14.42578125" style="358" hidden="1" customWidth="1"/>
    <col min="33" max="33" width="13.7109375" style="358" hidden="1" customWidth="1"/>
    <col min="34" max="34" width="14.28515625" style="358" hidden="1" customWidth="1"/>
    <col min="35" max="35" width="17.42578125" style="358" hidden="1" customWidth="1"/>
    <col min="36" max="37" width="13.85546875" style="358" bestFit="1" customWidth="1"/>
    <col min="38" max="16384" width="12.5703125" style="358"/>
  </cols>
  <sheetData>
    <row r="1" spans="1:37">
      <c r="B1" s="359" t="s">
        <v>1052</v>
      </c>
    </row>
    <row r="2" spans="1:37">
      <c r="B2" s="360" t="s">
        <v>1051</v>
      </c>
    </row>
    <row r="3" spans="1:37">
      <c r="B3" s="361" t="s">
        <v>1050</v>
      </c>
      <c r="G3" s="358" t="s">
        <v>1048</v>
      </c>
      <c r="H3" s="358" t="s">
        <v>1049</v>
      </c>
      <c r="I3" s="358" t="s">
        <v>1048</v>
      </c>
    </row>
    <row r="4" spans="1:37">
      <c r="E4" s="362" t="s">
        <v>144</v>
      </c>
      <c r="F4" s="362" t="s">
        <v>1047</v>
      </c>
      <c r="G4" s="358" t="s">
        <v>1036</v>
      </c>
      <c r="H4" s="358" t="s">
        <v>1046</v>
      </c>
      <c r="I4" s="358" t="s">
        <v>1033</v>
      </c>
      <c r="J4" s="362" t="s">
        <v>1045</v>
      </c>
      <c r="K4" s="362" t="s">
        <v>1044</v>
      </c>
      <c r="L4" s="362" t="s">
        <v>1043</v>
      </c>
      <c r="M4" s="362" t="s">
        <v>1043</v>
      </c>
      <c r="N4" s="362" t="s">
        <v>1043</v>
      </c>
      <c r="O4" s="362" t="s">
        <v>1043</v>
      </c>
      <c r="P4" s="362" t="s">
        <v>1043</v>
      </c>
      <c r="Q4" s="362" t="s">
        <v>1043</v>
      </c>
      <c r="R4" s="362" t="s">
        <v>1043</v>
      </c>
      <c r="S4" s="362" t="s">
        <v>1043</v>
      </c>
      <c r="T4" s="362" t="s">
        <v>1043</v>
      </c>
      <c r="U4" s="362" t="s">
        <v>1043</v>
      </c>
      <c r="V4" s="362" t="s">
        <v>1043</v>
      </c>
      <c r="W4" s="362" t="s">
        <v>1043</v>
      </c>
      <c r="X4" s="362" t="s">
        <v>1043</v>
      </c>
      <c r="Y4" s="362" t="s">
        <v>1043</v>
      </c>
      <c r="Z4" s="362" t="s">
        <v>1043</v>
      </c>
      <c r="AA4" s="362" t="s">
        <v>1043</v>
      </c>
      <c r="AB4" s="362" t="s">
        <v>1043</v>
      </c>
      <c r="AC4" s="362" t="s">
        <v>1043</v>
      </c>
      <c r="AD4" s="362" t="s">
        <v>1043</v>
      </c>
      <c r="AE4" s="362" t="s">
        <v>1043</v>
      </c>
      <c r="AF4" s="362" t="s">
        <v>1043</v>
      </c>
      <c r="AG4" s="362" t="s">
        <v>1043</v>
      </c>
      <c r="AH4" s="362" t="s">
        <v>1043</v>
      </c>
      <c r="AI4" s="362" t="s">
        <v>1043</v>
      </c>
      <c r="AJ4" s="362" t="s">
        <v>1043</v>
      </c>
      <c r="AK4" s="362" t="s">
        <v>1043</v>
      </c>
    </row>
    <row r="5" spans="1:37">
      <c r="B5" s="362" t="s">
        <v>1042</v>
      </c>
      <c r="C5" s="362" t="s">
        <v>1041</v>
      </c>
      <c r="D5" s="362" t="s">
        <v>1040</v>
      </c>
      <c r="E5" s="362" t="s">
        <v>1039</v>
      </c>
      <c r="F5" s="362" t="s">
        <v>1038</v>
      </c>
      <c r="I5" s="362" t="s">
        <v>1037</v>
      </c>
      <c r="J5" s="362" t="s">
        <v>1037</v>
      </c>
      <c r="K5" s="362" t="s">
        <v>1036</v>
      </c>
      <c r="L5" s="362" t="s">
        <v>1035</v>
      </c>
      <c r="M5" s="362" t="s">
        <v>1034</v>
      </c>
      <c r="N5" s="362" t="s">
        <v>1033</v>
      </c>
      <c r="O5" s="362" t="s">
        <v>1032</v>
      </c>
      <c r="P5" s="362" t="s">
        <v>1031</v>
      </c>
      <c r="Q5" s="362" t="s">
        <v>1030</v>
      </c>
      <c r="R5" s="362" t="s">
        <v>1029</v>
      </c>
      <c r="S5" s="362" t="s">
        <v>1028</v>
      </c>
      <c r="T5" s="362" t="s">
        <v>1027</v>
      </c>
      <c r="U5" s="362" t="s">
        <v>1026</v>
      </c>
      <c r="V5" s="362" t="s">
        <v>1025</v>
      </c>
      <c r="W5" s="362" t="s">
        <v>1024</v>
      </c>
      <c r="X5" s="362" t="s">
        <v>930</v>
      </c>
      <c r="Y5" s="362" t="s">
        <v>1023</v>
      </c>
      <c r="Z5" s="362" t="s">
        <v>1022</v>
      </c>
      <c r="AA5" s="363">
        <v>2004</v>
      </c>
      <c r="AB5" s="363">
        <v>2005</v>
      </c>
      <c r="AC5" s="363">
        <v>2006</v>
      </c>
      <c r="AD5" s="363">
        <v>2007</v>
      </c>
      <c r="AE5" s="363">
        <v>2008</v>
      </c>
      <c r="AF5" s="363">
        <v>2009</v>
      </c>
      <c r="AG5" s="363">
        <v>2010</v>
      </c>
      <c r="AH5" s="363">
        <v>2011</v>
      </c>
      <c r="AI5" s="363">
        <v>2012</v>
      </c>
      <c r="AJ5" s="363">
        <v>2013</v>
      </c>
      <c r="AK5" s="363">
        <v>2014</v>
      </c>
    </row>
    <row r="6" spans="1:37">
      <c r="B6" s="362" t="s">
        <v>1021</v>
      </c>
    </row>
    <row r="7" spans="1:37">
      <c r="A7" s="358" t="s">
        <v>1020</v>
      </c>
    </row>
    <row r="8" spans="1:37">
      <c r="B8" s="358" t="s">
        <v>834</v>
      </c>
      <c r="C8" s="364">
        <f>DATE(2006,5,1)</f>
        <v>38838</v>
      </c>
      <c r="D8" s="358">
        <v>9665.77</v>
      </c>
      <c r="E8" s="358">
        <v>0</v>
      </c>
      <c r="F8" s="365">
        <f>H8</f>
        <v>9665.7720000000008</v>
      </c>
      <c r="H8" s="358">
        <f>SUM(K8:AI8)</f>
        <v>9665.7720000000008</v>
      </c>
      <c r="I8" s="366">
        <v>20</v>
      </c>
      <c r="AC8" s="367">
        <v>1932.97</v>
      </c>
      <c r="AD8" s="367">
        <f>SUM($D8*$I8)/100</f>
        <v>1933.1540000000002</v>
      </c>
      <c r="AE8" s="367">
        <f>SUM($D8*$I8)/100</f>
        <v>1933.1540000000002</v>
      </c>
      <c r="AF8" s="367">
        <f>SUM($D8*$I8)/100</f>
        <v>1933.1540000000002</v>
      </c>
      <c r="AG8" s="367">
        <v>1933.34</v>
      </c>
      <c r="AH8" s="367">
        <v>0</v>
      </c>
      <c r="AI8" s="367">
        <v>0</v>
      </c>
      <c r="AJ8" s="367">
        <v>0</v>
      </c>
      <c r="AK8" s="367">
        <v>0</v>
      </c>
    </row>
    <row r="9" spans="1:37">
      <c r="B9" s="358" t="s">
        <v>889</v>
      </c>
      <c r="C9" s="368"/>
      <c r="D9" s="369">
        <v>0</v>
      </c>
      <c r="E9" s="369"/>
      <c r="F9" s="369">
        <f>H9</f>
        <v>0</v>
      </c>
      <c r="G9" s="370"/>
      <c r="H9" s="358">
        <f>SUM(K9:AI9)</f>
        <v>0</v>
      </c>
      <c r="I9" s="371">
        <v>20</v>
      </c>
      <c r="J9" s="371"/>
      <c r="K9" s="370"/>
      <c r="L9" s="372"/>
      <c r="M9" s="372"/>
      <c r="N9" s="372"/>
      <c r="O9" s="372"/>
      <c r="P9" s="372"/>
      <c r="Q9" s="372"/>
      <c r="R9" s="372"/>
      <c r="S9" s="372"/>
      <c r="T9" s="372"/>
      <c r="U9" s="372"/>
      <c r="V9" s="370"/>
      <c r="W9" s="370">
        <v>0</v>
      </c>
      <c r="X9" s="372">
        <v>0</v>
      </c>
      <c r="Y9" s="372">
        <v>0</v>
      </c>
      <c r="Z9" s="372">
        <v>0</v>
      </c>
      <c r="AA9" s="372">
        <v>0</v>
      </c>
      <c r="AB9" s="372">
        <v>0</v>
      </c>
      <c r="AC9" s="372">
        <v>0</v>
      </c>
      <c r="AD9" s="372">
        <v>0</v>
      </c>
      <c r="AE9" s="372">
        <v>0</v>
      </c>
      <c r="AF9" s="372">
        <v>0</v>
      </c>
      <c r="AG9" s="372">
        <v>0</v>
      </c>
      <c r="AH9" s="372">
        <v>0</v>
      </c>
      <c r="AI9" s="372">
        <v>0</v>
      </c>
      <c r="AJ9" s="372">
        <v>0</v>
      </c>
      <c r="AK9" s="372">
        <v>0</v>
      </c>
    </row>
    <row r="10" spans="1:37">
      <c r="D10" s="358">
        <f>SUM(D8:D9)</f>
        <v>9665.77</v>
      </c>
      <c r="E10" s="365">
        <f>F10+AJ1</f>
        <v>9665.7720000000008</v>
      </c>
      <c r="F10" s="365">
        <f>H10</f>
        <v>9665.7720000000008</v>
      </c>
      <c r="H10" s="358">
        <f>SUM(K10:AI11)</f>
        <v>9665.7720000000008</v>
      </c>
      <c r="I10" s="366"/>
      <c r="J10" s="366"/>
      <c r="L10" s="367"/>
      <c r="M10" s="367"/>
      <c r="N10" s="367"/>
      <c r="O10" s="367"/>
      <c r="P10" s="367"/>
      <c r="R10" s="358">
        <f t="shared" ref="R10:AB10" si="0">SUM(R9)</f>
        <v>0</v>
      </c>
      <c r="S10" s="358">
        <f t="shared" si="0"/>
        <v>0</v>
      </c>
      <c r="T10" s="358">
        <f t="shared" si="0"/>
        <v>0</v>
      </c>
      <c r="U10" s="358">
        <f t="shared" si="0"/>
        <v>0</v>
      </c>
      <c r="V10" s="358">
        <f t="shared" si="0"/>
        <v>0</v>
      </c>
      <c r="W10" s="358">
        <f t="shared" si="0"/>
        <v>0</v>
      </c>
      <c r="X10" s="358">
        <f t="shared" si="0"/>
        <v>0</v>
      </c>
      <c r="Y10" s="358">
        <f t="shared" si="0"/>
        <v>0</v>
      </c>
      <c r="Z10" s="358">
        <f t="shared" si="0"/>
        <v>0</v>
      </c>
      <c r="AA10" s="358">
        <f t="shared" si="0"/>
        <v>0</v>
      </c>
      <c r="AB10" s="358">
        <f t="shared" si="0"/>
        <v>0</v>
      </c>
      <c r="AC10" s="358">
        <f t="shared" ref="AC10:AK10" si="1">SUM(AC8:AC9)</f>
        <v>1932.97</v>
      </c>
      <c r="AD10" s="358">
        <f t="shared" si="1"/>
        <v>1933.1540000000002</v>
      </c>
      <c r="AE10" s="358">
        <f t="shared" si="1"/>
        <v>1933.1540000000002</v>
      </c>
      <c r="AF10" s="358">
        <f t="shared" si="1"/>
        <v>1933.1540000000002</v>
      </c>
      <c r="AG10" s="358">
        <f t="shared" si="1"/>
        <v>1933.34</v>
      </c>
      <c r="AH10" s="358">
        <f t="shared" si="1"/>
        <v>0</v>
      </c>
      <c r="AI10" s="358">
        <f t="shared" si="1"/>
        <v>0</v>
      </c>
      <c r="AJ10" s="358">
        <f t="shared" si="1"/>
        <v>0</v>
      </c>
      <c r="AK10" s="358">
        <f t="shared" si="1"/>
        <v>0</v>
      </c>
    </row>
    <row r="11" spans="1:37">
      <c r="A11" s="358" t="s">
        <v>1019</v>
      </c>
      <c r="D11" s="365"/>
      <c r="E11" s="365"/>
      <c r="F11" s="365"/>
      <c r="I11" s="366"/>
      <c r="J11" s="366"/>
      <c r="L11" s="367"/>
      <c r="M11" s="367"/>
      <c r="N11" s="367"/>
      <c r="O11" s="367"/>
      <c r="P11" s="367"/>
    </row>
    <row r="12" spans="1:37">
      <c r="B12" s="373" t="s">
        <v>1018</v>
      </c>
      <c r="C12" s="364">
        <f>DATE(2005,6,16)</f>
        <v>38519</v>
      </c>
      <c r="D12" s="365">
        <v>19192.21</v>
      </c>
      <c r="E12" s="365"/>
      <c r="F12" s="365">
        <f>H12</f>
        <v>19192.21</v>
      </c>
      <c r="H12" s="358">
        <f t="shared" ref="H12:H22" si="2">SUM(K12:AI12)</f>
        <v>19192.21</v>
      </c>
      <c r="I12" s="366">
        <v>20</v>
      </c>
      <c r="J12" s="366"/>
      <c r="L12" s="367">
        <v>0</v>
      </c>
      <c r="M12" s="367"/>
      <c r="N12" s="367"/>
      <c r="O12" s="367"/>
      <c r="P12" s="367"/>
      <c r="AB12" s="367">
        <f t="shared" ref="AB12:AF14" si="3">SUM($D12*$I12)/100</f>
        <v>3838.4419999999996</v>
      </c>
      <c r="AC12" s="367">
        <f t="shared" si="3"/>
        <v>3838.4419999999996</v>
      </c>
      <c r="AD12" s="367">
        <f t="shared" si="3"/>
        <v>3838.4419999999996</v>
      </c>
      <c r="AE12" s="367">
        <f t="shared" si="3"/>
        <v>3838.4419999999996</v>
      </c>
      <c r="AF12" s="367">
        <f t="shared" si="3"/>
        <v>3838.4419999999996</v>
      </c>
      <c r="AG12" s="367">
        <v>0</v>
      </c>
      <c r="AH12" s="367">
        <v>0</v>
      </c>
      <c r="AI12" s="367">
        <v>0</v>
      </c>
      <c r="AJ12" s="367">
        <v>0</v>
      </c>
      <c r="AK12" s="367">
        <v>0</v>
      </c>
    </row>
    <row r="13" spans="1:37">
      <c r="B13" s="373" t="s">
        <v>1017</v>
      </c>
      <c r="C13" s="364">
        <f>DATE(2005,6,3)</f>
        <v>38506</v>
      </c>
      <c r="D13" s="365">
        <v>8753.14</v>
      </c>
      <c r="E13" s="365"/>
      <c r="F13" s="365">
        <f>H13</f>
        <v>8753.14</v>
      </c>
      <c r="H13" s="358">
        <f t="shared" si="2"/>
        <v>8753.14</v>
      </c>
      <c r="I13" s="366">
        <v>20</v>
      </c>
      <c r="J13" s="366"/>
      <c r="L13" s="367">
        <v>0</v>
      </c>
      <c r="M13" s="367"/>
      <c r="N13" s="367"/>
      <c r="O13" s="367"/>
      <c r="P13" s="367"/>
      <c r="AB13" s="367">
        <f t="shared" si="3"/>
        <v>1750.6279999999999</v>
      </c>
      <c r="AC13" s="367">
        <f t="shared" si="3"/>
        <v>1750.6279999999999</v>
      </c>
      <c r="AD13" s="367">
        <f t="shared" si="3"/>
        <v>1750.6279999999999</v>
      </c>
      <c r="AE13" s="367">
        <f t="shared" si="3"/>
        <v>1750.6279999999999</v>
      </c>
      <c r="AF13" s="367">
        <f t="shared" si="3"/>
        <v>1750.6279999999999</v>
      </c>
      <c r="AG13" s="367">
        <v>0</v>
      </c>
      <c r="AH13" s="367">
        <v>0</v>
      </c>
      <c r="AI13" s="367">
        <v>0</v>
      </c>
      <c r="AJ13" s="367">
        <v>0</v>
      </c>
      <c r="AK13" s="367">
        <v>0</v>
      </c>
    </row>
    <row r="14" spans="1:37">
      <c r="B14" s="358" t="s">
        <v>869</v>
      </c>
      <c r="C14" s="364">
        <f>DATE(2005,11,18)</f>
        <v>38674</v>
      </c>
      <c r="D14" s="365">
        <v>12410.79</v>
      </c>
      <c r="E14" s="365"/>
      <c r="F14" s="365">
        <f>H14</f>
        <v>9928.6319999999996</v>
      </c>
      <c r="H14" s="358">
        <f t="shared" si="2"/>
        <v>9928.6319999999996</v>
      </c>
      <c r="I14" s="366">
        <v>10</v>
      </c>
      <c r="J14" s="366"/>
      <c r="L14" s="367">
        <v>0</v>
      </c>
      <c r="M14" s="367"/>
      <c r="N14" s="367"/>
      <c r="O14" s="367"/>
      <c r="P14" s="367"/>
      <c r="AB14" s="367">
        <f t="shared" si="3"/>
        <v>1241.0790000000002</v>
      </c>
      <c r="AC14" s="367">
        <f t="shared" si="3"/>
        <v>1241.0790000000002</v>
      </c>
      <c r="AD14" s="367">
        <f t="shared" si="3"/>
        <v>1241.0790000000002</v>
      </c>
      <c r="AE14" s="367">
        <f t="shared" si="3"/>
        <v>1241.0790000000002</v>
      </c>
      <c r="AF14" s="367">
        <f t="shared" si="3"/>
        <v>1241.0790000000002</v>
      </c>
      <c r="AG14" s="367">
        <f>SUM($D14*$I14)/100</f>
        <v>1241.0790000000002</v>
      </c>
      <c r="AH14" s="367">
        <f>SUM($D14*$I14)/100</f>
        <v>1241.0790000000002</v>
      </c>
      <c r="AI14" s="367">
        <f>SUM($D14*$I14)/100</f>
        <v>1241.0790000000002</v>
      </c>
      <c r="AJ14" s="367">
        <f>SUM($D14*$I14)/100</f>
        <v>1241.0790000000002</v>
      </c>
      <c r="AK14" s="367">
        <f>SUM($D14*$I14)/100</f>
        <v>1241.0790000000002</v>
      </c>
    </row>
    <row r="15" spans="1:37">
      <c r="B15" s="358" t="s">
        <v>1016</v>
      </c>
      <c r="C15" s="364">
        <f>DATE(83,6,1)</f>
        <v>30468</v>
      </c>
      <c r="D15" s="365">
        <v>27669</v>
      </c>
      <c r="E15" s="365"/>
      <c r="F15" s="365">
        <f>24902.1+2766.9+H15</f>
        <v>27669</v>
      </c>
      <c r="H15" s="358">
        <f t="shared" si="2"/>
        <v>0</v>
      </c>
      <c r="I15" s="366">
        <v>20</v>
      </c>
      <c r="J15" s="366"/>
      <c r="L15" s="367">
        <v>0</v>
      </c>
      <c r="M15" s="367"/>
      <c r="N15" s="367"/>
      <c r="O15" s="367"/>
      <c r="P15" s="367"/>
      <c r="AG15" s="358">
        <v>0</v>
      </c>
      <c r="AH15" s="358">
        <v>0</v>
      </c>
      <c r="AI15" s="358">
        <v>0</v>
      </c>
      <c r="AJ15" s="358">
        <v>0</v>
      </c>
      <c r="AK15" s="358">
        <v>0</v>
      </c>
    </row>
    <row r="16" spans="1:37">
      <c r="B16" s="358" t="s">
        <v>1015</v>
      </c>
      <c r="C16" s="364">
        <f>DATE(2000,7,1)</f>
        <v>36708</v>
      </c>
      <c r="D16" s="365">
        <v>2800.35</v>
      </c>
      <c r="E16" s="365"/>
      <c r="F16" s="365">
        <f t="shared" ref="F16:F21" si="4">H16</f>
        <v>2800.3500000000004</v>
      </c>
      <c r="H16" s="358">
        <f t="shared" si="2"/>
        <v>2800.3500000000004</v>
      </c>
      <c r="I16" s="366">
        <v>20</v>
      </c>
      <c r="J16" s="366"/>
      <c r="L16" s="367">
        <v>0</v>
      </c>
      <c r="M16" s="367">
        <v>0</v>
      </c>
      <c r="N16" s="367">
        <v>0</v>
      </c>
      <c r="O16" s="367">
        <v>0</v>
      </c>
      <c r="P16" s="367">
        <v>0</v>
      </c>
      <c r="Q16" s="367">
        <v>0</v>
      </c>
      <c r="R16" s="367">
        <v>0</v>
      </c>
      <c r="S16" s="367">
        <v>0</v>
      </c>
      <c r="T16" s="367">
        <v>0</v>
      </c>
      <c r="U16" s="367">
        <v>0</v>
      </c>
      <c r="W16" s="367">
        <f>SUM($D16*$I16)/100</f>
        <v>560.07000000000005</v>
      </c>
      <c r="X16" s="367">
        <v>560.07000000000005</v>
      </c>
      <c r="Y16" s="367">
        <v>560.09</v>
      </c>
      <c r="Z16" s="367">
        <v>560.09</v>
      </c>
      <c r="AA16" s="367">
        <v>560.03</v>
      </c>
      <c r="AB16" s="367">
        <v>0</v>
      </c>
      <c r="AC16" s="367">
        <v>0</v>
      </c>
      <c r="AD16" s="367">
        <v>0</v>
      </c>
      <c r="AE16" s="367">
        <v>0</v>
      </c>
      <c r="AF16" s="367">
        <v>0</v>
      </c>
      <c r="AG16" s="367">
        <v>0</v>
      </c>
      <c r="AH16" s="367">
        <v>0</v>
      </c>
      <c r="AI16" s="367">
        <v>0</v>
      </c>
      <c r="AJ16" s="367">
        <v>0</v>
      </c>
      <c r="AK16" s="367">
        <v>0</v>
      </c>
    </row>
    <row r="17" spans="1:37">
      <c r="B17" s="358" t="s">
        <v>1014</v>
      </c>
      <c r="C17" s="364">
        <f>DATE(98,10,1)</f>
        <v>36069</v>
      </c>
      <c r="D17" s="365">
        <v>1820.14</v>
      </c>
      <c r="E17" s="365"/>
      <c r="F17" s="365">
        <f t="shared" si="4"/>
        <v>1820.1480000000004</v>
      </c>
      <c r="H17" s="358">
        <f t="shared" si="2"/>
        <v>1820.1480000000004</v>
      </c>
      <c r="I17" s="366">
        <v>10</v>
      </c>
      <c r="J17" s="366"/>
      <c r="L17" s="367"/>
      <c r="M17" s="367"/>
      <c r="N17" s="367"/>
      <c r="O17" s="367"/>
      <c r="P17" s="367"/>
      <c r="Q17" s="367"/>
      <c r="R17" s="367"/>
      <c r="S17" s="367"/>
      <c r="T17" s="367"/>
      <c r="U17" s="367">
        <f>SUM($D17*$I17)/100</f>
        <v>182.01400000000001</v>
      </c>
      <c r="V17" s="367">
        <f>SUM($D17*$I17)/100</f>
        <v>182.01400000000001</v>
      </c>
      <c r="W17" s="367">
        <f>SUM($D17*$I17)/100</f>
        <v>182.01400000000001</v>
      </c>
      <c r="X17" s="367">
        <v>182.01</v>
      </c>
      <c r="Y17" s="367">
        <v>182.01</v>
      </c>
      <c r="Z17" s="367">
        <f>SUM($D17*$I17)/100</f>
        <v>182.01400000000001</v>
      </c>
      <c r="AA17" s="367">
        <f>SUM($D17*$I17)/100</f>
        <v>182.01400000000001</v>
      </c>
      <c r="AB17" s="367">
        <f>SUM($D17*$I17)/100</f>
        <v>182.01400000000001</v>
      </c>
      <c r="AC17" s="367">
        <f>SUM($D17*$I17)/100</f>
        <v>182.01400000000001</v>
      </c>
      <c r="AD17" s="367">
        <v>182.03</v>
      </c>
      <c r="AE17" s="367">
        <v>0</v>
      </c>
      <c r="AF17" s="367">
        <v>0</v>
      </c>
      <c r="AG17" s="367">
        <v>0</v>
      </c>
      <c r="AH17" s="367">
        <v>0</v>
      </c>
      <c r="AI17" s="367">
        <v>0</v>
      </c>
      <c r="AJ17" s="367">
        <v>-0.01</v>
      </c>
      <c r="AK17" s="367">
        <v>0</v>
      </c>
    </row>
    <row r="18" spans="1:37">
      <c r="B18" s="358" t="s">
        <v>1013</v>
      </c>
      <c r="C18" s="364">
        <f>DATE(95,9,1)</f>
        <v>34943</v>
      </c>
      <c r="D18" s="365">
        <v>2934.57</v>
      </c>
      <c r="E18" s="365"/>
      <c r="F18" s="365">
        <f t="shared" si="4"/>
        <v>2934.5689999999995</v>
      </c>
      <c r="H18" s="358">
        <f t="shared" si="2"/>
        <v>2934.5689999999995</v>
      </c>
      <c r="I18" s="366">
        <v>10</v>
      </c>
      <c r="J18" s="366"/>
      <c r="K18" s="358">
        <v>0</v>
      </c>
      <c r="L18" s="367">
        <v>0</v>
      </c>
      <c r="M18" s="367">
        <v>0</v>
      </c>
      <c r="N18" s="367">
        <v>0</v>
      </c>
      <c r="O18" s="367">
        <v>0</v>
      </c>
      <c r="P18" s="367">
        <v>0</v>
      </c>
      <c r="Q18" s="367">
        <v>0</v>
      </c>
      <c r="R18" s="367">
        <f>SUM($D18*$I18)/100</f>
        <v>293.45699999999999</v>
      </c>
      <c r="S18" s="367">
        <f>SUM($D18*$I18)/100-0.01</f>
        <v>293.447</v>
      </c>
      <c r="T18" s="367">
        <f>SUM($D18*$I18)/100-0.04</f>
        <v>293.41699999999997</v>
      </c>
      <c r="U18" s="367">
        <f>SUM($D18*$I18)/100-0.04</f>
        <v>293.41699999999997</v>
      </c>
      <c r="V18" s="367">
        <f>SUM($D18*$I18)/100-0.04</f>
        <v>293.41699999999997</v>
      </c>
      <c r="W18" s="367">
        <f>SUM($D18*$I18)/100-0.04</f>
        <v>293.41699999999997</v>
      </c>
      <c r="X18" s="367">
        <v>293.42</v>
      </c>
      <c r="Y18" s="367">
        <v>293.42</v>
      </c>
      <c r="Z18" s="367">
        <f>SUM($D18*$I18)/100-0.04</f>
        <v>293.41699999999997</v>
      </c>
      <c r="AA18" s="367">
        <v>293.74</v>
      </c>
      <c r="AB18" s="367">
        <v>0</v>
      </c>
      <c r="AC18" s="367">
        <v>0</v>
      </c>
      <c r="AD18" s="367">
        <v>0</v>
      </c>
      <c r="AE18" s="367">
        <v>0</v>
      </c>
      <c r="AF18" s="367">
        <v>0</v>
      </c>
      <c r="AG18" s="367">
        <v>0</v>
      </c>
      <c r="AH18" s="367">
        <v>0</v>
      </c>
      <c r="AI18" s="367">
        <v>0</v>
      </c>
      <c r="AJ18" s="367">
        <v>0</v>
      </c>
      <c r="AK18" s="367">
        <v>0</v>
      </c>
    </row>
    <row r="19" spans="1:37">
      <c r="B19" s="358" t="s">
        <v>1012</v>
      </c>
      <c r="C19" s="364">
        <f>DATE(95,12,1)</f>
        <v>35034</v>
      </c>
      <c r="D19" s="365">
        <v>1962.8</v>
      </c>
      <c r="E19" s="365"/>
      <c r="F19" s="365">
        <f t="shared" si="4"/>
        <v>1962.8</v>
      </c>
      <c r="H19" s="358">
        <f t="shared" si="2"/>
        <v>1962.8</v>
      </c>
      <c r="I19" s="366">
        <v>10</v>
      </c>
      <c r="J19" s="366"/>
      <c r="K19" s="358">
        <v>0</v>
      </c>
      <c r="L19" s="367">
        <v>0</v>
      </c>
      <c r="M19" s="367">
        <v>0</v>
      </c>
      <c r="N19" s="367">
        <v>0</v>
      </c>
      <c r="O19" s="367">
        <v>0</v>
      </c>
      <c r="P19" s="367">
        <v>0</v>
      </c>
      <c r="Q19" s="367">
        <v>0</v>
      </c>
      <c r="R19" s="367">
        <f>SUM($D19*$I19)/100</f>
        <v>196.28</v>
      </c>
      <c r="S19" s="367">
        <f t="shared" ref="S19:W20" si="5">SUM($D19*$I19)/100</f>
        <v>196.28</v>
      </c>
      <c r="T19" s="367">
        <f t="shared" si="5"/>
        <v>196.28</v>
      </c>
      <c r="U19" s="367">
        <f t="shared" si="5"/>
        <v>196.28</v>
      </c>
      <c r="V19" s="367">
        <f t="shared" si="5"/>
        <v>196.28</v>
      </c>
      <c r="W19" s="367">
        <f t="shared" si="5"/>
        <v>196.28</v>
      </c>
      <c r="X19" s="367">
        <v>196.28</v>
      </c>
      <c r="Y19" s="367">
        <v>196.28</v>
      </c>
      <c r="Z19" s="367">
        <f>SUM($D19*$I19)/100</f>
        <v>196.28</v>
      </c>
      <c r="AA19" s="367">
        <f>SUM($D19*$I19)/100</f>
        <v>196.28</v>
      </c>
      <c r="AB19" s="367">
        <v>0</v>
      </c>
      <c r="AC19" s="367">
        <v>0</v>
      </c>
      <c r="AD19" s="367">
        <v>0</v>
      </c>
      <c r="AE19" s="367">
        <v>0</v>
      </c>
      <c r="AF19" s="367">
        <v>0</v>
      </c>
      <c r="AG19" s="374">
        <v>0</v>
      </c>
      <c r="AH19" s="374">
        <v>0</v>
      </c>
      <c r="AI19" s="374">
        <v>0</v>
      </c>
      <c r="AJ19" s="374">
        <v>0</v>
      </c>
      <c r="AK19" s="374">
        <v>0</v>
      </c>
    </row>
    <row r="20" spans="1:37">
      <c r="B20" s="358" t="s">
        <v>1011</v>
      </c>
      <c r="C20" s="364">
        <f>DATE(94,10,1)</f>
        <v>34608</v>
      </c>
      <c r="D20" s="358">
        <v>48325.71</v>
      </c>
      <c r="E20" s="375"/>
      <c r="F20" s="365">
        <f t="shared" si="4"/>
        <v>48325.706250000003</v>
      </c>
      <c r="G20" s="375"/>
      <c r="H20" s="358">
        <f t="shared" si="2"/>
        <v>48325.706250000003</v>
      </c>
      <c r="I20" s="366">
        <v>7</v>
      </c>
      <c r="J20" s="375"/>
      <c r="K20" s="375"/>
      <c r="L20" s="375"/>
      <c r="M20" s="375"/>
      <c r="N20" s="375"/>
      <c r="O20" s="376">
        <v>0</v>
      </c>
      <c r="P20" s="376">
        <v>0</v>
      </c>
      <c r="Q20" s="376">
        <f>SUM($D20*$I20)/100/2</f>
        <v>1691.3998499999998</v>
      </c>
      <c r="R20" s="376">
        <f>SUM($D20*$I20)/100</f>
        <v>3382.7996999999996</v>
      </c>
      <c r="S20" s="376">
        <f t="shared" si="5"/>
        <v>3382.7996999999996</v>
      </c>
      <c r="T20" s="376">
        <f t="shared" si="5"/>
        <v>3382.7996999999996</v>
      </c>
      <c r="U20" s="376">
        <f t="shared" si="5"/>
        <v>3382.7996999999996</v>
      </c>
      <c r="V20" s="376">
        <f t="shared" si="5"/>
        <v>3382.7996999999996</v>
      </c>
      <c r="W20" s="376">
        <f t="shared" si="5"/>
        <v>3382.7996999999996</v>
      </c>
      <c r="X20" s="376">
        <v>3382.8</v>
      </c>
      <c r="Y20" s="376">
        <v>3382.8</v>
      </c>
      <c r="Z20" s="376">
        <f>SUM($D20*$I20)/100</f>
        <v>3382.7996999999996</v>
      </c>
      <c r="AA20" s="376">
        <f>SUM($D20*$I20)/100</f>
        <v>3382.7996999999996</v>
      </c>
      <c r="AB20" s="376">
        <f>SUM($D20*$I20)/100</f>
        <v>3382.7996999999996</v>
      </c>
      <c r="AC20" s="376">
        <f>SUM($D20*$I20)/100</f>
        <v>3382.7996999999996</v>
      </c>
      <c r="AD20" s="376">
        <f>SUM($D20*$I20)/100</f>
        <v>3382.7996999999996</v>
      </c>
      <c r="AE20" s="376">
        <f>SUM($D20*$I20)/100</f>
        <v>3382.7996999999996</v>
      </c>
      <c r="AF20" s="367">
        <v>-724.89</v>
      </c>
      <c r="AG20" s="367">
        <v>0</v>
      </c>
      <c r="AH20" s="367">
        <v>0</v>
      </c>
      <c r="AI20" s="367">
        <v>0</v>
      </c>
      <c r="AJ20" s="367">
        <v>0</v>
      </c>
      <c r="AK20" s="367">
        <v>0</v>
      </c>
    </row>
    <row r="21" spans="1:37">
      <c r="B21" s="377" t="s">
        <v>1010</v>
      </c>
      <c r="C21" s="378">
        <f>DATE(10,6,22)</f>
        <v>3826</v>
      </c>
      <c r="D21" s="379">
        <v>26965.66</v>
      </c>
      <c r="E21" s="379"/>
      <c r="F21" s="380">
        <f t="shared" si="4"/>
        <v>8089.6979999999994</v>
      </c>
      <c r="G21" s="379"/>
      <c r="H21" s="358">
        <f t="shared" si="2"/>
        <v>8089.6979999999994</v>
      </c>
      <c r="I21" s="381">
        <v>10</v>
      </c>
      <c r="J21" s="379">
        <v>10</v>
      </c>
      <c r="K21" s="379"/>
      <c r="L21" s="379"/>
      <c r="M21" s="379"/>
      <c r="N21" s="379"/>
      <c r="O21" s="382"/>
      <c r="P21" s="382"/>
      <c r="Q21" s="382"/>
      <c r="R21" s="382"/>
      <c r="S21" s="382"/>
      <c r="T21" s="382"/>
      <c r="U21" s="382"/>
      <c r="V21" s="382"/>
      <c r="W21" s="382"/>
      <c r="X21" s="382"/>
      <c r="Y21" s="382"/>
      <c r="Z21" s="382"/>
      <c r="AA21" s="382"/>
      <c r="AB21" s="382"/>
      <c r="AC21" s="382"/>
      <c r="AD21" s="382"/>
      <c r="AE21" s="382"/>
      <c r="AF21" s="382"/>
      <c r="AG21" s="382">
        <f>SUM($D21*$I21)/100</f>
        <v>2696.5659999999998</v>
      </c>
      <c r="AH21" s="382">
        <f>SUM($D21*$I21)/100</f>
        <v>2696.5659999999998</v>
      </c>
      <c r="AI21" s="382">
        <f>SUM($D21*$I21)/100</f>
        <v>2696.5659999999998</v>
      </c>
      <c r="AJ21" s="382">
        <f>SUM($D21*$I21)/100</f>
        <v>2696.5659999999998</v>
      </c>
      <c r="AK21" s="382">
        <f>SUM($D21*$I21)/100</f>
        <v>2696.5659999999998</v>
      </c>
    </row>
    <row r="22" spans="1:37">
      <c r="D22" s="358">
        <f>SUM(D12:D21)</f>
        <v>152834.37000000002</v>
      </c>
      <c r="E22" s="365">
        <f>F22+AJ22</f>
        <v>135413.88825000002</v>
      </c>
      <c r="F22" s="358">
        <f>SUM(F12:F21)</f>
        <v>131476.25325000001</v>
      </c>
      <c r="H22" s="358">
        <f t="shared" si="2"/>
        <v>103807.25325000002</v>
      </c>
      <c r="I22" s="366"/>
      <c r="J22" s="366"/>
      <c r="L22" s="367">
        <f t="shared" ref="L22:Y22" si="6">SUM(L12:L20)</f>
        <v>0</v>
      </c>
      <c r="M22" s="367">
        <f t="shared" si="6"/>
        <v>0</v>
      </c>
      <c r="N22" s="367">
        <f t="shared" si="6"/>
        <v>0</v>
      </c>
      <c r="O22" s="367">
        <f t="shared" si="6"/>
        <v>0</v>
      </c>
      <c r="P22" s="367">
        <f t="shared" si="6"/>
        <v>0</v>
      </c>
      <c r="Q22" s="367">
        <f t="shared" si="6"/>
        <v>1691.3998499999998</v>
      </c>
      <c r="R22" s="367">
        <f t="shared" si="6"/>
        <v>3872.5366999999997</v>
      </c>
      <c r="S22" s="367">
        <f t="shared" si="6"/>
        <v>3872.5266999999994</v>
      </c>
      <c r="T22" s="367">
        <f t="shared" si="6"/>
        <v>3872.4966999999997</v>
      </c>
      <c r="U22" s="367">
        <f t="shared" si="6"/>
        <v>4054.5106999999998</v>
      </c>
      <c r="V22" s="367">
        <f t="shared" si="6"/>
        <v>4054.5106999999998</v>
      </c>
      <c r="W22" s="367">
        <f t="shared" si="6"/>
        <v>4614.5806999999995</v>
      </c>
      <c r="X22" s="367">
        <f t="shared" si="6"/>
        <v>4614.58</v>
      </c>
      <c r="Y22" s="367">
        <f t="shared" si="6"/>
        <v>4614.6000000000004</v>
      </c>
      <c r="Z22" s="367">
        <f>SUM(Z12:Z21)</f>
        <v>4614.6006999999991</v>
      </c>
      <c r="AA22" s="367">
        <f>SUM(AA12:AA21)</f>
        <v>4614.8636999999999</v>
      </c>
      <c r="AB22" s="367">
        <f>SUM(AB12:AB20)</f>
        <v>10394.9627</v>
      </c>
      <c r="AC22" s="367">
        <f>SUM(AC12:AC20)</f>
        <v>10394.9627</v>
      </c>
      <c r="AD22" s="367">
        <f>SUM(AD12:AD20)</f>
        <v>10394.9787</v>
      </c>
      <c r="AE22" s="367">
        <f>SUM(AE12:AE20)</f>
        <v>10212.948699999999</v>
      </c>
      <c r="AF22" s="367">
        <f t="shared" ref="AF22:AK22" si="7">SUM(AF12:AF21)</f>
        <v>6105.2589999999991</v>
      </c>
      <c r="AG22" s="367">
        <f t="shared" si="7"/>
        <v>3937.645</v>
      </c>
      <c r="AH22" s="367">
        <f t="shared" si="7"/>
        <v>3937.645</v>
      </c>
      <c r="AI22" s="367">
        <f t="shared" si="7"/>
        <v>3937.645</v>
      </c>
      <c r="AJ22" s="367">
        <f t="shared" si="7"/>
        <v>3937.6350000000002</v>
      </c>
      <c r="AK22" s="367">
        <f t="shared" si="7"/>
        <v>3937.645</v>
      </c>
    </row>
    <row r="23" spans="1:37">
      <c r="D23" s="365"/>
      <c r="E23" s="365"/>
      <c r="F23" s="365"/>
      <c r="I23" s="366"/>
      <c r="J23" s="366"/>
      <c r="L23" s="367"/>
      <c r="M23" s="367"/>
      <c r="N23" s="367"/>
      <c r="O23" s="367"/>
      <c r="P23" s="367"/>
    </row>
    <row r="24" spans="1:37">
      <c r="A24" s="358" t="s">
        <v>1009</v>
      </c>
      <c r="D24" s="365"/>
      <c r="E24" s="365"/>
      <c r="F24" s="365"/>
      <c r="I24" s="366"/>
      <c r="J24" s="366"/>
      <c r="L24" s="367"/>
      <c r="M24" s="367"/>
      <c r="N24" s="367"/>
      <c r="O24" s="367"/>
      <c r="P24" s="367"/>
    </row>
    <row r="25" spans="1:37">
      <c r="B25" s="358" t="s">
        <v>1008</v>
      </c>
      <c r="C25" s="368">
        <f>DATE(98,7,1)</f>
        <v>35977</v>
      </c>
      <c r="D25" s="369">
        <v>730843.9</v>
      </c>
      <c r="E25" s="370"/>
      <c r="F25" s="369">
        <f>H25</f>
        <v>164311.117</v>
      </c>
      <c r="G25" s="370"/>
      <c r="H25" s="370">
        <f>SUM(K25:AI25)</f>
        <v>164311.117</v>
      </c>
      <c r="I25" s="383">
        <v>1.5</v>
      </c>
      <c r="J25" s="371"/>
      <c r="K25" s="370"/>
      <c r="L25" s="372">
        <v>0</v>
      </c>
      <c r="M25" s="372">
        <v>0</v>
      </c>
      <c r="N25" s="372">
        <v>0</v>
      </c>
      <c r="O25" s="372">
        <v>0</v>
      </c>
      <c r="P25" s="372">
        <v>0</v>
      </c>
      <c r="Q25" s="372">
        <v>0</v>
      </c>
      <c r="R25" s="372">
        <v>0</v>
      </c>
      <c r="S25" s="372">
        <v>0</v>
      </c>
      <c r="T25" s="372">
        <v>0</v>
      </c>
      <c r="U25" s="372">
        <v>10833.16</v>
      </c>
      <c r="V25" s="372">
        <f>SUM($D25*$I25)/100</f>
        <v>10962.658500000001</v>
      </c>
      <c r="W25" s="372">
        <f>SUM($D25*$I25)/100</f>
        <v>10962.658500000001</v>
      </c>
      <c r="X25" s="372">
        <v>10962.72</v>
      </c>
      <c r="Y25" s="372">
        <v>10962.72</v>
      </c>
      <c r="Z25" s="372">
        <v>10962.72</v>
      </c>
      <c r="AA25" s="372">
        <v>10962.72</v>
      </c>
      <c r="AB25" s="372">
        <v>10962.72</v>
      </c>
      <c r="AC25" s="372">
        <v>10962.72</v>
      </c>
      <c r="AD25" s="372">
        <v>10962.72</v>
      </c>
      <c r="AE25" s="372">
        <v>10962.72</v>
      </c>
      <c r="AF25" s="372">
        <v>10962.72</v>
      </c>
      <c r="AG25" s="372">
        <v>10962.72</v>
      </c>
      <c r="AH25" s="372">
        <v>10962.72</v>
      </c>
      <c r="AI25" s="372">
        <v>10962.72</v>
      </c>
      <c r="AJ25" s="372">
        <v>10962.72</v>
      </c>
      <c r="AK25" s="372">
        <v>10963.72</v>
      </c>
    </row>
    <row r="26" spans="1:37">
      <c r="C26" s="364"/>
      <c r="D26" s="365"/>
      <c r="E26" s="384">
        <f>F25+AJ26</f>
        <v>175273.837</v>
      </c>
      <c r="F26" s="365">
        <f>SUM(F25)</f>
        <v>164311.117</v>
      </c>
      <c r="H26" s="358">
        <f>SUM(H25)</f>
        <v>164311.117</v>
      </c>
      <c r="I26" s="385"/>
      <c r="J26" s="366"/>
      <c r="L26" s="367"/>
      <c r="M26" s="367"/>
      <c r="N26" s="367"/>
      <c r="O26" s="367"/>
      <c r="P26" s="367"/>
      <c r="Q26" s="367"/>
      <c r="R26" s="367"/>
      <c r="S26" s="367"/>
      <c r="T26" s="367"/>
      <c r="U26" s="367"/>
      <c r="V26" s="367"/>
      <c r="W26" s="367"/>
      <c r="X26" s="367"/>
      <c r="Y26" s="367"/>
      <c r="Z26" s="367"/>
      <c r="AA26" s="367"/>
      <c r="AB26" s="367"/>
      <c r="AC26" s="367"/>
      <c r="AD26" s="367"/>
      <c r="AE26" s="367"/>
      <c r="AF26" s="367"/>
      <c r="AG26" s="367">
        <f>SUM(AG25)</f>
        <v>10962.72</v>
      </c>
      <c r="AH26" s="367">
        <f>SUM(AH25)</f>
        <v>10962.72</v>
      </c>
      <c r="AI26" s="367">
        <f>SUM(AI25)</f>
        <v>10962.72</v>
      </c>
      <c r="AJ26" s="367">
        <f>SUM(AJ25)</f>
        <v>10962.72</v>
      </c>
      <c r="AK26" s="367">
        <f>SUM(AK25)</f>
        <v>10963.72</v>
      </c>
    </row>
    <row r="27" spans="1:37">
      <c r="C27" s="364"/>
      <c r="D27" s="365"/>
      <c r="E27" s="365"/>
      <c r="F27" s="365"/>
      <c r="I27" s="366"/>
      <c r="J27" s="366"/>
      <c r="L27" s="367"/>
      <c r="M27" s="367"/>
      <c r="N27" s="367"/>
      <c r="O27" s="367"/>
      <c r="P27" s="367"/>
      <c r="Q27" s="367"/>
      <c r="R27" s="367"/>
      <c r="S27" s="367"/>
      <c r="T27" s="367"/>
      <c r="U27" s="367"/>
      <c r="V27" s="367"/>
      <c r="W27" s="367"/>
      <c r="X27" s="367"/>
      <c r="Y27" s="367"/>
      <c r="Z27" s="367"/>
      <c r="AA27" s="367"/>
      <c r="AB27" s="367"/>
      <c r="AC27" s="367"/>
      <c r="AD27" s="367"/>
      <c r="AE27" s="367"/>
      <c r="AF27" s="367"/>
    </row>
    <row r="28" spans="1:37">
      <c r="A28" s="358" t="s">
        <v>1007</v>
      </c>
      <c r="D28" s="365"/>
      <c r="E28" s="365"/>
      <c r="F28" s="365"/>
      <c r="I28" s="366"/>
      <c r="J28" s="366"/>
      <c r="L28" s="367"/>
      <c r="M28" s="367"/>
      <c r="N28" s="367"/>
      <c r="O28" s="367"/>
      <c r="P28" s="367"/>
    </row>
    <row r="29" spans="1:37">
      <c r="B29" s="358" t="s">
        <v>1006</v>
      </c>
      <c r="D29" s="365">
        <v>263762.32</v>
      </c>
      <c r="E29" s="365"/>
      <c r="F29" s="365">
        <f>145417.35+5275.25+H29</f>
        <v>263762.31880000001</v>
      </c>
      <c r="H29" s="358">
        <f t="shared" ref="H29:H75" si="8">SUM(K29:AI29)</f>
        <v>113069.7188</v>
      </c>
      <c r="I29" s="366">
        <v>2</v>
      </c>
      <c r="J29" s="385">
        <v>3</v>
      </c>
      <c r="L29" s="367">
        <f t="shared" ref="L29:S37" si="9">SUM($D29*$I29)/100</f>
        <v>5275.2464</v>
      </c>
      <c r="M29" s="367">
        <f t="shared" si="9"/>
        <v>5275.2464</v>
      </c>
      <c r="N29" s="367">
        <f t="shared" si="9"/>
        <v>5275.2464</v>
      </c>
      <c r="O29" s="367">
        <f t="shared" si="9"/>
        <v>5275.2464</v>
      </c>
      <c r="P29" s="367">
        <f t="shared" si="9"/>
        <v>5275.2464</v>
      </c>
      <c r="Q29" s="367">
        <f t="shared" si="9"/>
        <v>5275.2464</v>
      </c>
      <c r="R29" s="367">
        <f t="shared" si="9"/>
        <v>5275.2464</v>
      </c>
      <c r="S29" s="367">
        <f t="shared" si="9"/>
        <v>5275.2464</v>
      </c>
      <c r="T29" s="367">
        <f t="shared" ref="T29:W46" si="10">SUM($D29*$J29)/100</f>
        <v>7912.8696</v>
      </c>
      <c r="U29" s="367">
        <f t="shared" si="10"/>
        <v>7912.8696</v>
      </c>
      <c r="V29" s="367">
        <f t="shared" si="10"/>
        <v>7912.8696</v>
      </c>
      <c r="W29" s="367">
        <f t="shared" si="10"/>
        <v>7912.8696</v>
      </c>
      <c r="X29" s="367">
        <v>7912.87</v>
      </c>
      <c r="Y29" s="367">
        <v>7912.87</v>
      </c>
      <c r="Z29" s="367">
        <f t="shared" ref="Z29:AA47" si="11">SUM($D29*$J29)/100</f>
        <v>7912.8696</v>
      </c>
      <c r="AA29" s="367">
        <f t="shared" si="11"/>
        <v>7912.8696</v>
      </c>
      <c r="AB29" s="367">
        <v>7564.79</v>
      </c>
      <c r="AC29" s="367">
        <v>0</v>
      </c>
      <c r="AD29" s="367">
        <v>0</v>
      </c>
      <c r="AE29" s="367">
        <v>0</v>
      </c>
      <c r="AF29" s="367">
        <v>0</v>
      </c>
      <c r="AG29" s="367">
        <v>0</v>
      </c>
      <c r="AH29" s="367">
        <v>0</v>
      </c>
      <c r="AI29" s="367">
        <v>0</v>
      </c>
      <c r="AJ29" s="367">
        <v>0</v>
      </c>
      <c r="AK29" s="367">
        <v>0</v>
      </c>
    </row>
    <row r="30" spans="1:37">
      <c r="B30" s="358" t="s">
        <v>998</v>
      </c>
      <c r="C30" s="364">
        <f>DATE(77,1,1)</f>
        <v>28126</v>
      </c>
      <c r="D30" s="365">
        <v>42022.400000000001</v>
      </c>
      <c r="E30" s="365"/>
      <c r="F30" s="365">
        <f>8823.79+840.45+H30</f>
        <v>36558.571999999993</v>
      </c>
      <c r="H30" s="358">
        <f t="shared" si="8"/>
        <v>26894.331999999991</v>
      </c>
      <c r="I30" s="366">
        <v>2</v>
      </c>
      <c r="J30" s="385">
        <v>3</v>
      </c>
      <c r="L30" s="367">
        <f t="shared" si="9"/>
        <v>840.44799999999998</v>
      </c>
      <c r="M30" s="367">
        <f t="shared" si="9"/>
        <v>840.44799999999998</v>
      </c>
      <c r="N30" s="367">
        <f t="shared" si="9"/>
        <v>840.44799999999998</v>
      </c>
      <c r="O30" s="367">
        <f t="shared" si="9"/>
        <v>840.44799999999998</v>
      </c>
      <c r="P30" s="367">
        <f t="shared" si="9"/>
        <v>840.44799999999998</v>
      </c>
      <c r="Q30" s="367">
        <f t="shared" si="9"/>
        <v>840.44799999999998</v>
      </c>
      <c r="R30" s="367">
        <f t="shared" si="9"/>
        <v>840.44799999999998</v>
      </c>
      <c r="S30" s="367">
        <f t="shared" si="9"/>
        <v>840.44799999999998</v>
      </c>
      <c r="T30" s="367">
        <f t="shared" si="10"/>
        <v>1260.672</v>
      </c>
      <c r="U30" s="367">
        <f t="shared" si="10"/>
        <v>1260.672</v>
      </c>
      <c r="V30" s="367">
        <f t="shared" si="10"/>
        <v>1260.672</v>
      </c>
      <c r="W30" s="367">
        <f t="shared" si="10"/>
        <v>1260.672</v>
      </c>
      <c r="X30" s="367">
        <v>1260.67</v>
      </c>
      <c r="Y30" s="367">
        <v>1260.67</v>
      </c>
      <c r="Z30" s="367">
        <f t="shared" si="11"/>
        <v>1260.672</v>
      </c>
      <c r="AA30" s="367">
        <f t="shared" si="11"/>
        <v>1260.672</v>
      </c>
      <c r="AB30" s="367">
        <f t="shared" ref="AB30:AK39" si="12">SUM($D30*$J30)/100</f>
        <v>1260.672</v>
      </c>
      <c r="AC30" s="367">
        <f t="shared" si="12"/>
        <v>1260.672</v>
      </c>
      <c r="AD30" s="367">
        <f t="shared" si="12"/>
        <v>1260.672</v>
      </c>
      <c r="AE30" s="367">
        <f t="shared" si="12"/>
        <v>1260.672</v>
      </c>
      <c r="AF30" s="367">
        <f t="shared" si="12"/>
        <v>1260.672</v>
      </c>
      <c r="AG30" s="367">
        <f t="shared" si="12"/>
        <v>1260.672</v>
      </c>
      <c r="AH30" s="367">
        <f t="shared" si="12"/>
        <v>1260.672</v>
      </c>
      <c r="AI30" s="367">
        <f t="shared" si="12"/>
        <v>1260.672</v>
      </c>
      <c r="AJ30" s="367">
        <f t="shared" si="12"/>
        <v>1260.672</v>
      </c>
      <c r="AK30" s="367">
        <f t="shared" si="12"/>
        <v>1260.672</v>
      </c>
    </row>
    <row r="31" spans="1:37">
      <c r="B31" s="358" t="s">
        <v>998</v>
      </c>
      <c r="C31" s="364">
        <f>DATE(78,1,1)</f>
        <v>28491</v>
      </c>
      <c r="D31" s="365">
        <v>4809.3599999999997</v>
      </c>
      <c r="E31" s="365"/>
      <c r="F31" s="365">
        <f>913.31+96.19+H31</f>
        <v>4087.4887999999996</v>
      </c>
      <c r="H31" s="358">
        <f t="shared" si="8"/>
        <v>3077.9887999999996</v>
      </c>
      <c r="I31" s="366">
        <v>2</v>
      </c>
      <c r="J31" s="385">
        <v>3</v>
      </c>
      <c r="L31" s="367">
        <f t="shared" si="9"/>
        <v>96.18719999999999</v>
      </c>
      <c r="M31" s="367">
        <f t="shared" si="9"/>
        <v>96.18719999999999</v>
      </c>
      <c r="N31" s="367">
        <f t="shared" si="9"/>
        <v>96.18719999999999</v>
      </c>
      <c r="O31" s="367">
        <f t="shared" si="9"/>
        <v>96.18719999999999</v>
      </c>
      <c r="P31" s="367">
        <f t="shared" si="9"/>
        <v>96.18719999999999</v>
      </c>
      <c r="Q31" s="367">
        <f t="shared" si="9"/>
        <v>96.18719999999999</v>
      </c>
      <c r="R31" s="367">
        <f t="shared" si="9"/>
        <v>96.18719999999999</v>
      </c>
      <c r="S31" s="367">
        <f t="shared" si="9"/>
        <v>96.18719999999999</v>
      </c>
      <c r="T31" s="367">
        <f t="shared" si="10"/>
        <v>144.28079999999997</v>
      </c>
      <c r="U31" s="367">
        <f t="shared" si="10"/>
        <v>144.28079999999997</v>
      </c>
      <c r="V31" s="367">
        <f t="shared" si="10"/>
        <v>144.28079999999997</v>
      </c>
      <c r="W31" s="367">
        <f t="shared" si="10"/>
        <v>144.28079999999997</v>
      </c>
      <c r="X31" s="367">
        <v>144.28</v>
      </c>
      <c r="Y31" s="367">
        <v>144.28</v>
      </c>
      <c r="Z31" s="367">
        <f t="shared" si="11"/>
        <v>144.28079999999997</v>
      </c>
      <c r="AA31" s="367">
        <f t="shared" si="11"/>
        <v>144.28079999999997</v>
      </c>
      <c r="AB31" s="367">
        <f t="shared" si="12"/>
        <v>144.28079999999997</v>
      </c>
      <c r="AC31" s="367">
        <f t="shared" si="12"/>
        <v>144.28079999999997</v>
      </c>
      <c r="AD31" s="367">
        <f t="shared" si="12"/>
        <v>144.28079999999997</v>
      </c>
      <c r="AE31" s="367">
        <f t="shared" si="12"/>
        <v>144.28079999999997</v>
      </c>
      <c r="AF31" s="367">
        <f t="shared" si="12"/>
        <v>144.28079999999997</v>
      </c>
      <c r="AG31" s="367">
        <f t="shared" si="12"/>
        <v>144.28079999999997</v>
      </c>
      <c r="AH31" s="367">
        <f t="shared" si="12"/>
        <v>144.28079999999997</v>
      </c>
      <c r="AI31" s="367">
        <f t="shared" si="12"/>
        <v>144.28079999999997</v>
      </c>
      <c r="AJ31" s="367">
        <f t="shared" si="12"/>
        <v>144.28079999999997</v>
      </c>
      <c r="AK31" s="367">
        <f t="shared" si="12"/>
        <v>144.28079999999997</v>
      </c>
    </row>
    <row r="32" spans="1:37">
      <c r="B32" s="358" t="s">
        <v>998</v>
      </c>
      <c r="C32" s="364">
        <f>DATE(79,1,1)</f>
        <v>28856</v>
      </c>
      <c r="D32" s="365">
        <v>150437.04999999999</v>
      </c>
      <c r="E32" s="365"/>
      <c r="F32" s="365">
        <f>25594.06+3008.74+H32</f>
        <v>124882.50899999999</v>
      </c>
      <c r="H32" s="358">
        <f t="shared" si="8"/>
        <v>96279.708999999988</v>
      </c>
      <c r="I32" s="366">
        <v>2</v>
      </c>
      <c r="J32" s="385">
        <v>3</v>
      </c>
      <c r="L32" s="367">
        <f t="shared" si="9"/>
        <v>3008.741</v>
      </c>
      <c r="M32" s="367">
        <f t="shared" si="9"/>
        <v>3008.741</v>
      </c>
      <c r="N32" s="367">
        <f t="shared" si="9"/>
        <v>3008.741</v>
      </c>
      <c r="O32" s="367">
        <f t="shared" si="9"/>
        <v>3008.741</v>
      </c>
      <c r="P32" s="367">
        <f t="shared" si="9"/>
        <v>3008.741</v>
      </c>
      <c r="Q32" s="367">
        <f t="shared" si="9"/>
        <v>3008.741</v>
      </c>
      <c r="R32" s="367">
        <f t="shared" si="9"/>
        <v>3008.741</v>
      </c>
      <c r="S32" s="367">
        <f t="shared" si="9"/>
        <v>3008.741</v>
      </c>
      <c r="T32" s="367">
        <f t="shared" si="10"/>
        <v>4513.1115</v>
      </c>
      <c r="U32" s="367">
        <f t="shared" si="10"/>
        <v>4513.1115</v>
      </c>
      <c r="V32" s="367">
        <f t="shared" si="10"/>
        <v>4513.1115</v>
      </c>
      <c r="W32" s="367">
        <f t="shared" si="10"/>
        <v>4513.1115</v>
      </c>
      <c r="X32" s="367">
        <v>4513.1099999999997</v>
      </c>
      <c r="Y32" s="367">
        <v>4513.1099999999997</v>
      </c>
      <c r="Z32" s="367">
        <f t="shared" si="11"/>
        <v>4513.1115</v>
      </c>
      <c r="AA32" s="367">
        <f t="shared" si="11"/>
        <v>4513.1115</v>
      </c>
      <c r="AB32" s="367">
        <f t="shared" si="12"/>
        <v>4513.1115</v>
      </c>
      <c r="AC32" s="367">
        <f t="shared" si="12"/>
        <v>4513.1115</v>
      </c>
      <c r="AD32" s="367">
        <f t="shared" si="12"/>
        <v>4513.1115</v>
      </c>
      <c r="AE32" s="367">
        <f t="shared" si="12"/>
        <v>4513.1115</v>
      </c>
      <c r="AF32" s="367">
        <f t="shared" si="12"/>
        <v>4513.1115</v>
      </c>
      <c r="AG32" s="367">
        <f t="shared" si="12"/>
        <v>4513.1115</v>
      </c>
      <c r="AH32" s="367">
        <f t="shared" si="12"/>
        <v>4513.1115</v>
      </c>
      <c r="AI32" s="367">
        <f t="shared" si="12"/>
        <v>4513.1115</v>
      </c>
      <c r="AJ32" s="367">
        <f t="shared" si="12"/>
        <v>4513.1115</v>
      </c>
      <c r="AK32" s="367">
        <f t="shared" si="12"/>
        <v>4513.1115</v>
      </c>
    </row>
    <row r="33" spans="2:37">
      <c r="B33" s="358" t="s">
        <v>998</v>
      </c>
      <c r="C33" s="364">
        <f>DATE(80,1,1)</f>
        <v>29221</v>
      </c>
      <c r="D33" s="365">
        <v>11928</v>
      </c>
      <c r="E33" s="365"/>
      <c r="F33" s="365">
        <f>1669.36+238.56+H33</f>
        <v>9541.840000000002</v>
      </c>
      <c r="H33" s="358">
        <f t="shared" si="8"/>
        <v>7633.9200000000019</v>
      </c>
      <c r="I33" s="366">
        <v>2</v>
      </c>
      <c r="J33" s="385">
        <v>3</v>
      </c>
      <c r="L33" s="367">
        <f t="shared" si="9"/>
        <v>238.56</v>
      </c>
      <c r="M33" s="367">
        <f t="shared" si="9"/>
        <v>238.56</v>
      </c>
      <c r="N33" s="367">
        <f t="shared" si="9"/>
        <v>238.56</v>
      </c>
      <c r="O33" s="367">
        <f t="shared" si="9"/>
        <v>238.56</v>
      </c>
      <c r="P33" s="367">
        <f t="shared" si="9"/>
        <v>238.56</v>
      </c>
      <c r="Q33" s="367">
        <f t="shared" si="9"/>
        <v>238.56</v>
      </c>
      <c r="R33" s="367">
        <f t="shared" si="9"/>
        <v>238.56</v>
      </c>
      <c r="S33" s="367">
        <f t="shared" si="9"/>
        <v>238.56</v>
      </c>
      <c r="T33" s="367">
        <f t="shared" si="10"/>
        <v>357.84</v>
      </c>
      <c r="U33" s="367">
        <f t="shared" si="10"/>
        <v>357.84</v>
      </c>
      <c r="V33" s="367">
        <f t="shared" si="10"/>
        <v>357.84</v>
      </c>
      <c r="W33" s="367">
        <f t="shared" si="10"/>
        <v>357.84</v>
      </c>
      <c r="X33" s="367">
        <v>357.84</v>
      </c>
      <c r="Y33" s="367">
        <v>357.84</v>
      </c>
      <c r="Z33" s="367">
        <f t="shared" si="11"/>
        <v>357.84</v>
      </c>
      <c r="AA33" s="367">
        <f t="shared" si="11"/>
        <v>357.84</v>
      </c>
      <c r="AB33" s="367">
        <f t="shared" si="12"/>
        <v>357.84</v>
      </c>
      <c r="AC33" s="367">
        <f t="shared" si="12"/>
        <v>357.84</v>
      </c>
      <c r="AD33" s="367">
        <f t="shared" si="12"/>
        <v>357.84</v>
      </c>
      <c r="AE33" s="367">
        <f t="shared" si="12"/>
        <v>357.84</v>
      </c>
      <c r="AF33" s="367">
        <f t="shared" si="12"/>
        <v>357.84</v>
      </c>
      <c r="AG33" s="367">
        <f t="shared" si="12"/>
        <v>357.84</v>
      </c>
      <c r="AH33" s="367">
        <f t="shared" si="12"/>
        <v>357.84</v>
      </c>
      <c r="AI33" s="367">
        <f t="shared" si="12"/>
        <v>357.84</v>
      </c>
      <c r="AJ33" s="367">
        <f t="shared" si="12"/>
        <v>357.84</v>
      </c>
      <c r="AK33" s="367">
        <f t="shared" si="12"/>
        <v>357.84</v>
      </c>
    </row>
    <row r="34" spans="2:37">
      <c r="B34" s="358" t="s">
        <v>998</v>
      </c>
      <c r="C34" s="364">
        <f>DATE(85,1,1)</f>
        <v>31048</v>
      </c>
      <c r="D34" s="365">
        <v>9150.6200000000008</v>
      </c>
      <c r="E34" s="365"/>
      <c r="F34" s="365">
        <f>458.02+183.01+H34</f>
        <v>6497.4296000000013</v>
      </c>
      <c r="H34" s="358">
        <f t="shared" si="8"/>
        <v>5856.3996000000016</v>
      </c>
      <c r="I34" s="366">
        <v>2</v>
      </c>
      <c r="J34" s="385">
        <v>3</v>
      </c>
      <c r="L34" s="367">
        <f t="shared" si="9"/>
        <v>183.01240000000001</v>
      </c>
      <c r="M34" s="367">
        <f t="shared" si="9"/>
        <v>183.01240000000001</v>
      </c>
      <c r="N34" s="367">
        <f t="shared" si="9"/>
        <v>183.01240000000001</v>
      </c>
      <c r="O34" s="367">
        <f t="shared" si="9"/>
        <v>183.01240000000001</v>
      </c>
      <c r="P34" s="367">
        <f t="shared" si="9"/>
        <v>183.01240000000001</v>
      </c>
      <c r="Q34" s="367">
        <f t="shared" si="9"/>
        <v>183.01240000000001</v>
      </c>
      <c r="R34" s="367">
        <f t="shared" si="9"/>
        <v>183.01240000000001</v>
      </c>
      <c r="S34" s="367">
        <f t="shared" si="9"/>
        <v>183.01240000000001</v>
      </c>
      <c r="T34" s="367">
        <f t="shared" si="10"/>
        <v>274.51859999999999</v>
      </c>
      <c r="U34" s="367">
        <f t="shared" si="10"/>
        <v>274.51859999999999</v>
      </c>
      <c r="V34" s="367">
        <f t="shared" si="10"/>
        <v>274.51859999999999</v>
      </c>
      <c r="W34" s="367">
        <f t="shared" si="10"/>
        <v>274.51859999999999</v>
      </c>
      <c r="X34" s="367">
        <v>274.52</v>
      </c>
      <c r="Y34" s="367">
        <v>274.52</v>
      </c>
      <c r="Z34" s="367">
        <f t="shared" si="11"/>
        <v>274.51859999999999</v>
      </c>
      <c r="AA34" s="367">
        <f t="shared" si="11"/>
        <v>274.51859999999999</v>
      </c>
      <c r="AB34" s="367">
        <f t="shared" si="12"/>
        <v>274.51859999999999</v>
      </c>
      <c r="AC34" s="367">
        <f t="shared" si="12"/>
        <v>274.51859999999999</v>
      </c>
      <c r="AD34" s="367">
        <f t="shared" si="12"/>
        <v>274.51859999999999</v>
      </c>
      <c r="AE34" s="367">
        <f t="shared" si="12"/>
        <v>274.51859999999999</v>
      </c>
      <c r="AF34" s="367">
        <f t="shared" si="12"/>
        <v>274.51859999999999</v>
      </c>
      <c r="AG34" s="367">
        <f t="shared" si="12"/>
        <v>274.51859999999999</v>
      </c>
      <c r="AH34" s="367">
        <f t="shared" si="12"/>
        <v>274.51859999999999</v>
      </c>
      <c r="AI34" s="367">
        <f t="shared" si="12"/>
        <v>274.51859999999999</v>
      </c>
      <c r="AJ34" s="367">
        <f t="shared" si="12"/>
        <v>274.51859999999999</v>
      </c>
      <c r="AK34" s="367">
        <f t="shared" si="12"/>
        <v>274.51859999999999</v>
      </c>
    </row>
    <row r="35" spans="2:37">
      <c r="B35" s="358" t="s">
        <v>998</v>
      </c>
      <c r="C35" s="364">
        <f>DATE(86,1,1)</f>
        <v>31413</v>
      </c>
      <c r="D35" s="365">
        <v>3851.77</v>
      </c>
      <c r="E35" s="365"/>
      <c r="F35" s="365">
        <f>116.04+77.04+H35</f>
        <v>2658.2066000000004</v>
      </c>
      <c r="H35" s="358">
        <f t="shared" si="8"/>
        <v>2465.1266000000005</v>
      </c>
      <c r="I35" s="366">
        <v>2</v>
      </c>
      <c r="J35" s="385">
        <v>3</v>
      </c>
      <c r="L35" s="367">
        <f t="shared" si="9"/>
        <v>77.035399999999996</v>
      </c>
      <c r="M35" s="367">
        <f t="shared" si="9"/>
        <v>77.035399999999996</v>
      </c>
      <c r="N35" s="367">
        <f t="shared" si="9"/>
        <v>77.035399999999996</v>
      </c>
      <c r="O35" s="367">
        <f t="shared" si="9"/>
        <v>77.035399999999996</v>
      </c>
      <c r="P35" s="367">
        <f t="shared" si="9"/>
        <v>77.035399999999996</v>
      </c>
      <c r="Q35" s="367">
        <f t="shared" si="9"/>
        <v>77.035399999999996</v>
      </c>
      <c r="R35" s="367">
        <f t="shared" si="9"/>
        <v>77.035399999999996</v>
      </c>
      <c r="S35" s="367">
        <f t="shared" si="9"/>
        <v>77.035399999999996</v>
      </c>
      <c r="T35" s="367">
        <f t="shared" si="10"/>
        <v>115.5531</v>
      </c>
      <c r="U35" s="367">
        <f t="shared" si="10"/>
        <v>115.5531</v>
      </c>
      <c r="V35" s="367">
        <f t="shared" si="10"/>
        <v>115.5531</v>
      </c>
      <c r="W35" s="367">
        <f t="shared" si="10"/>
        <v>115.5531</v>
      </c>
      <c r="X35" s="367">
        <v>115.55</v>
      </c>
      <c r="Y35" s="367">
        <v>115.55</v>
      </c>
      <c r="Z35" s="367">
        <f t="shared" si="11"/>
        <v>115.5531</v>
      </c>
      <c r="AA35" s="367">
        <f t="shared" si="11"/>
        <v>115.5531</v>
      </c>
      <c r="AB35" s="367">
        <f t="shared" si="12"/>
        <v>115.5531</v>
      </c>
      <c r="AC35" s="367">
        <f t="shared" si="12"/>
        <v>115.5531</v>
      </c>
      <c r="AD35" s="367">
        <f t="shared" si="12"/>
        <v>115.5531</v>
      </c>
      <c r="AE35" s="367">
        <f t="shared" si="12"/>
        <v>115.5531</v>
      </c>
      <c r="AF35" s="367">
        <f t="shared" si="12"/>
        <v>115.5531</v>
      </c>
      <c r="AG35" s="367">
        <f t="shared" si="12"/>
        <v>115.5531</v>
      </c>
      <c r="AH35" s="367">
        <f t="shared" si="12"/>
        <v>115.5531</v>
      </c>
      <c r="AI35" s="367">
        <f t="shared" si="12"/>
        <v>115.5531</v>
      </c>
      <c r="AJ35" s="367">
        <f t="shared" si="12"/>
        <v>115.5531</v>
      </c>
      <c r="AK35" s="367">
        <f t="shared" si="12"/>
        <v>115.5531</v>
      </c>
    </row>
    <row r="36" spans="2:37">
      <c r="B36" s="358" t="s">
        <v>998</v>
      </c>
      <c r="C36" s="364">
        <f>DATE(87,1,1)</f>
        <v>31778</v>
      </c>
      <c r="D36" s="365">
        <v>5167.96</v>
      </c>
      <c r="E36" s="365"/>
      <c r="F36" s="365">
        <f>51.68+103.36+H36</f>
        <v>3462.5367999999985</v>
      </c>
      <c r="H36" s="358">
        <f t="shared" si="8"/>
        <v>3307.4967999999985</v>
      </c>
      <c r="I36" s="366">
        <v>2</v>
      </c>
      <c r="J36" s="385">
        <v>3</v>
      </c>
      <c r="L36" s="367">
        <f t="shared" si="9"/>
        <v>103.3592</v>
      </c>
      <c r="M36" s="367">
        <f t="shared" si="9"/>
        <v>103.3592</v>
      </c>
      <c r="N36" s="367">
        <f t="shared" si="9"/>
        <v>103.3592</v>
      </c>
      <c r="O36" s="367">
        <f t="shared" si="9"/>
        <v>103.3592</v>
      </c>
      <c r="P36" s="367">
        <f t="shared" si="9"/>
        <v>103.3592</v>
      </c>
      <c r="Q36" s="367">
        <f t="shared" si="9"/>
        <v>103.3592</v>
      </c>
      <c r="R36" s="367">
        <f t="shared" si="9"/>
        <v>103.3592</v>
      </c>
      <c r="S36" s="367">
        <f t="shared" si="9"/>
        <v>103.3592</v>
      </c>
      <c r="T36" s="367">
        <f t="shared" si="10"/>
        <v>155.03880000000001</v>
      </c>
      <c r="U36" s="367">
        <f t="shared" si="10"/>
        <v>155.03880000000001</v>
      </c>
      <c r="V36" s="367">
        <f t="shared" si="10"/>
        <v>155.03880000000001</v>
      </c>
      <c r="W36" s="367">
        <f t="shared" si="10"/>
        <v>155.03880000000001</v>
      </c>
      <c r="X36" s="367">
        <v>155.04</v>
      </c>
      <c r="Y36" s="367">
        <v>155.04</v>
      </c>
      <c r="Z36" s="367">
        <f t="shared" si="11"/>
        <v>155.03880000000001</v>
      </c>
      <c r="AA36" s="367">
        <f t="shared" si="11"/>
        <v>155.03880000000001</v>
      </c>
      <c r="AB36" s="367">
        <f t="shared" si="12"/>
        <v>155.03880000000001</v>
      </c>
      <c r="AC36" s="367">
        <f t="shared" si="12"/>
        <v>155.03880000000001</v>
      </c>
      <c r="AD36" s="367">
        <f t="shared" si="12"/>
        <v>155.03880000000001</v>
      </c>
      <c r="AE36" s="367">
        <f t="shared" si="12"/>
        <v>155.03880000000001</v>
      </c>
      <c r="AF36" s="367">
        <f t="shared" si="12"/>
        <v>155.03880000000001</v>
      </c>
      <c r="AG36" s="367">
        <f t="shared" si="12"/>
        <v>155.03880000000001</v>
      </c>
      <c r="AH36" s="367">
        <f t="shared" si="12"/>
        <v>155.03880000000001</v>
      </c>
      <c r="AI36" s="367">
        <f t="shared" si="12"/>
        <v>155.03880000000001</v>
      </c>
      <c r="AJ36" s="367">
        <f t="shared" si="12"/>
        <v>155.03880000000001</v>
      </c>
      <c r="AK36" s="367">
        <f t="shared" si="12"/>
        <v>155.03880000000001</v>
      </c>
    </row>
    <row r="37" spans="2:37">
      <c r="B37" s="358" t="s">
        <v>998</v>
      </c>
      <c r="C37" s="364">
        <f>DATE(88,1,1)</f>
        <v>32143</v>
      </c>
      <c r="D37" s="365">
        <v>5520.08</v>
      </c>
      <c r="E37" s="365"/>
      <c r="F37" s="365">
        <f>55.2+H37</f>
        <v>3588.0463999999974</v>
      </c>
      <c r="H37" s="358">
        <f t="shared" si="8"/>
        <v>3532.8463999999976</v>
      </c>
      <c r="I37" s="366">
        <v>2</v>
      </c>
      <c r="J37" s="385">
        <v>3</v>
      </c>
      <c r="L37" s="367">
        <f t="shared" si="9"/>
        <v>110.4016</v>
      </c>
      <c r="M37" s="367">
        <f t="shared" si="9"/>
        <v>110.4016</v>
      </c>
      <c r="N37" s="367">
        <f t="shared" si="9"/>
        <v>110.4016</v>
      </c>
      <c r="O37" s="367">
        <f t="shared" si="9"/>
        <v>110.4016</v>
      </c>
      <c r="P37" s="367">
        <f t="shared" si="9"/>
        <v>110.4016</v>
      </c>
      <c r="Q37" s="367">
        <f t="shared" si="9"/>
        <v>110.4016</v>
      </c>
      <c r="R37" s="367">
        <f t="shared" si="9"/>
        <v>110.4016</v>
      </c>
      <c r="S37" s="367">
        <f t="shared" si="9"/>
        <v>110.4016</v>
      </c>
      <c r="T37" s="367">
        <f t="shared" si="10"/>
        <v>165.60239999999999</v>
      </c>
      <c r="U37" s="367">
        <f t="shared" si="10"/>
        <v>165.60239999999999</v>
      </c>
      <c r="V37" s="367">
        <f t="shared" si="10"/>
        <v>165.60239999999999</v>
      </c>
      <c r="W37" s="367">
        <f t="shared" si="10"/>
        <v>165.60239999999999</v>
      </c>
      <c r="X37" s="367">
        <v>165.6</v>
      </c>
      <c r="Y37" s="367">
        <v>165.6</v>
      </c>
      <c r="Z37" s="367">
        <f t="shared" si="11"/>
        <v>165.60239999999999</v>
      </c>
      <c r="AA37" s="367">
        <f t="shared" si="11"/>
        <v>165.60239999999999</v>
      </c>
      <c r="AB37" s="367">
        <f t="shared" si="12"/>
        <v>165.60239999999999</v>
      </c>
      <c r="AC37" s="367">
        <f t="shared" si="12"/>
        <v>165.60239999999999</v>
      </c>
      <c r="AD37" s="367">
        <f t="shared" si="12"/>
        <v>165.60239999999999</v>
      </c>
      <c r="AE37" s="367">
        <f t="shared" si="12"/>
        <v>165.60239999999999</v>
      </c>
      <c r="AF37" s="367">
        <f t="shared" si="12"/>
        <v>165.60239999999999</v>
      </c>
      <c r="AG37" s="367">
        <f t="shared" si="12"/>
        <v>165.60239999999999</v>
      </c>
      <c r="AH37" s="367">
        <f t="shared" si="12"/>
        <v>165.60239999999999</v>
      </c>
      <c r="AI37" s="367">
        <f t="shared" si="12"/>
        <v>165.60239999999999</v>
      </c>
      <c r="AJ37" s="367">
        <f t="shared" si="12"/>
        <v>165.60239999999999</v>
      </c>
      <c r="AK37" s="367">
        <f t="shared" si="12"/>
        <v>165.60239999999999</v>
      </c>
    </row>
    <row r="38" spans="2:37">
      <c r="B38" s="358" t="s">
        <v>998</v>
      </c>
      <c r="C38" s="364">
        <f>DATE(89,1,1)</f>
        <v>32509</v>
      </c>
      <c r="D38" s="365">
        <v>18978.3</v>
      </c>
      <c r="E38" s="365"/>
      <c r="F38" s="365">
        <f t="shared" ref="F38:F71" si="13">H38</f>
        <v>11956.338000000002</v>
      </c>
      <c r="H38" s="358">
        <f t="shared" si="8"/>
        <v>11956.338000000002</v>
      </c>
      <c r="I38" s="366">
        <v>2</v>
      </c>
      <c r="J38" s="385">
        <v>3</v>
      </c>
      <c r="L38" s="367">
        <v>189.79</v>
      </c>
      <c r="M38" s="367">
        <f t="shared" ref="M38:S38" si="14">SUM($D38*$I38)/100</f>
        <v>379.56599999999997</v>
      </c>
      <c r="N38" s="367">
        <f t="shared" si="14"/>
        <v>379.56599999999997</v>
      </c>
      <c r="O38" s="367">
        <f t="shared" si="14"/>
        <v>379.56599999999997</v>
      </c>
      <c r="P38" s="367">
        <f t="shared" si="14"/>
        <v>379.56599999999997</v>
      </c>
      <c r="Q38" s="367">
        <f t="shared" si="14"/>
        <v>379.56599999999997</v>
      </c>
      <c r="R38" s="367">
        <f t="shared" si="14"/>
        <v>379.56599999999997</v>
      </c>
      <c r="S38" s="367">
        <f t="shared" si="14"/>
        <v>379.56599999999997</v>
      </c>
      <c r="T38" s="367">
        <f t="shared" si="10"/>
        <v>569.34899999999993</v>
      </c>
      <c r="U38" s="367">
        <f t="shared" si="10"/>
        <v>569.34899999999993</v>
      </c>
      <c r="V38" s="367">
        <f t="shared" si="10"/>
        <v>569.34899999999993</v>
      </c>
      <c r="W38" s="367">
        <f t="shared" si="10"/>
        <v>569.34899999999993</v>
      </c>
      <c r="X38" s="367">
        <v>569.35</v>
      </c>
      <c r="Y38" s="367">
        <v>569.35</v>
      </c>
      <c r="Z38" s="367">
        <f t="shared" si="11"/>
        <v>569.34899999999993</v>
      </c>
      <c r="AA38" s="367">
        <f t="shared" si="11"/>
        <v>569.34899999999993</v>
      </c>
      <c r="AB38" s="367">
        <f t="shared" si="12"/>
        <v>569.34899999999993</v>
      </c>
      <c r="AC38" s="367">
        <f t="shared" si="12"/>
        <v>569.34899999999993</v>
      </c>
      <c r="AD38" s="367">
        <f t="shared" si="12"/>
        <v>569.34899999999993</v>
      </c>
      <c r="AE38" s="367">
        <f t="shared" si="12"/>
        <v>569.34899999999993</v>
      </c>
      <c r="AF38" s="367">
        <f t="shared" si="12"/>
        <v>569.34899999999993</v>
      </c>
      <c r="AG38" s="367">
        <f t="shared" si="12"/>
        <v>569.34899999999993</v>
      </c>
      <c r="AH38" s="367">
        <f t="shared" si="12"/>
        <v>569.34899999999993</v>
      </c>
      <c r="AI38" s="367">
        <f t="shared" si="12"/>
        <v>569.34899999999993</v>
      </c>
      <c r="AJ38" s="367">
        <f t="shared" si="12"/>
        <v>569.34899999999993</v>
      </c>
      <c r="AK38" s="367">
        <f t="shared" si="12"/>
        <v>569.34899999999993</v>
      </c>
    </row>
    <row r="39" spans="2:37">
      <c r="B39" s="358" t="s">
        <v>998</v>
      </c>
      <c r="C39" s="364">
        <f>DATE(90,1,1)</f>
        <v>32874</v>
      </c>
      <c r="D39" s="365">
        <v>35194.39</v>
      </c>
      <c r="E39" s="365"/>
      <c r="F39" s="365">
        <f t="shared" si="13"/>
        <v>21468.580599999998</v>
      </c>
      <c r="H39" s="358">
        <f t="shared" si="8"/>
        <v>21468.580599999998</v>
      </c>
      <c r="I39" s="366">
        <v>2</v>
      </c>
      <c r="J39" s="385">
        <v>3</v>
      </c>
      <c r="L39" s="367">
        <v>0</v>
      </c>
      <c r="M39" s="367">
        <v>351.95</v>
      </c>
      <c r="N39" s="367">
        <f t="shared" ref="N39:S40" si="15">SUM($D39*$I39)/100</f>
        <v>703.88779999999997</v>
      </c>
      <c r="O39" s="367">
        <f t="shared" si="15"/>
        <v>703.88779999999997</v>
      </c>
      <c r="P39" s="367">
        <f t="shared" si="15"/>
        <v>703.88779999999997</v>
      </c>
      <c r="Q39" s="367">
        <f t="shared" si="15"/>
        <v>703.88779999999997</v>
      </c>
      <c r="R39" s="367">
        <f t="shared" si="15"/>
        <v>703.88779999999997</v>
      </c>
      <c r="S39" s="367">
        <f t="shared" si="15"/>
        <v>703.88779999999997</v>
      </c>
      <c r="T39" s="367">
        <f t="shared" si="10"/>
        <v>1055.8317</v>
      </c>
      <c r="U39" s="367">
        <f t="shared" si="10"/>
        <v>1055.8317</v>
      </c>
      <c r="V39" s="367">
        <f t="shared" si="10"/>
        <v>1055.8317</v>
      </c>
      <c r="W39" s="367">
        <f t="shared" si="10"/>
        <v>1055.8317</v>
      </c>
      <c r="X39" s="367">
        <v>1055.83</v>
      </c>
      <c r="Y39" s="367">
        <v>1055.83</v>
      </c>
      <c r="Z39" s="367">
        <f t="shared" si="11"/>
        <v>1055.8317</v>
      </c>
      <c r="AA39" s="367">
        <f t="shared" si="11"/>
        <v>1055.8317</v>
      </c>
      <c r="AB39" s="367">
        <f t="shared" si="12"/>
        <v>1055.8317</v>
      </c>
      <c r="AC39" s="367">
        <f t="shared" si="12"/>
        <v>1055.8317</v>
      </c>
      <c r="AD39" s="367">
        <f t="shared" si="12"/>
        <v>1055.8317</v>
      </c>
      <c r="AE39" s="367">
        <f t="shared" si="12"/>
        <v>1055.8317</v>
      </c>
      <c r="AF39" s="367">
        <f t="shared" si="12"/>
        <v>1055.8317</v>
      </c>
      <c r="AG39" s="367">
        <f t="shared" si="12"/>
        <v>1055.8317</v>
      </c>
      <c r="AH39" s="367">
        <f t="shared" si="12"/>
        <v>1055.8317</v>
      </c>
      <c r="AI39" s="367">
        <f t="shared" si="12"/>
        <v>1055.8317</v>
      </c>
      <c r="AJ39" s="367">
        <f t="shared" si="12"/>
        <v>1055.8317</v>
      </c>
      <c r="AK39" s="367">
        <f t="shared" si="12"/>
        <v>1055.8317</v>
      </c>
    </row>
    <row r="40" spans="2:37">
      <c r="B40" s="358" t="s">
        <v>998</v>
      </c>
      <c r="C40" s="364">
        <f>DATE(91,1,1)</f>
        <v>33239</v>
      </c>
      <c r="D40" s="365">
        <v>7312.88</v>
      </c>
      <c r="E40" s="365"/>
      <c r="F40" s="365">
        <f t="shared" si="13"/>
        <v>4387.7351999999992</v>
      </c>
      <c r="H40" s="358">
        <f t="shared" si="8"/>
        <v>4387.7351999999992</v>
      </c>
      <c r="I40" s="366">
        <v>2</v>
      </c>
      <c r="J40" s="385">
        <v>3</v>
      </c>
      <c r="L40" s="367">
        <v>0</v>
      </c>
      <c r="M40" s="367">
        <v>0</v>
      </c>
      <c r="N40" s="367">
        <f t="shared" si="15"/>
        <v>146.2576</v>
      </c>
      <c r="O40" s="367">
        <f t="shared" si="15"/>
        <v>146.2576</v>
      </c>
      <c r="P40" s="367">
        <f t="shared" si="15"/>
        <v>146.2576</v>
      </c>
      <c r="Q40" s="367">
        <f t="shared" si="15"/>
        <v>146.2576</v>
      </c>
      <c r="R40" s="367">
        <f t="shared" si="15"/>
        <v>146.2576</v>
      </c>
      <c r="S40" s="367">
        <f t="shared" si="15"/>
        <v>146.2576</v>
      </c>
      <c r="T40" s="367">
        <f t="shared" si="10"/>
        <v>219.38639999999998</v>
      </c>
      <c r="U40" s="367">
        <f t="shared" si="10"/>
        <v>219.38639999999998</v>
      </c>
      <c r="V40" s="367">
        <f t="shared" si="10"/>
        <v>219.38639999999998</v>
      </c>
      <c r="W40" s="367">
        <f t="shared" si="10"/>
        <v>219.38639999999998</v>
      </c>
      <c r="X40" s="367">
        <v>219.39</v>
      </c>
      <c r="Y40" s="367">
        <v>219.39</v>
      </c>
      <c r="Z40" s="367">
        <f t="shared" si="11"/>
        <v>219.38639999999998</v>
      </c>
      <c r="AA40" s="367">
        <f t="shared" si="11"/>
        <v>219.38639999999998</v>
      </c>
      <c r="AB40" s="367">
        <f t="shared" ref="AB40:AK47" si="16">SUM($D40*$J40)/100</f>
        <v>219.38639999999998</v>
      </c>
      <c r="AC40" s="367">
        <f t="shared" si="16"/>
        <v>219.38639999999998</v>
      </c>
      <c r="AD40" s="367">
        <f t="shared" si="16"/>
        <v>219.38639999999998</v>
      </c>
      <c r="AE40" s="367">
        <f t="shared" si="16"/>
        <v>219.38639999999998</v>
      </c>
      <c r="AF40" s="367">
        <f t="shared" si="16"/>
        <v>219.38639999999998</v>
      </c>
      <c r="AG40" s="367">
        <f t="shared" si="16"/>
        <v>219.38639999999998</v>
      </c>
      <c r="AH40" s="367">
        <f t="shared" si="16"/>
        <v>219.38639999999998</v>
      </c>
      <c r="AI40" s="367">
        <f t="shared" si="16"/>
        <v>219.38639999999998</v>
      </c>
      <c r="AJ40" s="367">
        <f t="shared" si="16"/>
        <v>219.38639999999998</v>
      </c>
      <c r="AK40" s="367">
        <f t="shared" si="16"/>
        <v>219.38639999999998</v>
      </c>
    </row>
    <row r="41" spans="2:37">
      <c r="B41" s="358" t="s">
        <v>998</v>
      </c>
      <c r="C41" s="364">
        <f>DATE(92,1,1)</f>
        <v>33604</v>
      </c>
      <c r="D41" s="365">
        <v>8972.31</v>
      </c>
      <c r="E41" s="365"/>
      <c r="F41" s="365">
        <f t="shared" si="13"/>
        <v>5203.9411999999993</v>
      </c>
      <c r="H41" s="358">
        <f t="shared" si="8"/>
        <v>5203.9411999999993</v>
      </c>
      <c r="I41" s="366">
        <v>2</v>
      </c>
      <c r="J41" s="385">
        <v>3</v>
      </c>
      <c r="L41" s="367">
        <v>0</v>
      </c>
      <c r="M41" s="367">
        <v>0</v>
      </c>
      <c r="N41" s="367">
        <v>0</v>
      </c>
      <c r="O41" s="367">
        <f>SUM($D41*$I41)/100</f>
        <v>179.44619999999998</v>
      </c>
      <c r="P41" s="367">
        <f>SUM($D41*$I41)/100</f>
        <v>179.44619999999998</v>
      </c>
      <c r="Q41" s="367">
        <f>SUM($D41*$I41)/100</f>
        <v>179.44619999999998</v>
      </c>
      <c r="R41" s="367">
        <f>SUM($D41*$I41)/100</f>
        <v>179.44619999999998</v>
      </c>
      <c r="S41" s="367">
        <f>SUM($D41*$I41)/100</f>
        <v>179.44619999999998</v>
      </c>
      <c r="T41" s="367">
        <f t="shared" si="10"/>
        <v>269.16930000000002</v>
      </c>
      <c r="U41" s="367">
        <f t="shared" si="10"/>
        <v>269.16930000000002</v>
      </c>
      <c r="V41" s="367">
        <f t="shared" si="10"/>
        <v>269.16930000000002</v>
      </c>
      <c r="W41" s="367">
        <f t="shared" si="10"/>
        <v>269.16930000000002</v>
      </c>
      <c r="X41" s="367">
        <v>269.17</v>
      </c>
      <c r="Y41" s="367">
        <v>269.17</v>
      </c>
      <c r="Z41" s="367">
        <f t="shared" si="11"/>
        <v>269.16930000000002</v>
      </c>
      <c r="AA41" s="367">
        <f t="shared" si="11"/>
        <v>269.16930000000002</v>
      </c>
      <c r="AB41" s="367">
        <f t="shared" si="16"/>
        <v>269.16930000000002</v>
      </c>
      <c r="AC41" s="367">
        <f t="shared" si="16"/>
        <v>269.16930000000002</v>
      </c>
      <c r="AD41" s="367">
        <f t="shared" si="16"/>
        <v>269.16930000000002</v>
      </c>
      <c r="AE41" s="367">
        <f t="shared" si="16"/>
        <v>269.16930000000002</v>
      </c>
      <c r="AF41" s="367">
        <f t="shared" si="16"/>
        <v>269.16930000000002</v>
      </c>
      <c r="AG41" s="367">
        <f t="shared" si="16"/>
        <v>269.16930000000002</v>
      </c>
      <c r="AH41" s="367">
        <f t="shared" si="16"/>
        <v>269.16930000000002</v>
      </c>
      <c r="AI41" s="367">
        <f t="shared" si="16"/>
        <v>269.16930000000002</v>
      </c>
      <c r="AJ41" s="367">
        <f t="shared" si="16"/>
        <v>269.16930000000002</v>
      </c>
      <c r="AK41" s="367">
        <f t="shared" si="16"/>
        <v>269.16930000000002</v>
      </c>
    </row>
    <row r="42" spans="2:37">
      <c r="B42" s="358" t="s">
        <v>998</v>
      </c>
      <c r="C42" s="364">
        <f>DATE(93,1,1)</f>
        <v>33970</v>
      </c>
      <c r="D42" s="365">
        <v>12171.04</v>
      </c>
      <c r="E42" s="365"/>
      <c r="F42" s="365">
        <f t="shared" si="13"/>
        <v>6815.7799999999988</v>
      </c>
      <c r="H42" s="358">
        <f t="shared" si="8"/>
        <v>6815.7799999999988</v>
      </c>
      <c r="I42" s="366">
        <v>2</v>
      </c>
      <c r="J42" s="385">
        <v>3</v>
      </c>
      <c r="L42" s="367">
        <v>0</v>
      </c>
      <c r="M42" s="367">
        <v>0</v>
      </c>
      <c r="N42" s="367">
        <v>0</v>
      </c>
      <c r="O42" s="367">
        <v>0</v>
      </c>
      <c r="P42" s="367">
        <f>SUM($D42*$I42)/100</f>
        <v>243.42080000000001</v>
      </c>
      <c r="Q42" s="367">
        <f>SUM($D42*$I42)/100</f>
        <v>243.42080000000001</v>
      </c>
      <c r="R42" s="367">
        <f>SUM($D42*$I42)/100</f>
        <v>243.42080000000001</v>
      </c>
      <c r="S42" s="367">
        <f>SUM($D42*$I42)/100</f>
        <v>243.42080000000001</v>
      </c>
      <c r="T42" s="367">
        <f t="shared" si="10"/>
        <v>365.13120000000004</v>
      </c>
      <c r="U42" s="367">
        <f t="shared" si="10"/>
        <v>365.13120000000004</v>
      </c>
      <c r="V42" s="367">
        <f t="shared" si="10"/>
        <v>365.13120000000004</v>
      </c>
      <c r="W42" s="367">
        <f t="shared" si="10"/>
        <v>365.13120000000004</v>
      </c>
      <c r="X42" s="367">
        <v>365.13</v>
      </c>
      <c r="Y42" s="367">
        <v>365.13</v>
      </c>
      <c r="Z42" s="367">
        <f t="shared" si="11"/>
        <v>365.13120000000004</v>
      </c>
      <c r="AA42" s="367">
        <f t="shared" si="11"/>
        <v>365.13120000000004</v>
      </c>
      <c r="AB42" s="367">
        <f t="shared" si="16"/>
        <v>365.13120000000004</v>
      </c>
      <c r="AC42" s="367">
        <f t="shared" si="16"/>
        <v>365.13120000000004</v>
      </c>
      <c r="AD42" s="367">
        <f t="shared" si="16"/>
        <v>365.13120000000004</v>
      </c>
      <c r="AE42" s="367">
        <f t="shared" si="16"/>
        <v>365.13120000000004</v>
      </c>
      <c r="AF42" s="367">
        <f t="shared" si="16"/>
        <v>365.13120000000004</v>
      </c>
      <c r="AG42" s="367">
        <f t="shared" si="16"/>
        <v>365.13120000000004</v>
      </c>
      <c r="AH42" s="367">
        <f t="shared" si="16"/>
        <v>365.13120000000004</v>
      </c>
      <c r="AI42" s="367">
        <f t="shared" si="16"/>
        <v>365.13120000000004</v>
      </c>
      <c r="AJ42" s="367">
        <f t="shared" si="16"/>
        <v>365.13120000000004</v>
      </c>
      <c r="AK42" s="367">
        <f t="shared" si="16"/>
        <v>365.13120000000004</v>
      </c>
    </row>
    <row r="43" spans="2:37">
      <c r="B43" s="358" t="s">
        <v>998</v>
      </c>
      <c r="C43" s="364">
        <f>DATE(94,1,1)</f>
        <v>34335</v>
      </c>
      <c r="D43" s="365">
        <v>4097.93</v>
      </c>
      <c r="E43" s="365"/>
      <c r="F43" s="365">
        <f t="shared" si="13"/>
        <v>2212.8863999999994</v>
      </c>
      <c r="H43" s="358">
        <f t="shared" si="8"/>
        <v>2212.8863999999994</v>
      </c>
      <c r="I43" s="366">
        <v>2</v>
      </c>
      <c r="J43" s="385">
        <v>3</v>
      </c>
      <c r="L43" s="367">
        <v>0</v>
      </c>
      <c r="M43" s="367">
        <v>0</v>
      </c>
      <c r="N43" s="367">
        <v>0</v>
      </c>
      <c r="O43" s="367">
        <v>0</v>
      </c>
      <c r="P43" s="367">
        <v>0</v>
      </c>
      <c r="Q43" s="367">
        <f>SUM($D43*$I43)/100</f>
        <v>81.958600000000004</v>
      </c>
      <c r="R43" s="367">
        <f>SUM($D43*$I43)/100</f>
        <v>81.958600000000004</v>
      </c>
      <c r="S43" s="367">
        <f>SUM($D43*$I43)/100</f>
        <v>81.958600000000004</v>
      </c>
      <c r="T43" s="367">
        <f t="shared" si="10"/>
        <v>122.93790000000001</v>
      </c>
      <c r="U43" s="367">
        <f t="shared" si="10"/>
        <v>122.93790000000001</v>
      </c>
      <c r="V43" s="367">
        <f t="shared" si="10"/>
        <v>122.93790000000001</v>
      </c>
      <c r="W43" s="367">
        <f t="shared" si="10"/>
        <v>122.93790000000001</v>
      </c>
      <c r="X43" s="367">
        <v>122.94</v>
      </c>
      <c r="Y43" s="367">
        <v>122.94</v>
      </c>
      <c r="Z43" s="367">
        <f t="shared" si="11"/>
        <v>122.93790000000001</v>
      </c>
      <c r="AA43" s="367">
        <f t="shared" si="11"/>
        <v>122.93790000000001</v>
      </c>
      <c r="AB43" s="367">
        <f t="shared" si="16"/>
        <v>122.93790000000001</v>
      </c>
      <c r="AC43" s="367">
        <f t="shared" si="16"/>
        <v>122.93790000000001</v>
      </c>
      <c r="AD43" s="367">
        <f t="shared" si="16"/>
        <v>122.93790000000001</v>
      </c>
      <c r="AE43" s="367">
        <f t="shared" si="16"/>
        <v>122.93790000000001</v>
      </c>
      <c r="AF43" s="367">
        <f t="shared" si="16"/>
        <v>122.93790000000001</v>
      </c>
      <c r="AG43" s="367">
        <f t="shared" si="16"/>
        <v>122.93790000000001</v>
      </c>
      <c r="AH43" s="367">
        <f t="shared" si="16"/>
        <v>122.93790000000001</v>
      </c>
      <c r="AI43" s="367">
        <f t="shared" si="16"/>
        <v>122.93790000000001</v>
      </c>
      <c r="AJ43" s="367">
        <f t="shared" si="16"/>
        <v>122.93790000000001</v>
      </c>
      <c r="AK43" s="367">
        <f t="shared" si="16"/>
        <v>122.93790000000001</v>
      </c>
    </row>
    <row r="44" spans="2:37">
      <c r="B44" s="358" t="s">
        <v>998</v>
      </c>
      <c r="C44" s="364">
        <f>DATE(95,1,1)</f>
        <v>34700</v>
      </c>
      <c r="D44" s="365">
        <f>13060.97+6944.33</f>
        <v>20005.3</v>
      </c>
      <c r="E44" s="365"/>
      <c r="F44" s="365">
        <f t="shared" si="13"/>
        <v>10263.871999999998</v>
      </c>
      <c r="H44" s="358">
        <f t="shared" si="8"/>
        <v>10263.871999999998</v>
      </c>
      <c r="I44" s="366">
        <v>2</v>
      </c>
      <c r="J44" s="385">
        <v>3</v>
      </c>
      <c r="L44" s="367">
        <v>0</v>
      </c>
      <c r="M44" s="367">
        <v>0</v>
      </c>
      <c r="N44" s="367">
        <v>0</v>
      </c>
      <c r="O44" s="367">
        <v>0</v>
      </c>
      <c r="P44" s="367">
        <v>0</v>
      </c>
      <c r="Q44" s="367">
        <v>0</v>
      </c>
      <c r="R44" s="367">
        <v>261.22000000000003</v>
      </c>
      <c r="S44" s="367">
        <f>SUM($D44*$I44)/100</f>
        <v>400.10599999999999</v>
      </c>
      <c r="T44" s="367">
        <f t="shared" si="10"/>
        <v>600.15899999999999</v>
      </c>
      <c r="U44" s="367">
        <f t="shared" si="10"/>
        <v>600.15899999999999</v>
      </c>
      <c r="V44" s="367">
        <f t="shared" si="10"/>
        <v>600.15899999999999</v>
      </c>
      <c r="W44" s="367">
        <f t="shared" si="10"/>
        <v>600.15899999999999</v>
      </c>
      <c r="X44" s="367">
        <v>600.16</v>
      </c>
      <c r="Y44" s="367">
        <v>600.16</v>
      </c>
      <c r="Z44" s="367">
        <f t="shared" si="11"/>
        <v>600.15899999999999</v>
      </c>
      <c r="AA44" s="367">
        <f t="shared" si="11"/>
        <v>600.15899999999999</v>
      </c>
      <c r="AB44" s="367">
        <f t="shared" si="16"/>
        <v>600.15899999999999</v>
      </c>
      <c r="AC44" s="367">
        <f t="shared" si="16"/>
        <v>600.15899999999999</v>
      </c>
      <c r="AD44" s="367">
        <f t="shared" si="16"/>
        <v>600.15899999999999</v>
      </c>
      <c r="AE44" s="367">
        <f t="shared" si="16"/>
        <v>600.15899999999999</v>
      </c>
      <c r="AF44" s="367">
        <f t="shared" si="16"/>
        <v>600.15899999999999</v>
      </c>
      <c r="AG44" s="367">
        <f t="shared" si="16"/>
        <v>600.15899999999999</v>
      </c>
      <c r="AH44" s="367">
        <f t="shared" si="16"/>
        <v>600.15899999999999</v>
      </c>
      <c r="AI44" s="367">
        <f t="shared" si="16"/>
        <v>600.15899999999999</v>
      </c>
      <c r="AJ44" s="367">
        <f t="shared" si="16"/>
        <v>600.15899999999999</v>
      </c>
      <c r="AK44" s="367">
        <f t="shared" si="16"/>
        <v>600.15899999999999</v>
      </c>
    </row>
    <row r="45" spans="2:37">
      <c r="B45" s="358" t="s">
        <v>998</v>
      </c>
      <c r="C45" s="364">
        <f>DATE(96,1,1)</f>
        <v>35065</v>
      </c>
      <c r="D45" s="365">
        <v>44964.66</v>
      </c>
      <c r="E45" s="365"/>
      <c r="F45" s="365">
        <f t="shared" si="13"/>
        <v>22482.330400000003</v>
      </c>
      <c r="H45" s="358">
        <f t="shared" si="8"/>
        <v>22482.330400000003</v>
      </c>
      <c r="I45" s="366">
        <v>2</v>
      </c>
      <c r="J45" s="385">
        <v>3</v>
      </c>
      <c r="L45" s="367">
        <v>0</v>
      </c>
      <c r="M45" s="367">
        <v>0</v>
      </c>
      <c r="N45" s="367">
        <v>0</v>
      </c>
      <c r="O45" s="367">
        <v>0</v>
      </c>
      <c r="P45" s="367">
        <v>0</v>
      </c>
      <c r="Q45" s="367">
        <v>0</v>
      </c>
      <c r="R45" s="367">
        <v>0</v>
      </c>
      <c r="S45" s="367">
        <f>SUM($D45*$I45)/100</f>
        <v>899.29320000000007</v>
      </c>
      <c r="T45" s="367">
        <f t="shared" si="10"/>
        <v>1348.9398000000001</v>
      </c>
      <c r="U45" s="367">
        <f t="shared" si="10"/>
        <v>1348.9398000000001</v>
      </c>
      <c r="V45" s="367">
        <f t="shared" si="10"/>
        <v>1348.9398000000001</v>
      </c>
      <c r="W45" s="367">
        <f t="shared" si="10"/>
        <v>1348.9398000000001</v>
      </c>
      <c r="X45" s="367">
        <v>1348.94</v>
      </c>
      <c r="Y45" s="367">
        <v>1348.94</v>
      </c>
      <c r="Z45" s="367">
        <f t="shared" si="11"/>
        <v>1348.9398000000001</v>
      </c>
      <c r="AA45" s="367">
        <f t="shared" si="11"/>
        <v>1348.9398000000001</v>
      </c>
      <c r="AB45" s="367">
        <f t="shared" si="16"/>
        <v>1348.9398000000001</v>
      </c>
      <c r="AC45" s="367">
        <f t="shared" si="16"/>
        <v>1348.9398000000001</v>
      </c>
      <c r="AD45" s="367">
        <f t="shared" si="16"/>
        <v>1348.9398000000001</v>
      </c>
      <c r="AE45" s="367">
        <f t="shared" si="16"/>
        <v>1348.9398000000001</v>
      </c>
      <c r="AF45" s="367">
        <f t="shared" si="16"/>
        <v>1348.9398000000001</v>
      </c>
      <c r="AG45" s="367">
        <f t="shared" si="16"/>
        <v>1348.9398000000001</v>
      </c>
      <c r="AH45" s="367">
        <f t="shared" si="16"/>
        <v>1348.9398000000001</v>
      </c>
      <c r="AI45" s="367">
        <f t="shared" si="16"/>
        <v>1348.9398000000001</v>
      </c>
      <c r="AJ45" s="367">
        <f t="shared" si="16"/>
        <v>1348.9398000000001</v>
      </c>
      <c r="AK45" s="367">
        <f t="shared" si="16"/>
        <v>1348.9398000000001</v>
      </c>
    </row>
    <row r="46" spans="2:37">
      <c r="B46" s="358" t="s">
        <v>998</v>
      </c>
      <c r="C46" s="364">
        <f>DATE(97,1,1)</f>
        <v>35431</v>
      </c>
      <c r="D46" s="365">
        <f>19384.72-10907.68</f>
        <v>8477.0400000000009</v>
      </c>
      <c r="E46" s="365"/>
      <c r="F46" s="365">
        <f t="shared" si="13"/>
        <v>4068.9768000000008</v>
      </c>
      <c r="H46" s="358">
        <f t="shared" si="8"/>
        <v>4068.9768000000008</v>
      </c>
      <c r="I46" s="366">
        <v>2</v>
      </c>
      <c r="J46" s="385">
        <v>3</v>
      </c>
      <c r="L46" s="367">
        <v>0</v>
      </c>
      <c r="M46" s="367">
        <v>0</v>
      </c>
      <c r="N46" s="367">
        <v>0</v>
      </c>
      <c r="O46" s="367">
        <v>0</v>
      </c>
      <c r="P46" s="367">
        <v>0</v>
      </c>
      <c r="Q46" s="367">
        <v>0</v>
      </c>
      <c r="R46" s="367">
        <v>0</v>
      </c>
      <c r="S46" s="367">
        <v>0</v>
      </c>
      <c r="T46" s="367">
        <f t="shared" si="10"/>
        <v>254.31120000000001</v>
      </c>
      <c r="U46" s="367">
        <f t="shared" si="10"/>
        <v>254.31120000000001</v>
      </c>
      <c r="V46" s="367">
        <f t="shared" si="10"/>
        <v>254.31120000000001</v>
      </c>
      <c r="W46" s="367">
        <f t="shared" si="10"/>
        <v>254.31120000000001</v>
      </c>
      <c r="X46" s="367">
        <v>254.31</v>
      </c>
      <c r="Y46" s="367">
        <v>254.31</v>
      </c>
      <c r="Z46" s="367">
        <f t="shared" si="11"/>
        <v>254.31120000000001</v>
      </c>
      <c r="AA46" s="367">
        <f t="shared" si="11"/>
        <v>254.31120000000001</v>
      </c>
      <c r="AB46" s="367">
        <f t="shared" si="16"/>
        <v>254.31120000000001</v>
      </c>
      <c r="AC46" s="367">
        <f t="shared" si="16"/>
        <v>254.31120000000001</v>
      </c>
      <c r="AD46" s="367">
        <f t="shared" si="16"/>
        <v>254.31120000000001</v>
      </c>
      <c r="AE46" s="367">
        <f t="shared" si="16"/>
        <v>254.31120000000001</v>
      </c>
      <c r="AF46" s="367">
        <f t="shared" si="16"/>
        <v>254.31120000000001</v>
      </c>
      <c r="AG46" s="367">
        <f t="shared" si="16"/>
        <v>254.31120000000001</v>
      </c>
      <c r="AH46" s="367">
        <f t="shared" si="16"/>
        <v>254.31120000000001</v>
      </c>
      <c r="AI46" s="367">
        <f t="shared" si="16"/>
        <v>254.31120000000001</v>
      </c>
      <c r="AJ46" s="367">
        <f t="shared" si="16"/>
        <v>254.31120000000001</v>
      </c>
      <c r="AK46" s="367">
        <f t="shared" si="16"/>
        <v>254.31120000000001</v>
      </c>
    </row>
    <row r="47" spans="2:37">
      <c r="B47" s="358" t="s">
        <v>998</v>
      </c>
      <c r="C47" s="364">
        <f>DATE(98,1,1)</f>
        <v>35796</v>
      </c>
      <c r="D47" s="365">
        <f>105718.16-25056.28</f>
        <v>80661.88</v>
      </c>
      <c r="E47" s="365"/>
      <c r="F47" s="365">
        <f t="shared" si="13"/>
        <v>36297.853199999998</v>
      </c>
      <c r="H47" s="358">
        <f t="shared" si="8"/>
        <v>36297.853199999998</v>
      </c>
      <c r="I47" s="366">
        <v>2</v>
      </c>
      <c r="J47" s="385">
        <v>3</v>
      </c>
      <c r="L47" s="367">
        <v>0</v>
      </c>
      <c r="M47" s="367">
        <v>0</v>
      </c>
      <c r="N47" s="367">
        <v>0</v>
      </c>
      <c r="O47" s="367">
        <v>0</v>
      </c>
      <c r="P47" s="367">
        <v>0</v>
      </c>
      <c r="Q47" s="367">
        <v>0</v>
      </c>
      <c r="R47" s="367">
        <v>0</v>
      </c>
      <c r="S47" s="367">
        <v>0</v>
      </c>
      <c r="T47" s="367">
        <v>0</v>
      </c>
      <c r="U47" s="367">
        <f>SUM($D47*$J47)/100</f>
        <v>2419.8564000000001</v>
      </c>
      <c r="V47" s="367">
        <f>SUM($D47*$J47)/100</f>
        <v>2419.8564000000001</v>
      </c>
      <c r="W47" s="367">
        <f>SUM($D47*$J47)/100</f>
        <v>2419.8564000000001</v>
      </c>
      <c r="X47" s="367">
        <v>2419.86</v>
      </c>
      <c r="Y47" s="367">
        <v>2419.86</v>
      </c>
      <c r="Z47" s="367">
        <f t="shared" si="11"/>
        <v>2419.8564000000001</v>
      </c>
      <c r="AA47" s="367">
        <f t="shared" si="11"/>
        <v>2419.8564000000001</v>
      </c>
      <c r="AB47" s="367">
        <f t="shared" si="16"/>
        <v>2419.8564000000001</v>
      </c>
      <c r="AC47" s="367">
        <f t="shared" si="16"/>
        <v>2419.8564000000001</v>
      </c>
      <c r="AD47" s="367">
        <f t="shared" si="16"/>
        <v>2419.8564000000001</v>
      </c>
      <c r="AE47" s="367">
        <f t="shared" si="16"/>
        <v>2419.8564000000001</v>
      </c>
      <c r="AF47" s="367">
        <f t="shared" si="16"/>
        <v>2419.8564000000001</v>
      </c>
      <c r="AG47" s="367">
        <f t="shared" si="16"/>
        <v>2419.8564000000001</v>
      </c>
      <c r="AH47" s="367">
        <f t="shared" si="16"/>
        <v>2419.8564000000001</v>
      </c>
      <c r="AI47" s="367">
        <f t="shared" si="16"/>
        <v>2419.8564000000001</v>
      </c>
      <c r="AJ47" s="367">
        <f t="shared" si="16"/>
        <v>2419.8564000000001</v>
      </c>
      <c r="AK47" s="367">
        <f t="shared" si="16"/>
        <v>2419.8564000000001</v>
      </c>
    </row>
    <row r="48" spans="2:37">
      <c r="B48" s="358" t="s">
        <v>998</v>
      </c>
      <c r="C48" s="364">
        <f>DATE(99,1,1)</f>
        <v>36161</v>
      </c>
      <c r="D48" s="365">
        <f>53978.18-38720.4</f>
        <v>15257.779999999999</v>
      </c>
      <c r="E48" s="365"/>
      <c r="F48" s="365">
        <f t="shared" si="13"/>
        <v>6408.2608</v>
      </c>
      <c r="H48" s="358">
        <f t="shared" si="8"/>
        <v>6408.2608</v>
      </c>
      <c r="I48" s="366">
        <v>3</v>
      </c>
      <c r="J48" s="366"/>
      <c r="L48" s="367"/>
      <c r="M48" s="367"/>
      <c r="N48" s="367"/>
      <c r="O48" s="367"/>
      <c r="P48" s="367"/>
      <c r="Q48" s="367"/>
      <c r="R48" s="367"/>
      <c r="S48" s="367"/>
      <c r="T48" s="367"/>
      <c r="U48" s="367">
        <v>0</v>
      </c>
      <c r="V48" s="367">
        <f>SUM($D48*$I48)/100</f>
        <v>457.73339999999996</v>
      </c>
      <c r="W48" s="367">
        <f>SUM($D48*$I48)/100</f>
        <v>457.73339999999996</v>
      </c>
      <c r="X48" s="367">
        <v>457.73</v>
      </c>
      <c r="Y48" s="367">
        <v>457.73</v>
      </c>
      <c r="Z48" s="367">
        <f t="shared" ref="Z48:AK52" si="17">SUM($D48*$I48)/100</f>
        <v>457.73339999999996</v>
      </c>
      <c r="AA48" s="367">
        <f t="shared" si="17"/>
        <v>457.73339999999996</v>
      </c>
      <c r="AB48" s="367">
        <f t="shared" si="17"/>
        <v>457.73339999999996</v>
      </c>
      <c r="AC48" s="367">
        <f t="shared" si="17"/>
        <v>457.73339999999996</v>
      </c>
      <c r="AD48" s="367">
        <f t="shared" si="17"/>
        <v>457.73339999999996</v>
      </c>
      <c r="AE48" s="367">
        <f t="shared" si="17"/>
        <v>457.73339999999996</v>
      </c>
      <c r="AF48" s="367">
        <f t="shared" si="17"/>
        <v>457.73339999999996</v>
      </c>
      <c r="AG48" s="367">
        <f t="shared" si="17"/>
        <v>457.73339999999996</v>
      </c>
      <c r="AH48" s="367">
        <f t="shared" si="17"/>
        <v>457.73339999999996</v>
      </c>
      <c r="AI48" s="367">
        <f t="shared" si="17"/>
        <v>457.73339999999996</v>
      </c>
      <c r="AJ48" s="367">
        <f t="shared" si="17"/>
        <v>457.73339999999996</v>
      </c>
      <c r="AK48" s="367">
        <f t="shared" si="17"/>
        <v>457.73339999999996</v>
      </c>
    </row>
    <row r="49" spans="2:37">
      <c r="B49" s="358" t="s">
        <v>998</v>
      </c>
      <c r="C49" s="364">
        <f>DATE(2000,1,1)</f>
        <v>36526</v>
      </c>
      <c r="D49" s="365">
        <v>32189.89</v>
      </c>
      <c r="E49" s="365"/>
      <c r="F49" s="365">
        <f t="shared" si="13"/>
        <v>12554.063700000002</v>
      </c>
      <c r="H49" s="358">
        <f t="shared" si="8"/>
        <v>12554.063700000002</v>
      </c>
      <c r="I49" s="366">
        <v>3</v>
      </c>
      <c r="J49" s="366"/>
      <c r="L49" s="367"/>
      <c r="M49" s="367"/>
      <c r="N49" s="367"/>
      <c r="O49" s="367"/>
      <c r="P49" s="367"/>
      <c r="Q49" s="367"/>
      <c r="R49" s="367"/>
      <c r="S49" s="367"/>
      <c r="T49" s="367"/>
      <c r="U49" s="367">
        <v>0</v>
      </c>
      <c r="V49" s="367">
        <v>0</v>
      </c>
      <c r="W49" s="367">
        <f>SUM($D49*$I49)/100</f>
        <v>965.69669999999996</v>
      </c>
      <c r="X49" s="367">
        <v>965.7</v>
      </c>
      <c r="Y49" s="367">
        <v>965.7</v>
      </c>
      <c r="Z49" s="367">
        <f t="shared" si="17"/>
        <v>965.69669999999996</v>
      </c>
      <c r="AA49" s="367">
        <f t="shared" si="17"/>
        <v>965.69669999999996</v>
      </c>
      <c r="AB49" s="367">
        <f t="shared" si="17"/>
        <v>965.69669999999996</v>
      </c>
      <c r="AC49" s="367">
        <f t="shared" si="17"/>
        <v>965.69669999999996</v>
      </c>
      <c r="AD49" s="367">
        <f t="shared" si="17"/>
        <v>965.69669999999996</v>
      </c>
      <c r="AE49" s="367">
        <f t="shared" si="17"/>
        <v>965.69669999999996</v>
      </c>
      <c r="AF49" s="367">
        <f t="shared" si="17"/>
        <v>965.69669999999996</v>
      </c>
      <c r="AG49" s="367">
        <f t="shared" si="17"/>
        <v>965.69669999999996</v>
      </c>
      <c r="AH49" s="367">
        <f t="shared" si="17"/>
        <v>965.69669999999996</v>
      </c>
      <c r="AI49" s="367">
        <f t="shared" si="17"/>
        <v>965.69669999999996</v>
      </c>
      <c r="AJ49" s="367">
        <f t="shared" si="17"/>
        <v>965.69669999999996</v>
      </c>
      <c r="AK49" s="367">
        <f t="shared" si="17"/>
        <v>965.69669999999996</v>
      </c>
    </row>
    <row r="50" spans="2:37">
      <c r="B50" s="358" t="s">
        <v>998</v>
      </c>
      <c r="C50" s="364">
        <f>DATE(2001,1,1)</f>
        <v>36892</v>
      </c>
      <c r="D50" s="365">
        <v>49080.97</v>
      </c>
      <c r="E50" s="365"/>
      <c r="F50" s="365">
        <f t="shared" si="13"/>
        <v>17669.150999999998</v>
      </c>
      <c r="H50" s="358">
        <f t="shared" si="8"/>
        <v>17669.150999999998</v>
      </c>
      <c r="I50" s="366">
        <v>3</v>
      </c>
      <c r="J50" s="366"/>
      <c r="L50" s="367"/>
      <c r="M50" s="367"/>
      <c r="N50" s="367"/>
      <c r="O50" s="367"/>
      <c r="P50" s="367"/>
      <c r="Q50" s="367"/>
      <c r="R50" s="367"/>
      <c r="S50" s="367"/>
      <c r="T50" s="367"/>
      <c r="U50" s="367">
        <v>0</v>
      </c>
      <c r="V50" s="367">
        <v>0</v>
      </c>
      <c r="W50" s="367">
        <v>0</v>
      </c>
      <c r="X50" s="367">
        <v>1472.43</v>
      </c>
      <c r="Y50" s="367">
        <v>1472.43</v>
      </c>
      <c r="Z50" s="367">
        <f t="shared" si="17"/>
        <v>1472.4291000000001</v>
      </c>
      <c r="AA50" s="367">
        <f t="shared" si="17"/>
        <v>1472.4291000000001</v>
      </c>
      <c r="AB50" s="367">
        <f t="shared" si="17"/>
        <v>1472.4291000000001</v>
      </c>
      <c r="AC50" s="367">
        <f t="shared" si="17"/>
        <v>1472.4291000000001</v>
      </c>
      <c r="AD50" s="367">
        <f t="shared" si="17"/>
        <v>1472.4291000000001</v>
      </c>
      <c r="AE50" s="367">
        <f t="shared" si="17"/>
        <v>1472.4291000000001</v>
      </c>
      <c r="AF50" s="367">
        <f t="shared" si="17"/>
        <v>1472.4291000000001</v>
      </c>
      <c r="AG50" s="367">
        <f t="shared" si="17"/>
        <v>1472.4291000000001</v>
      </c>
      <c r="AH50" s="367">
        <f t="shared" si="17"/>
        <v>1472.4291000000001</v>
      </c>
      <c r="AI50" s="367">
        <f t="shared" si="17"/>
        <v>1472.4291000000001</v>
      </c>
      <c r="AJ50" s="367">
        <f t="shared" si="17"/>
        <v>1472.4291000000001</v>
      </c>
      <c r="AK50" s="367">
        <f t="shared" si="17"/>
        <v>1472.4291000000001</v>
      </c>
    </row>
    <row r="51" spans="2:37">
      <c r="B51" s="358" t="s">
        <v>998</v>
      </c>
      <c r="C51" s="364">
        <f>DATE(2002,1,1)</f>
        <v>37257</v>
      </c>
      <c r="D51" s="365">
        <f>133835.8-431.75</f>
        <v>133404.04999999999</v>
      </c>
      <c r="E51" s="365"/>
      <c r="F51" s="365">
        <f t="shared" si="13"/>
        <v>44023.335000000006</v>
      </c>
      <c r="H51" s="358">
        <f t="shared" si="8"/>
        <v>44023.335000000006</v>
      </c>
      <c r="I51" s="366">
        <v>3</v>
      </c>
      <c r="J51" s="366"/>
      <c r="L51" s="367"/>
      <c r="M51" s="367"/>
      <c r="N51" s="367"/>
      <c r="O51" s="367"/>
      <c r="P51" s="367"/>
      <c r="Q51" s="367"/>
      <c r="R51" s="367"/>
      <c r="S51" s="367"/>
      <c r="T51" s="367"/>
      <c r="U51" s="367">
        <v>0</v>
      </c>
      <c r="V51" s="367">
        <v>0</v>
      </c>
      <c r="W51" s="367">
        <v>0</v>
      </c>
      <c r="X51" s="367">
        <v>0</v>
      </c>
      <c r="Y51" s="367">
        <v>4002.12</v>
      </c>
      <c r="Z51" s="367">
        <f t="shared" si="17"/>
        <v>4002.1214999999997</v>
      </c>
      <c r="AA51" s="367">
        <f t="shared" si="17"/>
        <v>4002.1214999999997</v>
      </c>
      <c r="AB51" s="367">
        <f t="shared" si="17"/>
        <v>4002.1214999999997</v>
      </c>
      <c r="AC51" s="367">
        <f t="shared" si="17"/>
        <v>4002.1214999999997</v>
      </c>
      <c r="AD51" s="367">
        <f t="shared" si="17"/>
        <v>4002.1214999999997</v>
      </c>
      <c r="AE51" s="367">
        <f t="shared" si="17"/>
        <v>4002.1214999999997</v>
      </c>
      <c r="AF51" s="367">
        <f t="shared" si="17"/>
        <v>4002.1214999999997</v>
      </c>
      <c r="AG51" s="367">
        <f t="shared" si="17"/>
        <v>4002.1214999999997</v>
      </c>
      <c r="AH51" s="367">
        <f t="shared" si="17"/>
        <v>4002.1214999999997</v>
      </c>
      <c r="AI51" s="367">
        <f t="shared" si="17"/>
        <v>4002.1214999999997</v>
      </c>
      <c r="AJ51" s="367">
        <f t="shared" si="17"/>
        <v>4002.1214999999997</v>
      </c>
      <c r="AK51" s="367">
        <f t="shared" si="17"/>
        <v>4002.1214999999997</v>
      </c>
    </row>
    <row r="52" spans="2:37">
      <c r="B52" s="358" t="s">
        <v>998</v>
      </c>
      <c r="C52" s="364">
        <f>DATE(2003,1,1)</f>
        <v>37622</v>
      </c>
      <c r="D52" s="365">
        <v>28336.03</v>
      </c>
      <c r="E52" s="365"/>
      <c r="F52" s="365">
        <f t="shared" si="13"/>
        <v>8500.8089999999993</v>
      </c>
      <c r="H52" s="358">
        <f t="shared" si="8"/>
        <v>8500.8089999999993</v>
      </c>
      <c r="I52" s="366">
        <v>3</v>
      </c>
      <c r="J52" s="366"/>
      <c r="L52" s="367"/>
      <c r="M52" s="367"/>
      <c r="N52" s="367"/>
      <c r="O52" s="367"/>
      <c r="P52" s="367"/>
      <c r="Q52" s="367"/>
      <c r="R52" s="367"/>
      <c r="S52" s="367"/>
      <c r="T52" s="367"/>
      <c r="U52" s="367">
        <v>0</v>
      </c>
      <c r="V52" s="367">
        <v>0</v>
      </c>
      <c r="W52" s="367">
        <v>0</v>
      </c>
      <c r="X52" s="367">
        <v>0</v>
      </c>
      <c r="Y52" s="367">
        <v>0</v>
      </c>
      <c r="Z52" s="367">
        <f t="shared" si="17"/>
        <v>850.08089999999993</v>
      </c>
      <c r="AA52" s="367">
        <f t="shared" si="17"/>
        <v>850.08089999999993</v>
      </c>
      <c r="AB52" s="367">
        <f t="shared" si="17"/>
        <v>850.08089999999993</v>
      </c>
      <c r="AC52" s="367">
        <f t="shared" si="17"/>
        <v>850.08089999999993</v>
      </c>
      <c r="AD52" s="367">
        <f t="shared" si="17"/>
        <v>850.08089999999993</v>
      </c>
      <c r="AE52" s="367">
        <f t="shared" si="17"/>
        <v>850.08089999999993</v>
      </c>
      <c r="AF52" s="367">
        <f t="shared" si="17"/>
        <v>850.08089999999993</v>
      </c>
      <c r="AG52" s="367">
        <f t="shared" si="17"/>
        <v>850.08089999999993</v>
      </c>
      <c r="AH52" s="367">
        <f t="shared" si="17"/>
        <v>850.08089999999993</v>
      </c>
      <c r="AI52" s="367">
        <f t="shared" si="17"/>
        <v>850.08089999999993</v>
      </c>
      <c r="AJ52" s="367">
        <f t="shared" si="17"/>
        <v>850.08089999999993</v>
      </c>
      <c r="AK52" s="367">
        <f t="shared" si="17"/>
        <v>850.08089999999993</v>
      </c>
    </row>
    <row r="53" spans="2:37">
      <c r="B53" s="358" t="s">
        <v>998</v>
      </c>
      <c r="C53" s="364">
        <f>DATE(2004,1,1)</f>
        <v>37987</v>
      </c>
      <c r="D53" s="365">
        <f>3805.07+123880.18+8686.56</f>
        <v>136371.81</v>
      </c>
      <c r="E53" s="365"/>
      <c r="F53" s="365">
        <f t="shared" si="13"/>
        <v>36820.38870000001</v>
      </c>
      <c r="H53" s="358">
        <f t="shared" si="8"/>
        <v>36820.38870000001</v>
      </c>
      <c r="I53" s="366">
        <v>3</v>
      </c>
      <c r="J53" s="366"/>
      <c r="L53" s="367"/>
      <c r="M53" s="367"/>
      <c r="N53" s="367"/>
      <c r="O53" s="367"/>
      <c r="P53" s="367"/>
      <c r="Q53" s="367"/>
      <c r="R53" s="367"/>
      <c r="S53" s="367"/>
      <c r="T53" s="367"/>
      <c r="U53" s="367">
        <v>0</v>
      </c>
      <c r="V53" s="367">
        <v>0</v>
      </c>
      <c r="W53" s="367">
        <v>0</v>
      </c>
      <c r="X53" s="367">
        <v>0</v>
      </c>
      <c r="Y53" s="367">
        <v>0</v>
      </c>
      <c r="Z53" s="367">
        <v>0</v>
      </c>
      <c r="AA53" s="367">
        <f t="shared" ref="AA53:AK53" si="18">SUM($D53*$I53)/100</f>
        <v>4091.1543000000001</v>
      </c>
      <c r="AB53" s="367">
        <f t="shared" si="18"/>
        <v>4091.1543000000001</v>
      </c>
      <c r="AC53" s="367">
        <f t="shared" si="18"/>
        <v>4091.1543000000001</v>
      </c>
      <c r="AD53" s="367">
        <f t="shared" si="18"/>
        <v>4091.1543000000001</v>
      </c>
      <c r="AE53" s="367">
        <f t="shared" si="18"/>
        <v>4091.1543000000001</v>
      </c>
      <c r="AF53" s="367">
        <f t="shared" si="18"/>
        <v>4091.1543000000001</v>
      </c>
      <c r="AG53" s="367">
        <f t="shared" si="18"/>
        <v>4091.1543000000001</v>
      </c>
      <c r="AH53" s="367">
        <f t="shared" si="18"/>
        <v>4091.1543000000001</v>
      </c>
      <c r="AI53" s="367">
        <f t="shared" si="18"/>
        <v>4091.1543000000001</v>
      </c>
      <c r="AJ53" s="367">
        <f t="shared" si="18"/>
        <v>4091.1543000000001</v>
      </c>
      <c r="AK53" s="367">
        <f t="shared" si="18"/>
        <v>4091.1543000000001</v>
      </c>
    </row>
    <row r="54" spans="2:37">
      <c r="B54" s="358" t="s">
        <v>998</v>
      </c>
      <c r="C54" s="364">
        <f>DATE(2005,1,1)</f>
        <v>38353</v>
      </c>
      <c r="D54" s="365">
        <v>16028.09</v>
      </c>
      <c r="E54" s="365"/>
      <c r="F54" s="365">
        <f t="shared" si="13"/>
        <v>3846.7416000000007</v>
      </c>
      <c r="H54" s="358">
        <f t="shared" si="8"/>
        <v>3846.7416000000007</v>
      </c>
      <c r="I54" s="366">
        <v>3</v>
      </c>
      <c r="J54" s="366"/>
      <c r="L54" s="367"/>
      <c r="M54" s="367"/>
      <c r="N54" s="367"/>
      <c r="O54" s="367"/>
      <c r="P54" s="367"/>
      <c r="Q54" s="367"/>
      <c r="R54" s="367"/>
      <c r="S54" s="367"/>
      <c r="T54" s="367"/>
      <c r="U54" s="367">
        <v>0</v>
      </c>
      <c r="V54" s="367">
        <v>0</v>
      </c>
      <c r="W54" s="367">
        <v>0</v>
      </c>
      <c r="X54" s="367">
        <v>0</v>
      </c>
      <c r="Y54" s="367">
        <v>0</v>
      </c>
      <c r="Z54" s="367">
        <v>0</v>
      </c>
      <c r="AA54" s="367">
        <v>0</v>
      </c>
      <c r="AB54" s="367">
        <f t="shared" ref="AB54:AK55" si="19">SUM($D54*$I54)/100</f>
        <v>480.84270000000004</v>
      </c>
      <c r="AC54" s="367">
        <f t="shared" si="19"/>
        <v>480.84270000000004</v>
      </c>
      <c r="AD54" s="367">
        <f t="shared" si="19"/>
        <v>480.84270000000004</v>
      </c>
      <c r="AE54" s="367">
        <f t="shared" si="19"/>
        <v>480.84270000000004</v>
      </c>
      <c r="AF54" s="367">
        <f t="shared" si="19"/>
        <v>480.84270000000004</v>
      </c>
      <c r="AG54" s="367">
        <f t="shared" si="19"/>
        <v>480.84270000000004</v>
      </c>
      <c r="AH54" s="367">
        <f t="shared" si="19"/>
        <v>480.84270000000004</v>
      </c>
      <c r="AI54" s="367">
        <f t="shared" si="19"/>
        <v>480.84270000000004</v>
      </c>
      <c r="AJ54" s="367">
        <f t="shared" si="19"/>
        <v>480.84270000000004</v>
      </c>
      <c r="AK54" s="367">
        <f t="shared" si="19"/>
        <v>480.84270000000004</v>
      </c>
    </row>
    <row r="55" spans="2:37">
      <c r="B55" s="358" t="s">
        <v>1005</v>
      </c>
      <c r="C55" s="364">
        <f>DATE(2005,1,1)</f>
        <v>38353</v>
      </c>
      <c r="D55" s="365">
        <v>346737.87</v>
      </c>
      <c r="E55" s="365"/>
      <c r="F55" s="365">
        <f t="shared" si="13"/>
        <v>83217.088800000012</v>
      </c>
      <c r="H55" s="358">
        <f t="shared" si="8"/>
        <v>83217.088800000012</v>
      </c>
      <c r="I55" s="366">
        <v>3</v>
      </c>
      <c r="J55" s="366"/>
      <c r="L55" s="367"/>
      <c r="M55" s="367"/>
      <c r="N55" s="367"/>
      <c r="O55" s="367"/>
      <c r="P55" s="367"/>
      <c r="Q55" s="367"/>
      <c r="R55" s="367"/>
      <c r="S55" s="367"/>
      <c r="T55" s="367"/>
      <c r="U55" s="367">
        <v>0</v>
      </c>
      <c r="V55" s="367">
        <v>0</v>
      </c>
      <c r="W55" s="367">
        <v>0</v>
      </c>
      <c r="X55" s="367">
        <v>0</v>
      </c>
      <c r="Y55" s="367">
        <v>0</v>
      </c>
      <c r="Z55" s="367">
        <v>0</v>
      </c>
      <c r="AA55" s="367">
        <v>0</v>
      </c>
      <c r="AB55" s="367">
        <f t="shared" si="19"/>
        <v>10402.1361</v>
      </c>
      <c r="AC55" s="367">
        <f t="shared" si="19"/>
        <v>10402.1361</v>
      </c>
      <c r="AD55" s="367">
        <f t="shared" si="19"/>
        <v>10402.1361</v>
      </c>
      <c r="AE55" s="367">
        <f t="shared" si="19"/>
        <v>10402.1361</v>
      </c>
      <c r="AF55" s="367">
        <f t="shared" si="19"/>
        <v>10402.1361</v>
      </c>
      <c r="AG55" s="367">
        <f t="shared" si="19"/>
        <v>10402.1361</v>
      </c>
      <c r="AH55" s="367">
        <f t="shared" si="19"/>
        <v>10402.1361</v>
      </c>
      <c r="AI55" s="367">
        <f t="shared" si="19"/>
        <v>10402.1361</v>
      </c>
      <c r="AJ55" s="367">
        <f t="shared" si="19"/>
        <v>10402.1361</v>
      </c>
      <c r="AK55" s="367">
        <f t="shared" si="19"/>
        <v>10402.1361</v>
      </c>
    </row>
    <row r="56" spans="2:37">
      <c r="B56" s="358" t="s">
        <v>998</v>
      </c>
      <c r="C56" s="364">
        <f>DATE(2006,1,1)</f>
        <v>38718</v>
      </c>
      <c r="D56" s="365">
        <v>8012.77</v>
      </c>
      <c r="E56" s="365"/>
      <c r="F56" s="365">
        <f t="shared" si="13"/>
        <v>1682.6817000000001</v>
      </c>
      <c r="H56" s="358">
        <f t="shared" si="8"/>
        <v>1682.6817000000001</v>
      </c>
      <c r="I56" s="366">
        <v>3</v>
      </c>
      <c r="J56" s="366"/>
      <c r="L56" s="367"/>
      <c r="M56" s="367"/>
      <c r="N56" s="367"/>
      <c r="O56" s="367"/>
      <c r="P56" s="367"/>
      <c r="Q56" s="367"/>
      <c r="R56" s="367"/>
      <c r="S56" s="367"/>
      <c r="T56" s="367"/>
      <c r="U56" s="367">
        <v>0</v>
      </c>
      <c r="V56" s="367">
        <v>0</v>
      </c>
      <c r="W56" s="367">
        <v>0</v>
      </c>
      <c r="X56" s="367">
        <v>0</v>
      </c>
      <c r="Y56" s="367">
        <v>0</v>
      </c>
      <c r="Z56" s="367">
        <v>0</v>
      </c>
      <c r="AA56" s="367">
        <v>0</v>
      </c>
      <c r="AB56" s="367">
        <v>0</v>
      </c>
      <c r="AC56" s="367">
        <f t="shared" ref="AC56:AK59" si="20">SUM($D56*$I56)/100</f>
        <v>240.38310000000001</v>
      </c>
      <c r="AD56" s="367">
        <f t="shared" si="20"/>
        <v>240.38310000000001</v>
      </c>
      <c r="AE56" s="367">
        <f t="shared" si="20"/>
        <v>240.38310000000001</v>
      </c>
      <c r="AF56" s="367">
        <f t="shared" si="20"/>
        <v>240.38310000000001</v>
      </c>
      <c r="AG56" s="367">
        <f t="shared" si="20"/>
        <v>240.38310000000001</v>
      </c>
      <c r="AH56" s="367">
        <f t="shared" si="20"/>
        <v>240.38310000000001</v>
      </c>
      <c r="AI56" s="367">
        <f t="shared" si="20"/>
        <v>240.38310000000001</v>
      </c>
      <c r="AJ56" s="367">
        <f t="shared" si="20"/>
        <v>240.38310000000001</v>
      </c>
      <c r="AK56" s="367">
        <f t="shared" si="20"/>
        <v>240.38310000000001</v>
      </c>
    </row>
    <row r="57" spans="2:37">
      <c r="B57" s="358" t="s">
        <v>1005</v>
      </c>
      <c r="C57" s="364">
        <f>DATE(2006,1,1)</f>
        <v>38718</v>
      </c>
      <c r="D57" s="365">
        <v>12933.6</v>
      </c>
      <c r="E57" s="365"/>
      <c r="F57" s="365">
        <f t="shared" si="13"/>
        <v>2716.0560000000005</v>
      </c>
      <c r="H57" s="358">
        <f t="shared" si="8"/>
        <v>2716.0560000000005</v>
      </c>
      <c r="I57" s="366">
        <v>3</v>
      </c>
      <c r="J57" s="366"/>
      <c r="L57" s="367"/>
      <c r="M57" s="367"/>
      <c r="N57" s="367"/>
      <c r="O57" s="367"/>
      <c r="P57" s="367"/>
      <c r="Q57" s="367"/>
      <c r="R57" s="367"/>
      <c r="S57" s="367"/>
      <c r="T57" s="367"/>
      <c r="U57" s="367">
        <v>0</v>
      </c>
      <c r="V57" s="367">
        <v>0</v>
      </c>
      <c r="W57" s="367">
        <v>0</v>
      </c>
      <c r="X57" s="367">
        <v>0</v>
      </c>
      <c r="Y57" s="367">
        <v>0</v>
      </c>
      <c r="Z57" s="367">
        <v>0</v>
      </c>
      <c r="AA57" s="367">
        <v>0</v>
      </c>
      <c r="AB57" s="367">
        <v>0</v>
      </c>
      <c r="AC57" s="367">
        <f t="shared" si="20"/>
        <v>388.00800000000004</v>
      </c>
      <c r="AD57" s="367">
        <f t="shared" si="20"/>
        <v>388.00800000000004</v>
      </c>
      <c r="AE57" s="367">
        <f t="shared" si="20"/>
        <v>388.00800000000004</v>
      </c>
      <c r="AF57" s="367">
        <f t="shared" si="20"/>
        <v>388.00800000000004</v>
      </c>
      <c r="AG57" s="367">
        <f t="shared" si="20"/>
        <v>388.00800000000004</v>
      </c>
      <c r="AH57" s="367">
        <f t="shared" si="20"/>
        <v>388.00800000000004</v>
      </c>
      <c r="AI57" s="367">
        <f t="shared" si="20"/>
        <v>388.00800000000004</v>
      </c>
      <c r="AJ57" s="367">
        <f t="shared" si="20"/>
        <v>388.00800000000004</v>
      </c>
      <c r="AK57" s="367">
        <f t="shared" si="20"/>
        <v>388.00800000000004</v>
      </c>
    </row>
    <row r="58" spans="2:37">
      <c r="B58" s="358" t="s">
        <v>907</v>
      </c>
      <c r="C58" s="364">
        <f>DATE(2006,1,1)</f>
        <v>38718</v>
      </c>
      <c r="D58" s="365">
        <v>22500</v>
      </c>
      <c r="E58" s="365"/>
      <c r="F58" s="365">
        <f t="shared" si="13"/>
        <v>4725</v>
      </c>
      <c r="H58" s="358">
        <f t="shared" si="8"/>
        <v>4725</v>
      </c>
      <c r="I58" s="366">
        <v>3</v>
      </c>
      <c r="J58" s="366"/>
      <c r="L58" s="367"/>
      <c r="M58" s="367"/>
      <c r="N58" s="367"/>
      <c r="O58" s="367"/>
      <c r="P58" s="367"/>
      <c r="Q58" s="367"/>
      <c r="R58" s="367"/>
      <c r="S58" s="367"/>
      <c r="T58" s="367"/>
      <c r="U58" s="367">
        <v>0</v>
      </c>
      <c r="V58" s="367">
        <v>0</v>
      </c>
      <c r="W58" s="367">
        <v>0</v>
      </c>
      <c r="X58" s="367">
        <v>0</v>
      </c>
      <c r="Y58" s="367">
        <v>0</v>
      </c>
      <c r="Z58" s="367">
        <v>0</v>
      </c>
      <c r="AA58" s="367">
        <v>0</v>
      </c>
      <c r="AB58" s="367">
        <v>0</v>
      </c>
      <c r="AC58" s="367">
        <f t="shared" si="20"/>
        <v>675</v>
      </c>
      <c r="AD58" s="367">
        <f t="shared" si="20"/>
        <v>675</v>
      </c>
      <c r="AE58" s="367">
        <f t="shared" si="20"/>
        <v>675</v>
      </c>
      <c r="AF58" s="367">
        <f t="shared" si="20"/>
        <v>675</v>
      </c>
      <c r="AG58" s="367">
        <f t="shared" si="20"/>
        <v>675</v>
      </c>
      <c r="AH58" s="367">
        <f t="shared" si="20"/>
        <v>675</v>
      </c>
      <c r="AI58" s="367">
        <f t="shared" si="20"/>
        <v>675</v>
      </c>
      <c r="AJ58" s="367">
        <f t="shared" si="20"/>
        <v>675</v>
      </c>
      <c r="AK58" s="367">
        <f t="shared" si="20"/>
        <v>675</v>
      </c>
    </row>
    <row r="59" spans="2:37">
      <c r="B59" s="358" t="s">
        <v>906</v>
      </c>
      <c r="C59" s="364">
        <f>DATE(2006,1,1)</f>
        <v>38718</v>
      </c>
      <c r="D59" s="365">
        <v>16698.96</v>
      </c>
      <c r="E59" s="365"/>
      <c r="F59" s="365">
        <f t="shared" si="13"/>
        <v>3506.7816000000003</v>
      </c>
      <c r="H59" s="358">
        <f t="shared" si="8"/>
        <v>3506.7816000000003</v>
      </c>
      <c r="I59" s="366">
        <v>3</v>
      </c>
      <c r="J59" s="366"/>
      <c r="L59" s="367"/>
      <c r="M59" s="367"/>
      <c r="N59" s="367"/>
      <c r="O59" s="367"/>
      <c r="P59" s="367"/>
      <c r="Q59" s="367"/>
      <c r="R59" s="367"/>
      <c r="S59" s="367"/>
      <c r="T59" s="367"/>
      <c r="U59" s="367">
        <v>0</v>
      </c>
      <c r="V59" s="367">
        <v>0</v>
      </c>
      <c r="W59" s="367">
        <v>0</v>
      </c>
      <c r="X59" s="367">
        <v>0</v>
      </c>
      <c r="Y59" s="367">
        <v>0</v>
      </c>
      <c r="Z59" s="367">
        <v>0</v>
      </c>
      <c r="AA59" s="367">
        <v>0</v>
      </c>
      <c r="AB59" s="367">
        <v>0</v>
      </c>
      <c r="AC59" s="367">
        <f t="shared" si="20"/>
        <v>500.96879999999999</v>
      </c>
      <c r="AD59" s="367">
        <f t="shared" si="20"/>
        <v>500.96879999999999</v>
      </c>
      <c r="AE59" s="367">
        <f t="shared" si="20"/>
        <v>500.96879999999999</v>
      </c>
      <c r="AF59" s="367">
        <f t="shared" si="20"/>
        <v>500.96879999999999</v>
      </c>
      <c r="AG59" s="367">
        <f t="shared" si="20"/>
        <v>500.96879999999999</v>
      </c>
      <c r="AH59" s="367">
        <f t="shared" si="20"/>
        <v>500.96879999999999</v>
      </c>
      <c r="AI59" s="367">
        <f t="shared" si="20"/>
        <v>500.96879999999999</v>
      </c>
      <c r="AJ59" s="367">
        <f t="shared" si="20"/>
        <v>500.96879999999999</v>
      </c>
      <c r="AK59" s="367">
        <f t="shared" si="20"/>
        <v>500.96879999999999</v>
      </c>
    </row>
    <row r="60" spans="2:37">
      <c r="B60" s="358" t="s">
        <v>906</v>
      </c>
      <c r="C60" s="364">
        <f>DATE(2007,1,1)</f>
        <v>39083</v>
      </c>
      <c r="D60" s="365">
        <v>7054.88</v>
      </c>
      <c r="E60" s="365"/>
      <c r="F60" s="365">
        <f t="shared" si="13"/>
        <v>1269.8784000000001</v>
      </c>
      <c r="H60" s="358">
        <f t="shared" si="8"/>
        <v>1269.8784000000001</v>
      </c>
      <c r="I60" s="366">
        <v>3</v>
      </c>
      <c r="J60" s="366"/>
      <c r="L60" s="367"/>
      <c r="M60" s="367"/>
      <c r="N60" s="367"/>
      <c r="O60" s="367"/>
      <c r="P60" s="367"/>
      <c r="Q60" s="367"/>
      <c r="R60" s="367"/>
      <c r="S60" s="367"/>
      <c r="T60" s="367"/>
      <c r="U60" s="367">
        <v>0</v>
      </c>
      <c r="V60" s="367">
        <v>0</v>
      </c>
      <c r="W60" s="367">
        <v>0</v>
      </c>
      <c r="X60" s="367">
        <v>0</v>
      </c>
      <c r="Y60" s="367">
        <v>0</v>
      </c>
      <c r="Z60" s="367">
        <v>0</v>
      </c>
      <c r="AA60" s="367">
        <v>0</v>
      </c>
      <c r="AB60" s="367">
        <v>0</v>
      </c>
      <c r="AC60" s="367">
        <v>0</v>
      </c>
      <c r="AD60" s="367">
        <f t="shared" ref="AD60:AK60" si="21">SUM($D60*$I60)/100</f>
        <v>211.6464</v>
      </c>
      <c r="AE60" s="367">
        <f t="shared" si="21"/>
        <v>211.6464</v>
      </c>
      <c r="AF60" s="367">
        <f t="shared" si="21"/>
        <v>211.6464</v>
      </c>
      <c r="AG60" s="367">
        <f t="shared" si="21"/>
        <v>211.6464</v>
      </c>
      <c r="AH60" s="367">
        <f t="shared" si="21"/>
        <v>211.6464</v>
      </c>
      <c r="AI60" s="367">
        <f t="shared" si="21"/>
        <v>211.6464</v>
      </c>
      <c r="AJ60" s="367">
        <f t="shared" si="21"/>
        <v>211.6464</v>
      </c>
      <c r="AK60" s="367">
        <f t="shared" si="21"/>
        <v>211.6464</v>
      </c>
    </row>
    <row r="61" spans="2:37">
      <c r="B61" s="358" t="s">
        <v>1004</v>
      </c>
      <c r="C61" s="364">
        <f>DATE(2007,1,1)</f>
        <v>39083</v>
      </c>
      <c r="D61" s="365">
        <v>14196.49</v>
      </c>
      <c r="E61" s="365"/>
      <c r="F61" s="365">
        <f t="shared" si="13"/>
        <v>7524.1349999999984</v>
      </c>
      <c r="H61" s="358">
        <f t="shared" si="8"/>
        <v>7524.1349999999984</v>
      </c>
      <c r="I61" s="366">
        <v>3</v>
      </c>
      <c r="J61" s="366">
        <v>10</v>
      </c>
      <c r="L61" s="367"/>
      <c r="M61" s="367"/>
      <c r="N61" s="367"/>
      <c r="O61" s="367"/>
      <c r="P61" s="367"/>
      <c r="Q61" s="367"/>
      <c r="R61" s="367"/>
      <c r="S61" s="367"/>
      <c r="T61" s="367"/>
      <c r="U61" s="367">
        <v>0</v>
      </c>
      <c r="V61" s="367">
        <v>0</v>
      </c>
      <c r="W61" s="367">
        <v>0</v>
      </c>
      <c r="X61" s="367">
        <v>0</v>
      </c>
      <c r="Y61" s="367">
        <v>0</v>
      </c>
      <c r="Z61" s="367">
        <v>0</v>
      </c>
      <c r="AA61" s="367">
        <v>0</v>
      </c>
      <c r="AB61" s="367">
        <v>0</v>
      </c>
      <c r="AC61" s="367">
        <v>0</v>
      </c>
      <c r="AD61" s="367">
        <v>425.89</v>
      </c>
      <c r="AE61" s="367">
        <f t="shared" ref="AE61:AK61" si="22">SUM($D61*$J61)/100</f>
        <v>1419.6489999999999</v>
      </c>
      <c r="AF61" s="367">
        <f t="shared" si="22"/>
        <v>1419.6489999999999</v>
      </c>
      <c r="AG61" s="367">
        <f t="shared" si="22"/>
        <v>1419.6489999999999</v>
      </c>
      <c r="AH61" s="367">
        <f t="shared" si="22"/>
        <v>1419.6489999999999</v>
      </c>
      <c r="AI61" s="367">
        <f t="shared" si="22"/>
        <v>1419.6489999999999</v>
      </c>
      <c r="AJ61" s="367">
        <f t="shared" si="22"/>
        <v>1419.6489999999999</v>
      </c>
      <c r="AK61" s="367">
        <f t="shared" si="22"/>
        <v>1419.6489999999999</v>
      </c>
    </row>
    <row r="62" spans="2:37">
      <c r="B62" s="377" t="s">
        <v>1004</v>
      </c>
      <c r="C62" s="386">
        <f>DATE(2008,1,1)</f>
        <v>39448</v>
      </c>
      <c r="D62" s="387">
        <v>14689.63</v>
      </c>
      <c r="E62" s="387"/>
      <c r="F62" s="387">
        <f t="shared" si="13"/>
        <v>7732.8089999999993</v>
      </c>
      <c r="G62" s="377"/>
      <c r="H62" s="358">
        <f t="shared" si="8"/>
        <v>7732.8089999999993</v>
      </c>
      <c r="I62" s="388">
        <v>10</v>
      </c>
      <c r="J62" s="388"/>
      <c r="K62" s="377"/>
      <c r="L62" s="389"/>
      <c r="M62" s="389"/>
      <c r="N62" s="389"/>
      <c r="O62" s="389"/>
      <c r="P62" s="389"/>
      <c r="Q62" s="389"/>
      <c r="R62" s="389"/>
      <c r="S62" s="389"/>
      <c r="T62" s="389"/>
      <c r="U62" s="389">
        <v>0</v>
      </c>
      <c r="V62" s="389">
        <v>0</v>
      </c>
      <c r="W62" s="389">
        <v>0</v>
      </c>
      <c r="X62" s="389">
        <v>0</v>
      </c>
      <c r="Y62" s="389">
        <v>0</v>
      </c>
      <c r="Z62" s="389">
        <v>0</v>
      </c>
      <c r="AA62" s="389">
        <v>0</v>
      </c>
      <c r="AB62" s="389">
        <v>0</v>
      </c>
      <c r="AC62" s="389">
        <v>0</v>
      </c>
      <c r="AD62" s="389">
        <v>0</v>
      </c>
      <c r="AE62" s="389">
        <v>1662.96</v>
      </c>
      <c r="AF62" s="389">
        <v>1662.96</v>
      </c>
      <c r="AG62" s="389">
        <f t="shared" ref="AG62:AK63" si="23">SUM($D62*$I62)/100</f>
        <v>1468.963</v>
      </c>
      <c r="AH62" s="389">
        <f t="shared" si="23"/>
        <v>1468.963</v>
      </c>
      <c r="AI62" s="389">
        <f t="shared" si="23"/>
        <v>1468.963</v>
      </c>
      <c r="AJ62" s="389">
        <f t="shared" si="23"/>
        <v>1468.963</v>
      </c>
      <c r="AK62" s="389">
        <f t="shared" si="23"/>
        <v>1468.963</v>
      </c>
    </row>
    <row r="63" spans="2:37">
      <c r="B63" s="377" t="s">
        <v>998</v>
      </c>
      <c r="C63" s="386">
        <f>DATE(2010,5,10)</f>
        <v>40308</v>
      </c>
      <c r="D63" s="387">
        <v>3449.8</v>
      </c>
      <c r="E63" s="387"/>
      <c r="F63" s="387">
        <f t="shared" si="13"/>
        <v>310.48200000000003</v>
      </c>
      <c r="G63" s="377"/>
      <c r="H63" s="358">
        <f t="shared" si="8"/>
        <v>310.48200000000003</v>
      </c>
      <c r="I63" s="388">
        <v>3</v>
      </c>
      <c r="J63" s="388"/>
      <c r="K63" s="377"/>
      <c r="L63" s="389"/>
      <c r="M63" s="389"/>
      <c r="N63" s="389"/>
      <c r="O63" s="389"/>
      <c r="P63" s="389"/>
      <c r="Q63" s="389"/>
      <c r="R63" s="389"/>
      <c r="S63" s="389"/>
      <c r="T63" s="389"/>
      <c r="U63" s="389">
        <v>0</v>
      </c>
      <c r="V63" s="389">
        <v>0</v>
      </c>
      <c r="W63" s="389">
        <v>0</v>
      </c>
      <c r="X63" s="389">
        <v>0</v>
      </c>
      <c r="Y63" s="389">
        <v>0</v>
      </c>
      <c r="Z63" s="389">
        <v>0</v>
      </c>
      <c r="AA63" s="389">
        <v>0</v>
      </c>
      <c r="AB63" s="389">
        <v>0</v>
      </c>
      <c r="AC63" s="389">
        <v>0</v>
      </c>
      <c r="AD63" s="389">
        <v>0</v>
      </c>
      <c r="AE63" s="389">
        <v>0</v>
      </c>
      <c r="AF63" s="389">
        <v>0</v>
      </c>
      <c r="AG63" s="389">
        <f t="shared" si="23"/>
        <v>103.49400000000001</v>
      </c>
      <c r="AH63" s="389">
        <f t="shared" si="23"/>
        <v>103.49400000000001</v>
      </c>
      <c r="AI63" s="389">
        <f t="shared" si="23"/>
        <v>103.49400000000001</v>
      </c>
      <c r="AJ63" s="389">
        <f t="shared" si="23"/>
        <v>103.49400000000001</v>
      </c>
      <c r="AK63" s="389">
        <f t="shared" si="23"/>
        <v>103.49400000000001</v>
      </c>
    </row>
    <row r="64" spans="2:37">
      <c r="B64" s="377" t="s">
        <v>1003</v>
      </c>
      <c r="C64" s="386">
        <f>DATE(2011,5,10)</f>
        <v>40673</v>
      </c>
      <c r="D64" s="387">
        <v>23814.27</v>
      </c>
      <c r="E64" s="387"/>
      <c r="F64" s="387">
        <f t="shared" si="13"/>
        <v>1428.8561999999999</v>
      </c>
      <c r="G64" s="377"/>
      <c r="H64" s="358">
        <f t="shared" si="8"/>
        <v>1428.8561999999999</v>
      </c>
      <c r="I64" s="388">
        <v>3</v>
      </c>
      <c r="J64" s="388"/>
      <c r="K64" s="377"/>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f t="shared" ref="AH64:AK65" si="24">SUM($D64*$I64)/100</f>
        <v>714.42809999999997</v>
      </c>
      <c r="AI64" s="389">
        <f t="shared" si="24"/>
        <v>714.42809999999997</v>
      </c>
      <c r="AJ64" s="389">
        <f t="shared" si="24"/>
        <v>714.42809999999997</v>
      </c>
      <c r="AK64" s="389">
        <f t="shared" si="24"/>
        <v>714.42809999999997</v>
      </c>
    </row>
    <row r="65" spans="1:37">
      <c r="B65" s="377" t="s">
        <v>998</v>
      </c>
      <c r="C65" s="386">
        <f>DATE(2011,5,10)</f>
        <v>40673</v>
      </c>
      <c r="D65" s="387">
        <v>2761.48</v>
      </c>
      <c r="E65" s="387"/>
      <c r="F65" s="387">
        <f t="shared" si="13"/>
        <v>165.68880000000001</v>
      </c>
      <c r="G65" s="377"/>
      <c r="H65" s="358">
        <f t="shared" si="8"/>
        <v>165.68880000000001</v>
      </c>
      <c r="I65" s="388">
        <v>3</v>
      </c>
      <c r="J65" s="388"/>
      <c r="K65" s="377"/>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f t="shared" si="24"/>
        <v>82.844400000000007</v>
      </c>
      <c r="AI65" s="389">
        <f t="shared" si="24"/>
        <v>82.844400000000007</v>
      </c>
      <c r="AJ65" s="389">
        <f t="shared" si="24"/>
        <v>82.844400000000007</v>
      </c>
      <c r="AK65" s="389">
        <f t="shared" si="24"/>
        <v>82.844400000000007</v>
      </c>
    </row>
    <row r="66" spans="1:37" s="377" customFormat="1">
      <c r="B66" s="377" t="s">
        <v>998</v>
      </c>
      <c r="C66" s="386">
        <f>DATE(2012,6,30)</f>
        <v>41090</v>
      </c>
      <c r="D66" s="387">
        <v>4821.82</v>
      </c>
      <c r="E66" s="387"/>
      <c r="F66" s="387">
        <f t="shared" si="13"/>
        <v>144.65459999999999</v>
      </c>
      <c r="H66" s="358">
        <f t="shared" si="8"/>
        <v>144.65459999999999</v>
      </c>
      <c r="I66" s="388">
        <v>3</v>
      </c>
      <c r="J66" s="388"/>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f>SUM($D66*$I66)/100</f>
        <v>144.65459999999999</v>
      </c>
      <c r="AJ66" s="389">
        <f>SUM($D66*$I66)/100</f>
        <v>144.65459999999999</v>
      </c>
      <c r="AK66" s="389">
        <f>SUM($D66*$I66)/100</f>
        <v>144.65459999999999</v>
      </c>
    </row>
    <row r="67" spans="1:37" s="377" customFormat="1">
      <c r="B67" s="390" t="s">
        <v>998</v>
      </c>
      <c r="C67" s="391">
        <f>DATE(2013,6,30)</f>
        <v>41455</v>
      </c>
      <c r="D67" s="392">
        <v>5789.59</v>
      </c>
      <c r="E67" s="392"/>
      <c r="F67" s="392">
        <f t="shared" si="13"/>
        <v>0</v>
      </c>
      <c r="G67" s="390"/>
      <c r="H67" s="390">
        <f t="shared" si="8"/>
        <v>0</v>
      </c>
      <c r="I67" s="393">
        <v>3</v>
      </c>
      <c r="J67" s="393"/>
      <c r="K67" s="390"/>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f>SUM($D67*$I67)/100</f>
        <v>173.68770000000001</v>
      </c>
      <c r="AK67" s="394">
        <f>SUM($D67*$I67)/100</f>
        <v>173.68770000000001</v>
      </c>
    </row>
    <row r="68" spans="1:37" s="377" customFormat="1">
      <c r="B68" s="377" t="s">
        <v>1002</v>
      </c>
      <c r="C68" s="386">
        <f>DATE(2012,5,10)</f>
        <v>41039</v>
      </c>
      <c r="D68" s="387">
        <v>9774.5300000000007</v>
      </c>
      <c r="E68" s="387"/>
      <c r="F68" s="387">
        <f t="shared" si="13"/>
        <v>293.23590000000002</v>
      </c>
      <c r="H68" s="358">
        <f t="shared" si="8"/>
        <v>293.23590000000002</v>
      </c>
      <c r="I68" s="388">
        <v>3</v>
      </c>
      <c r="J68" s="388"/>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f>SUM($D68*$I68)/100</f>
        <v>293.23590000000002</v>
      </c>
      <c r="AJ68" s="389">
        <v>293.25</v>
      </c>
      <c r="AK68" s="389">
        <v>293.25</v>
      </c>
    </row>
    <row r="69" spans="1:37">
      <c r="B69" s="358" t="s">
        <v>905</v>
      </c>
      <c r="C69" s="364">
        <f>DATE(2007,1,1)</f>
        <v>39083</v>
      </c>
      <c r="D69" s="365">
        <v>18359.41</v>
      </c>
      <c r="E69" s="365"/>
      <c r="F69" s="365">
        <f t="shared" si="13"/>
        <v>3304.6937999999996</v>
      </c>
      <c r="H69" s="358">
        <f t="shared" si="8"/>
        <v>3304.6937999999996</v>
      </c>
      <c r="I69" s="366">
        <v>3</v>
      </c>
      <c r="J69" s="366"/>
      <c r="L69" s="367"/>
      <c r="M69" s="367"/>
      <c r="N69" s="367"/>
      <c r="O69" s="367"/>
      <c r="P69" s="367"/>
      <c r="Q69" s="367"/>
      <c r="R69" s="367"/>
      <c r="S69" s="367"/>
      <c r="T69" s="367"/>
      <c r="U69" s="367">
        <v>0</v>
      </c>
      <c r="V69" s="367">
        <v>0</v>
      </c>
      <c r="W69" s="367">
        <v>0</v>
      </c>
      <c r="X69" s="367">
        <v>0</v>
      </c>
      <c r="Y69" s="367">
        <v>0</v>
      </c>
      <c r="Z69" s="367">
        <v>0</v>
      </c>
      <c r="AA69" s="367">
        <v>0</v>
      </c>
      <c r="AB69" s="367">
        <v>0</v>
      </c>
      <c r="AC69" s="367">
        <v>0</v>
      </c>
      <c r="AD69" s="367">
        <f t="shared" ref="AD69:AH71" si="25">SUM($D69*$I69)/100</f>
        <v>550.78229999999996</v>
      </c>
      <c r="AE69" s="367">
        <f t="shared" si="25"/>
        <v>550.78229999999996</v>
      </c>
      <c r="AF69" s="367">
        <f t="shared" si="25"/>
        <v>550.78229999999996</v>
      </c>
      <c r="AG69" s="367">
        <f t="shared" si="25"/>
        <v>550.78229999999996</v>
      </c>
      <c r="AH69" s="367">
        <f t="shared" si="25"/>
        <v>550.78229999999996</v>
      </c>
      <c r="AI69" s="367">
        <f>SUM($D69*$I69)/100</f>
        <v>550.78229999999996</v>
      </c>
      <c r="AJ69" s="367">
        <f t="shared" ref="AJ69:AK71" si="26">SUM($D69*$I69)/100</f>
        <v>550.78229999999996</v>
      </c>
      <c r="AK69" s="367">
        <f t="shared" si="26"/>
        <v>550.78229999999996</v>
      </c>
    </row>
    <row r="70" spans="1:37">
      <c r="B70" s="358" t="s">
        <v>1001</v>
      </c>
      <c r="C70" s="364">
        <f>DATE(2007,1,1)</f>
        <v>39083</v>
      </c>
      <c r="D70" s="365">
        <v>6597.41</v>
      </c>
      <c r="E70" s="365"/>
      <c r="F70" s="365">
        <f t="shared" si="13"/>
        <v>3958.4460000000004</v>
      </c>
      <c r="H70" s="358">
        <f t="shared" si="8"/>
        <v>3958.4460000000004</v>
      </c>
      <c r="I70" s="366">
        <v>10</v>
      </c>
      <c r="J70" s="366"/>
      <c r="L70" s="367"/>
      <c r="M70" s="367"/>
      <c r="N70" s="367"/>
      <c r="O70" s="367"/>
      <c r="P70" s="367"/>
      <c r="Q70" s="367"/>
      <c r="R70" s="367"/>
      <c r="S70" s="367"/>
      <c r="T70" s="367"/>
      <c r="U70" s="367">
        <v>0</v>
      </c>
      <c r="V70" s="367">
        <v>0</v>
      </c>
      <c r="W70" s="367">
        <v>0</v>
      </c>
      <c r="X70" s="367">
        <v>0</v>
      </c>
      <c r="Y70" s="367">
        <v>0</v>
      </c>
      <c r="Z70" s="367">
        <v>0</v>
      </c>
      <c r="AA70" s="367">
        <v>0</v>
      </c>
      <c r="AB70" s="367">
        <v>0</v>
      </c>
      <c r="AC70" s="367">
        <v>0</v>
      </c>
      <c r="AD70" s="367">
        <f t="shared" si="25"/>
        <v>659.7410000000001</v>
      </c>
      <c r="AE70" s="367">
        <f t="shared" si="25"/>
        <v>659.7410000000001</v>
      </c>
      <c r="AF70" s="367">
        <f t="shared" si="25"/>
        <v>659.7410000000001</v>
      </c>
      <c r="AG70" s="367">
        <f t="shared" si="25"/>
        <v>659.7410000000001</v>
      </c>
      <c r="AH70" s="367">
        <f t="shared" si="25"/>
        <v>659.7410000000001</v>
      </c>
      <c r="AI70" s="367">
        <f>SUM($D70*$I70)/100</f>
        <v>659.7410000000001</v>
      </c>
      <c r="AJ70" s="367">
        <f t="shared" si="26"/>
        <v>659.7410000000001</v>
      </c>
      <c r="AK70" s="367">
        <f t="shared" si="26"/>
        <v>659.7410000000001</v>
      </c>
    </row>
    <row r="71" spans="1:37">
      <c r="B71" s="358" t="s">
        <v>998</v>
      </c>
      <c r="C71" s="364">
        <f>DATE(2007,1,1)</f>
        <v>39083</v>
      </c>
      <c r="D71" s="365">
        <f>1847103.29-1839457.92</f>
        <v>7645.3700000001118</v>
      </c>
      <c r="E71" s="365"/>
      <c r="F71" s="365">
        <f t="shared" si="13"/>
        <v>1376.16660000002</v>
      </c>
      <c r="H71" s="358">
        <f t="shared" si="8"/>
        <v>1376.16660000002</v>
      </c>
      <c r="I71" s="366">
        <v>3</v>
      </c>
      <c r="J71" s="366"/>
      <c r="L71" s="367"/>
      <c r="M71" s="367"/>
      <c r="N71" s="367"/>
      <c r="O71" s="367"/>
      <c r="P71" s="367"/>
      <c r="Q71" s="367"/>
      <c r="R71" s="367"/>
      <c r="S71" s="367"/>
      <c r="T71" s="367"/>
      <c r="U71" s="367">
        <v>0</v>
      </c>
      <c r="V71" s="367">
        <v>0</v>
      </c>
      <c r="W71" s="367">
        <v>0</v>
      </c>
      <c r="X71" s="367">
        <v>0</v>
      </c>
      <c r="Y71" s="367">
        <v>0</v>
      </c>
      <c r="Z71" s="367">
        <v>0</v>
      </c>
      <c r="AA71" s="367">
        <v>0</v>
      </c>
      <c r="AB71" s="367">
        <v>0</v>
      </c>
      <c r="AC71" s="367">
        <v>0</v>
      </c>
      <c r="AD71" s="367">
        <f t="shared" si="25"/>
        <v>229.36110000000335</v>
      </c>
      <c r="AE71" s="367">
        <f t="shared" si="25"/>
        <v>229.36110000000335</v>
      </c>
      <c r="AF71" s="367">
        <f t="shared" si="25"/>
        <v>229.36110000000335</v>
      </c>
      <c r="AG71" s="367">
        <f t="shared" si="25"/>
        <v>229.36110000000335</v>
      </c>
      <c r="AH71" s="367">
        <f t="shared" si="25"/>
        <v>229.36110000000335</v>
      </c>
      <c r="AI71" s="367">
        <f>SUM($D71*$I71)/100</f>
        <v>229.36110000000335</v>
      </c>
      <c r="AJ71" s="367">
        <f t="shared" si="26"/>
        <v>229.36110000000335</v>
      </c>
      <c r="AK71" s="367">
        <f t="shared" si="26"/>
        <v>229.36110000000335</v>
      </c>
    </row>
    <row r="72" spans="1:37">
      <c r="B72" s="364" t="s">
        <v>1000</v>
      </c>
      <c r="C72" s="364">
        <f>DATE(86,1,1)</f>
        <v>31413</v>
      </c>
      <c r="D72" s="365">
        <v>18113.8</v>
      </c>
      <c r="E72" s="365"/>
      <c r="F72" s="365">
        <f>543.28+362.28+H72</f>
        <v>12498.384000000002</v>
      </c>
      <c r="H72" s="358">
        <f t="shared" si="8"/>
        <v>11592.824000000002</v>
      </c>
      <c r="I72" s="366">
        <v>2</v>
      </c>
      <c r="J72" s="385">
        <v>3</v>
      </c>
      <c r="L72" s="367">
        <f t="shared" ref="L72:S72" si="27">SUM($D72*$I72)/100</f>
        <v>362.27600000000001</v>
      </c>
      <c r="M72" s="367">
        <f t="shared" si="27"/>
        <v>362.27600000000001</v>
      </c>
      <c r="N72" s="367">
        <f t="shared" si="27"/>
        <v>362.27600000000001</v>
      </c>
      <c r="O72" s="367">
        <f t="shared" si="27"/>
        <v>362.27600000000001</v>
      </c>
      <c r="P72" s="367">
        <f t="shared" si="27"/>
        <v>362.27600000000001</v>
      </c>
      <c r="Q72" s="367">
        <f t="shared" si="27"/>
        <v>362.27600000000001</v>
      </c>
      <c r="R72" s="367">
        <f t="shared" si="27"/>
        <v>362.27600000000001</v>
      </c>
      <c r="S72" s="367">
        <f t="shared" si="27"/>
        <v>362.27600000000001</v>
      </c>
      <c r="T72" s="367">
        <f>SUM($D72*$J72)/100</f>
        <v>543.41399999999999</v>
      </c>
      <c r="U72" s="367">
        <f>SUM($D72*$J72)/100</f>
        <v>543.41399999999999</v>
      </c>
      <c r="V72" s="367">
        <f>SUM($D72*$J72)/100</f>
        <v>543.41399999999999</v>
      </c>
      <c r="W72" s="367">
        <f>SUM($D72*$J72)/100</f>
        <v>543.41399999999999</v>
      </c>
      <c r="X72" s="367">
        <v>543.41</v>
      </c>
      <c r="Y72" s="367">
        <v>543.41</v>
      </c>
      <c r="Z72" s="367">
        <f t="shared" ref="Z72:AK73" si="28">SUM($D72*$J72)/100</f>
        <v>543.41399999999999</v>
      </c>
      <c r="AA72" s="367">
        <f t="shared" si="28"/>
        <v>543.41399999999999</v>
      </c>
      <c r="AB72" s="367">
        <f t="shared" si="28"/>
        <v>543.41399999999999</v>
      </c>
      <c r="AC72" s="367">
        <f t="shared" si="28"/>
        <v>543.41399999999999</v>
      </c>
      <c r="AD72" s="367">
        <f t="shared" si="28"/>
        <v>543.41399999999999</v>
      </c>
      <c r="AE72" s="367">
        <f t="shared" si="28"/>
        <v>543.41399999999999</v>
      </c>
      <c r="AF72" s="367">
        <f t="shared" si="28"/>
        <v>543.41399999999999</v>
      </c>
      <c r="AG72" s="367">
        <f t="shared" si="28"/>
        <v>543.41399999999999</v>
      </c>
      <c r="AH72" s="367">
        <f t="shared" si="28"/>
        <v>543.41399999999999</v>
      </c>
      <c r="AI72" s="367">
        <f t="shared" si="28"/>
        <v>543.41399999999999</v>
      </c>
      <c r="AJ72" s="367">
        <f t="shared" si="28"/>
        <v>543.41399999999999</v>
      </c>
      <c r="AK72" s="367">
        <f t="shared" si="28"/>
        <v>543.41399999999999</v>
      </c>
    </row>
    <row r="73" spans="1:37">
      <c r="B73" s="358" t="s">
        <v>999</v>
      </c>
      <c r="C73" s="364">
        <f>DATE(89,1,1)</f>
        <v>32509</v>
      </c>
      <c r="D73" s="365">
        <v>211598.82</v>
      </c>
      <c r="E73" s="365"/>
      <c r="F73" s="365">
        <f>H73</f>
        <v>132919.64280000006</v>
      </c>
      <c r="H73" s="358">
        <f t="shared" si="8"/>
        <v>132919.64280000006</v>
      </c>
      <c r="I73" s="366">
        <v>2</v>
      </c>
      <c r="J73" s="385">
        <v>3</v>
      </c>
      <c r="L73" s="367">
        <v>2115.9899999999998</v>
      </c>
      <c r="M73" s="367">
        <v>4232</v>
      </c>
      <c r="N73" s="367">
        <f t="shared" ref="N73:S73" si="29">SUM($D73*$I73)/100</f>
        <v>4231.9764000000005</v>
      </c>
      <c r="O73" s="367">
        <f t="shared" si="29"/>
        <v>4231.9764000000005</v>
      </c>
      <c r="P73" s="367">
        <f t="shared" si="29"/>
        <v>4231.9764000000005</v>
      </c>
      <c r="Q73" s="367">
        <f t="shared" si="29"/>
        <v>4231.9764000000005</v>
      </c>
      <c r="R73" s="367">
        <f t="shared" si="29"/>
        <v>4231.9764000000005</v>
      </c>
      <c r="S73" s="367">
        <f t="shared" si="29"/>
        <v>4231.9764000000005</v>
      </c>
      <c r="T73" s="367">
        <f>SUM($D73*$J73)/100-387.63</f>
        <v>5960.3345999999992</v>
      </c>
      <c r="U73" s="367">
        <f>SUM($D73*$J73)/100</f>
        <v>6347.9645999999993</v>
      </c>
      <c r="V73" s="367">
        <f>SUM($D73*$J73)/100</f>
        <v>6347.9645999999993</v>
      </c>
      <c r="W73" s="367">
        <f>SUM($D73*$J73)/100</f>
        <v>6347.9645999999993</v>
      </c>
      <c r="X73" s="367">
        <v>6347.96</v>
      </c>
      <c r="Y73" s="367">
        <v>6347.96</v>
      </c>
      <c r="Z73" s="367">
        <f t="shared" si="28"/>
        <v>6347.9645999999993</v>
      </c>
      <c r="AA73" s="367">
        <f t="shared" si="28"/>
        <v>6347.9645999999993</v>
      </c>
      <c r="AB73" s="367">
        <f t="shared" si="28"/>
        <v>6347.9645999999993</v>
      </c>
      <c r="AC73" s="367">
        <f t="shared" si="28"/>
        <v>6347.9645999999993</v>
      </c>
      <c r="AD73" s="367">
        <f t="shared" si="28"/>
        <v>6347.9645999999993</v>
      </c>
      <c r="AE73" s="367">
        <f t="shared" si="28"/>
        <v>6347.9645999999993</v>
      </c>
      <c r="AF73" s="367">
        <f t="shared" si="28"/>
        <v>6347.9645999999993</v>
      </c>
      <c r="AG73" s="367">
        <f t="shared" si="28"/>
        <v>6347.9645999999993</v>
      </c>
      <c r="AH73" s="367">
        <f t="shared" si="28"/>
        <v>6347.9645999999993</v>
      </c>
      <c r="AI73" s="367">
        <f t="shared" si="28"/>
        <v>6347.9645999999993</v>
      </c>
      <c r="AJ73" s="367">
        <f t="shared" si="28"/>
        <v>6347.9645999999993</v>
      </c>
      <c r="AK73" s="367">
        <f t="shared" si="28"/>
        <v>6347.9645999999993</v>
      </c>
    </row>
    <row r="74" spans="1:37">
      <c r="B74" s="358" t="s">
        <v>998</v>
      </c>
      <c r="C74" s="368">
        <f>DATE(9,1,1)</f>
        <v>3289</v>
      </c>
      <c r="D74" s="369">
        <v>3553.44</v>
      </c>
      <c r="E74" s="369"/>
      <c r="F74" s="369">
        <f>H74</f>
        <v>426.4128</v>
      </c>
      <c r="G74" s="370"/>
      <c r="H74" s="358">
        <f t="shared" si="8"/>
        <v>426.4128</v>
      </c>
      <c r="I74" s="371">
        <v>3</v>
      </c>
      <c r="J74" s="383">
        <v>3</v>
      </c>
      <c r="K74" s="370"/>
      <c r="L74" s="372"/>
      <c r="M74" s="372"/>
      <c r="N74" s="372"/>
      <c r="O74" s="372"/>
      <c r="P74" s="372"/>
      <c r="Q74" s="372"/>
      <c r="R74" s="372"/>
      <c r="S74" s="372"/>
      <c r="T74" s="372"/>
      <c r="U74" s="372"/>
      <c r="V74" s="372"/>
      <c r="W74" s="372"/>
      <c r="X74" s="372"/>
      <c r="Y74" s="372"/>
      <c r="Z74" s="372"/>
      <c r="AA74" s="372"/>
      <c r="AB74" s="372"/>
      <c r="AC74" s="372"/>
      <c r="AD74" s="372"/>
      <c r="AE74" s="372"/>
      <c r="AF74" s="372">
        <f t="shared" ref="AF74:AK74" si="30">SUM($D74*$J74)/100</f>
        <v>106.6032</v>
      </c>
      <c r="AG74" s="372">
        <f t="shared" si="30"/>
        <v>106.6032</v>
      </c>
      <c r="AH74" s="372">
        <f t="shared" si="30"/>
        <v>106.6032</v>
      </c>
      <c r="AI74" s="372">
        <f t="shared" si="30"/>
        <v>106.6032</v>
      </c>
      <c r="AJ74" s="372">
        <f t="shared" si="30"/>
        <v>106.6032</v>
      </c>
      <c r="AK74" s="372">
        <f t="shared" si="30"/>
        <v>106.6032</v>
      </c>
    </row>
    <row r="75" spans="1:37">
      <c r="D75" s="365">
        <f>SUM(D29:D74)</f>
        <v>1907257.8500000003</v>
      </c>
      <c r="E75" s="365">
        <f>F75+AJ75</f>
        <v>1030903.2094999999</v>
      </c>
      <c r="F75" s="365">
        <f>SUM(F29:F74)</f>
        <v>979221.08559999987</v>
      </c>
      <c r="H75" s="358">
        <f t="shared" si="8"/>
        <v>784967.70279999997</v>
      </c>
      <c r="I75" s="366"/>
      <c r="J75" s="366"/>
      <c r="L75" s="365">
        <f t="shared" ref="L75:AK75" si="31">SUM(L29:L73)</f>
        <v>12601.047200000001</v>
      </c>
      <c r="M75" s="365">
        <f t="shared" si="31"/>
        <v>15258.783200000002</v>
      </c>
      <c r="N75" s="365">
        <f t="shared" si="31"/>
        <v>15756.955000000002</v>
      </c>
      <c r="O75" s="365">
        <f t="shared" si="31"/>
        <v>15936.401200000004</v>
      </c>
      <c r="P75" s="365">
        <f t="shared" si="31"/>
        <v>16179.822000000004</v>
      </c>
      <c r="Q75" s="365">
        <f t="shared" si="31"/>
        <v>16261.780600000002</v>
      </c>
      <c r="R75" s="365">
        <f t="shared" si="31"/>
        <v>16523.000600000003</v>
      </c>
      <c r="S75" s="365">
        <f t="shared" si="31"/>
        <v>17561.179800000002</v>
      </c>
      <c r="T75" s="365">
        <f t="shared" si="31"/>
        <v>26208.4509</v>
      </c>
      <c r="U75" s="365">
        <f t="shared" si="31"/>
        <v>29015.937300000001</v>
      </c>
      <c r="V75" s="365">
        <f t="shared" si="31"/>
        <v>29473.670700000002</v>
      </c>
      <c r="W75" s="365">
        <f t="shared" si="31"/>
        <v>30439.367400000003</v>
      </c>
      <c r="X75" s="365">
        <f t="shared" si="31"/>
        <v>31911.79</v>
      </c>
      <c r="Y75" s="365">
        <f t="shared" si="31"/>
        <v>35913.910000000003</v>
      </c>
      <c r="Z75" s="365">
        <f t="shared" si="31"/>
        <v>36763.998900000006</v>
      </c>
      <c r="AA75" s="365">
        <f t="shared" si="31"/>
        <v>40855.153200000001</v>
      </c>
      <c r="AB75" s="365">
        <f t="shared" si="31"/>
        <v>51390.0524</v>
      </c>
      <c r="AC75" s="365">
        <f t="shared" si="31"/>
        <v>45629.62230000001</v>
      </c>
      <c r="AD75" s="365">
        <f t="shared" si="31"/>
        <v>47707.04310000001</v>
      </c>
      <c r="AE75" s="365">
        <f t="shared" si="31"/>
        <v>50363.762100000007</v>
      </c>
      <c r="AF75" s="365">
        <f t="shared" si="31"/>
        <v>50363.762100000007</v>
      </c>
      <c r="AG75" s="365">
        <f t="shared" si="31"/>
        <v>50273.25910000001</v>
      </c>
      <c r="AH75" s="365">
        <f t="shared" si="31"/>
        <v>51070.531600000009</v>
      </c>
      <c r="AI75" s="365">
        <f t="shared" si="31"/>
        <v>51508.422100000011</v>
      </c>
      <c r="AJ75" s="365">
        <f t="shared" si="31"/>
        <v>51682.123900000013</v>
      </c>
      <c r="AK75" s="365">
        <f t="shared" si="31"/>
        <v>51682.123900000013</v>
      </c>
    </row>
    <row r="76" spans="1:37">
      <c r="E76" s="365"/>
      <c r="F76" s="365"/>
      <c r="I76" s="366"/>
      <c r="J76" s="366"/>
      <c r="L76" s="367"/>
      <c r="M76" s="367"/>
      <c r="N76" s="367"/>
      <c r="O76" s="367"/>
      <c r="P76" s="367"/>
    </row>
    <row r="77" spans="1:37">
      <c r="A77" s="358" t="s">
        <v>997</v>
      </c>
      <c r="D77" s="365"/>
      <c r="E77" s="365"/>
      <c r="F77" s="365"/>
      <c r="I77" s="366"/>
      <c r="J77" s="366"/>
      <c r="L77" s="367"/>
      <c r="M77" s="367"/>
      <c r="N77" s="367"/>
      <c r="O77" s="367"/>
      <c r="P77" s="367"/>
    </row>
    <row r="78" spans="1:37">
      <c r="B78" s="358" t="s">
        <v>996</v>
      </c>
      <c r="C78" s="370"/>
      <c r="D78" s="369">
        <v>111088.13</v>
      </c>
      <c r="E78" s="369"/>
      <c r="F78" s="369">
        <v>111088.13</v>
      </c>
      <c r="G78" s="370"/>
      <c r="H78" s="370">
        <f>SUM(K78:AG78)</f>
        <v>0</v>
      </c>
      <c r="I78" s="371">
        <v>5</v>
      </c>
      <c r="J78" s="371"/>
      <c r="K78" s="370"/>
      <c r="L78" s="372"/>
      <c r="M78" s="372"/>
      <c r="N78" s="372"/>
      <c r="O78" s="372"/>
      <c r="P78" s="372"/>
      <c r="Q78" s="370"/>
      <c r="R78" s="370"/>
      <c r="S78" s="370"/>
      <c r="T78" s="370"/>
      <c r="U78" s="370"/>
      <c r="V78" s="370"/>
      <c r="W78" s="370"/>
      <c r="X78" s="370"/>
      <c r="Y78" s="370"/>
      <c r="Z78" s="370"/>
      <c r="AA78" s="370"/>
      <c r="AB78" s="370"/>
      <c r="AC78" s="370"/>
      <c r="AD78" s="370"/>
      <c r="AE78" s="370"/>
      <c r="AF78" s="370"/>
      <c r="AG78" s="370">
        <v>0</v>
      </c>
      <c r="AH78" s="370">
        <v>0</v>
      </c>
      <c r="AI78" s="370">
        <v>0</v>
      </c>
      <c r="AJ78" s="370">
        <v>0</v>
      </c>
      <c r="AK78" s="370">
        <v>0</v>
      </c>
    </row>
    <row r="79" spans="1:37">
      <c r="D79" s="365">
        <f>SUM(D78)</f>
        <v>111088.13</v>
      </c>
      <c r="E79" s="365">
        <f>F79+AJ79</f>
        <v>111088.13</v>
      </c>
      <c r="F79" s="384">
        <v>111088.13</v>
      </c>
      <c r="H79" s="358">
        <f>SUM(H78)</f>
        <v>0</v>
      </c>
      <c r="I79" s="366"/>
      <c r="J79" s="366"/>
      <c r="L79" s="367"/>
      <c r="M79" s="367"/>
      <c r="N79" s="367"/>
      <c r="O79" s="367"/>
      <c r="P79" s="367"/>
      <c r="AG79" s="358">
        <f>SUM(AG78)</f>
        <v>0</v>
      </c>
      <c r="AH79" s="358">
        <f>SUM(AH78)</f>
        <v>0</v>
      </c>
      <c r="AI79" s="358">
        <f>SUM(AI78)</f>
        <v>0</v>
      </c>
      <c r="AJ79" s="358">
        <f>SUM(AJ78)</f>
        <v>0</v>
      </c>
      <c r="AK79" s="358">
        <f>SUM(AK78)</f>
        <v>0</v>
      </c>
    </row>
    <row r="80" spans="1:37">
      <c r="D80" s="365"/>
      <c r="E80" s="365"/>
      <c r="F80" s="365"/>
      <c r="I80" s="366"/>
      <c r="J80" s="366"/>
      <c r="L80" s="367"/>
      <c r="M80" s="367"/>
      <c r="N80" s="367"/>
      <c r="O80" s="367"/>
      <c r="P80" s="367"/>
    </row>
    <row r="81" spans="1:37">
      <c r="A81" s="358" t="s">
        <v>717</v>
      </c>
      <c r="D81" s="365"/>
      <c r="E81" s="365"/>
      <c r="F81" s="365"/>
      <c r="I81" s="366"/>
      <c r="J81" s="366"/>
      <c r="L81" s="367"/>
      <c r="M81" s="367"/>
      <c r="N81" s="367"/>
      <c r="O81" s="367"/>
      <c r="P81" s="367"/>
    </row>
    <row r="82" spans="1:37">
      <c r="B82" s="358" t="s">
        <v>995</v>
      </c>
      <c r="D82" s="365">
        <v>24894.17</v>
      </c>
      <c r="E82" s="365"/>
      <c r="F82" s="358">
        <f>G82+H82</f>
        <v>24894.17</v>
      </c>
      <c r="G82" s="365">
        <v>24894.17</v>
      </c>
      <c r="H82" s="358">
        <f t="shared" ref="H82:H87" si="32">SUM(K82:AI82)</f>
        <v>0</v>
      </c>
      <c r="I82" s="366"/>
      <c r="J82" s="366"/>
      <c r="L82" s="367">
        <f>SUM($D82*$I82)/100</f>
        <v>0</v>
      </c>
      <c r="M82" s="367">
        <f>SUM($D82*$I82)/100</f>
        <v>0</v>
      </c>
      <c r="N82" s="367">
        <f>SUM($D82*$I82)/100</f>
        <v>0</v>
      </c>
      <c r="O82" s="367"/>
      <c r="P82" s="367"/>
      <c r="AG82" s="358">
        <v>0</v>
      </c>
      <c r="AH82" s="358">
        <v>0</v>
      </c>
      <c r="AI82" s="358">
        <v>0</v>
      </c>
      <c r="AJ82" s="358">
        <v>0</v>
      </c>
      <c r="AK82" s="358">
        <v>0</v>
      </c>
    </row>
    <row r="83" spans="1:37">
      <c r="B83" s="358" t="s">
        <v>994</v>
      </c>
      <c r="C83" s="364">
        <f>DATE(88,4,1)</f>
        <v>32234</v>
      </c>
      <c r="D83" s="365">
        <v>1050</v>
      </c>
      <c r="E83" s="365"/>
      <c r="F83" s="358">
        <f>G83+H83</f>
        <v>1050</v>
      </c>
      <c r="G83" s="365"/>
      <c r="H83" s="358">
        <f t="shared" si="32"/>
        <v>1050</v>
      </c>
      <c r="I83" s="366">
        <v>10</v>
      </c>
      <c r="J83" s="366"/>
      <c r="K83" s="358">
        <v>52.5</v>
      </c>
      <c r="L83" s="367">
        <f>SUM($D83*$I83)/100</f>
        <v>105</v>
      </c>
      <c r="M83" s="367">
        <f>SUM($D83*$I83)/100</f>
        <v>105</v>
      </c>
      <c r="N83" s="367">
        <v>105</v>
      </c>
      <c r="O83" s="367">
        <f t="shared" ref="O83:T84" si="33">SUM($D83*$I83)/100</f>
        <v>105</v>
      </c>
      <c r="P83" s="367">
        <f t="shared" si="33"/>
        <v>105</v>
      </c>
      <c r="Q83" s="367">
        <f t="shared" si="33"/>
        <v>105</v>
      </c>
      <c r="R83" s="367">
        <f t="shared" si="33"/>
        <v>105</v>
      </c>
      <c r="S83" s="367">
        <f t="shared" si="33"/>
        <v>105</v>
      </c>
      <c r="T83" s="367">
        <f t="shared" si="33"/>
        <v>105</v>
      </c>
      <c r="U83" s="367">
        <f>1050-997.5</f>
        <v>52.5</v>
      </c>
      <c r="V83" s="367">
        <v>0</v>
      </c>
      <c r="W83" s="367">
        <v>0</v>
      </c>
      <c r="X83" s="367">
        <v>0</v>
      </c>
      <c r="Y83" s="367">
        <v>0</v>
      </c>
      <c r="Z83" s="367">
        <v>0</v>
      </c>
      <c r="AA83" s="367">
        <v>0</v>
      </c>
      <c r="AB83" s="367">
        <v>0</v>
      </c>
      <c r="AC83" s="367">
        <v>0</v>
      </c>
      <c r="AD83" s="367">
        <v>0</v>
      </c>
      <c r="AE83" s="367">
        <v>0</v>
      </c>
      <c r="AF83" s="367">
        <v>0</v>
      </c>
      <c r="AG83" s="367">
        <v>0</v>
      </c>
      <c r="AH83" s="367">
        <v>0</v>
      </c>
      <c r="AI83" s="367">
        <v>0</v>
      </c>
      <c r="AJ83" s="367">
        <v>0</v>
      </c>
      <c r="AK83" s="367">
        <v>0</v>
      </c>
    </row>
    <row r="84" spans="1:37">
      <c r="B84" s="358" t="s">
        <v>993</v>
      </c>
      <c r="C84" s="364">
        <f>DATE(88,8,1)</f>
        <v>32356</v>
      </c>
      <c r="D84" s="365">
        <v>1246.74</v>
      </c>
      <c r="E84" s="365"/>
      <c r="F84" s="358">
        <f>G84+H84</f>
        <v>1246.742</v>
      </c>
      <c r="G84" s="365"/>
      <c r="H84" s="358">
        <f t="shared" si="32"/>
        <v>1246.742</v>
      </c>
      <c r="I84" s="366">
        <v>10</v>
      </c>
      <c r="J84" s="366"/>
      <c r="K84" s="358">
        <v>62.34</v>
      </c>
      <c r="L84" s="367">
        <f>SUM($D84*$I84)/100</f>
        <v>124.67399999999999</v>
      </c>
      <c r="M84" s="367">
        <f>SUM($D84*$I84)/100</f>
        <v>124.67399999999999</v>
      </c>
      <c r="N84" s="367">
        <v>124.67</v>
      </c>
      <c r="O84" s="367">
        <f t="shared" si="33"/>
        <v>124.67399999999999</v>
      </c>
      <c r="P84" s="367">
        <f t="shared" si="33"/>
        <v>124.67399999999999</v>
      </c>
      <c r="Q84" s="367">
        <f t="shared" si="33"/>
        <v>124.67399999999999</v>
      </c>
      <c r="R84" s="367">
        <f t="shared" si="33"/>
        <v>124.67399999999999</v>
      </c>
      <c r="S84" s="367">
        <f t="shared" si="33"/>
        <v>124.67399999999999</v>
      </c>
      <c r="T84" s="367">
        <f t="shared" si="33"/>
        <v>124.67399999999999</v>
      </c>
      <c r="U84" s="367">
        <f>1246.74-1184.4</f>
        <v>62.339999999999918</v>
      </c>
      <c r="V84" s="358">
        <v>0</v>
      </c>
      <c r="W84" s="358">
        <v>0</v>
      </c>
      <c r="X84" s="358">
        <v>0</v>
      </c>
      <c r="Y84" s="358">
        <v>0</v>
      </c>
      <c r="Z84" s="358">
        <v>0</v>
      </c>
      <c r="AA84" s="358">
        <v>0</v>
      </c>
      <c r="AB84" s="358">
        <v>0</v>
      </c>
      <c r="AC84" s="358">
        <v>0</v>
      </c>
      <c r="AD84" s="358">
        <v>0</v>
      </c>
      <c r="AE84" s="358">
        <v>0</v>
      </c>
      <c r="AF84" s="358">
        <v>0</v>
      </c>
      <c r="AG84" s="358">
        <v>0</v>
      </c>
      <c r="AH84" s="358">
        <v>0</v>
      </c>
      <c r="AI84" s="358">
        <v>0</v>
      </c>
      <c r="AJ84" s="358">
        <v>0</v>
      </c>
      <c r="AK84" s="358">
        <v>0</v>
      </c>
    </row>
    <row r="85" spans="1:37">
      <c r="B85" s="358" t="s">
        <v>881</v>
      </c>
      <c r="C85" s="364">
        <f>DATE(97,5,1)</f>
        <v>35551</v>
      </c>
      <c r="D85" s="358">
        <v>1183.2</v>
      </c>
      <c r="F85" s="358">
        <f>G85+H85</f>
        <v>1183.1999999999998</v>
      </c>
      <c r="H85" s="358">
        <f t="shared" si="32"/>
        <v>1183.1999999999998</v>
      </c>
      <c r="I85" s="366">
        <v>10</v>
      </c>
      <c r="J85" s="366"/>
      <c r="L85" s="367"/>
      <c r="M85" s="367"/>
      <c r="N85" s="367"/>
      <c r="O85" s="367"/>
      <c r="P85" s="367"/>
      <c r="Q85" s="367"/>
      <c r="R85" s="367"/>
      <c r="S85" s="367"/>
      <c r="T85" s="367">
        <f>SUM($D85*$I85)/100</f>
        <v>118.32</v>
      </c>
      <c r="U85" s="367">
        <f>SUM($D85*$I85)/100</f>
        <v>118.32</v>
      </c>
      <c r="V85" s="367">
        <f>SUM($D85*$I85)/100</f>
        <v>118.32</v>
      </c>
      <c r="W85" s="367">
        <f>SUM($D85*$I85)/100</f>
        <v>118.32</v>
      </c>
      <c r="X85" s="367">
        <v>118.32</v>
      </c>
      <c r="Y85" s="367">
        <v>118.32</v>
      </c>
      <c r="Z85" s="367">
        <f>SUM($D85*$I85)/100</f>
        <v>118.32</v>
      </c>
      <c r="AA85" s="367">
        <v>118.33</v>
      </c>
      <c r="AB85" s="367">
        <f>SUM($D85*$I85)/100</f>
        <v>118.32</v>
      </c>
      <c r="AC85" s="367">
        <v>118.31</v>
      </c>
      <c r="AD85" s="367">
        <v>0</v>
      </c>
      <c r="AE85" s="367">
        <v>0</v>
      </c>
      <c r="AF85" s="367">
        <v>0</v>
      </c>
      <c r="AG85" s="367">
        <v>0</v>
      </c>
      <c r="AH85" s="367">
        <v>0</v>
      </c>
      <c r="AI85" s="367">
        <v>0</v>
      </c>
      <c r="AJ85" s="367">
        <v>0</v>
      </c>
      <c r="AK85" s="367">
        <v>0</v>
      </c>
    </row>
    <row r="86" spans="1:37">
      <c r="B86" s="358" t="s">
        <v>873</v>
      </c>
      <c r="C86" s="368">
        <f>DATE(2002,1,1)</f>
        <v>37257</v>
      </c>
      <c r="D86" s="369">
        <v>3963.53</v>
      </c>
      <c r="E86" s="369"/>
      <c r="F86" s="369">
        <f>H86</f>
        <v>3963.5340000000006</v>
      </c>
      <c r="G86" s="370"/>
      <c r="H86" s="358">
        <f t="shared" si="32"/>
        <v>3963.5340000000006</v>
      </c>
      <c r="I86" s="371">
        <v>10</v>
      </c>
      <c r="J86" s="371"/>
      <c r="K86" s="370"/>
      <c r="L86" s="372"/>
      <c r="M86" s="372"/>
      <c r="N86" s="372"/>
      <c r="O86" s="372"/>
      <c r="P86" s="372"/>
      <c r="Q86" s="372"/>
      <c r="R86" s="372"/>
      <c r="S86" s="372"/>
      <c r="T86" s="372"/>
      <c r="U86" s="372">
        <v>0</v>
      </c>
      <c r="V86" s="372">
        <v>0</v>
      </c>
      <c r="W86" s="372">
        <v>0</v>
      </c>
      <c r="X86" s="372">
        <v>0</v>
      </c>
      <c r="Y86" s="372">
        <v>396.35</v>
      </c>
      <c r="Z86" s="372">
        <f>SUM($D86*$I86)/100</f>
        <v>396.35300000000001</v>
      </c>
      <c r="AA86" s="372">
        <f>SUM($D86*$I86)/100</f>
        <v>396.35300000000001</v>
      </c>
      <c r="AB86" s="372">
        <f>SUM($D86*$I86)/100</f>
        <v>396.35300000000001</v>
      </c>
      <c r="AC86" s="372">
        <f>SUM($D86*$I86)/100</f>
        <v>396.35300000000001</v>
      </c>
      <c r="AD86" s="372">
        <f>SUM($D86*$I86)/100</f>
        <v>396.35300000000001</v>
      </c>
      <c r="AE86" s="372">
        <f>SUM($D86*$I86)/100</f>
        <v>396.35300000000001</v>
      </c>
      <c r="AF86" s="372">
        <f>SUM($D86*$I86)/100</f>
        <v>396.35300000000001</v>
      </c>
      <c r="AG86" s="372">
        <f>SUM($D86*$I86)/100</f>
        <v>396.35300000000001</v>
      </c>
      <c r="AH86" s="372">
        <v>396.36</v>
      </c>
      <c r="AI86" s="372">
        <v>0</v>
      </c>
      <c r="AJ86" s="372">
        <v>0</v>
      </c>
      <c r="AK86" s="372">
        <v>0</v>
      </c>
    </row>
    <row r="87" spans="1:37">
      <c r="D87" s="358">
        <f>SUM(D82:D86)</f>
        <v>32337.64</v>
      </c>
      <c r="E87" s="365">
        <f>F87+AJ87</f>
        <v>32337.645999999997</v>
      </c>
      <c r="F87" s="358">
        <f>SUM(F82:F86)</f>
        <v>32337.645999999997</v>
      </c>
      <c r="G87" s="365"/>
      <c r="H87" s="358">
        <f t="shared" si="32"/>
        <v>7443.4759999999997</v>
      </c>
      <c r="I87" s="366"/>
      <c r="J87" s="366"/>
      <c r="K87" s="358">
        <f t="shared" ref="K87:AK87" si="34">SUM(K82:K86)</f>
        <v>114.84</v>
      </c>
      <c r="L87" s="358">
        <f t="shared" si="34"/>
        <v>229.67399999999998</v>
      </c>
      <c r="M87" s="358">
        <f t="shared" si="34"/>
        <v>229.67399999999998</v>
      </c>
      <c r="N87" s="358">
        <f t="shared" si="34"/>
        <v>229.67000000000002</v>
      </c>
      <c r="O87" s="358">
        <f t="shared" si="34"/>
        <v>229.67399999999998</v>
      </c>
      <c r="P87" s="358">
        <f t="shared" si="34"/>
        <v>229.67399999999998</v>
      </c>
      <c r="Q87" s="358">
        <f t="shared" si="34"/>
        <v>229.67399999999998</v>
      </c>
      <c r="R87" s="358">
        <f t="shared" si="34"/>
        <v>229.67399999999998</v>
      </c>
      <c r="S87" s="358">
        <f t="shared" si="34"/>
        <v>229.67399999999998</v>
      </c>
      <c r="T87" s="358">
        <f t="shared" si="34"/>
        <v>347.99399999999997</v>
      </c>
      <c r="U87" s="358">
        <f t="shared" si="34"/>
        <v>233.15999999999991</v>
      </c>
      <c r="V87" s="358">
        <f t="shared" si="34"/>
        <v>118.32</v>
      </c>
      <c r="W87" s="358">
        <f t="shared" si="34"/>
        <v>118.32</v>
      </c>
      <c r="X87" s="358">
        <f t="shared" si="34"/>
        <v>118.32</v>
      </c>
      <c r="Y87" s="358">
        <f t="shared" si="34"/>
        <v>514.67000000000007</v>
      </c>
      <c r="Z87" s="358">
        <f t="shared" si="34"/>
        <v>514.673</v>
      </c>
      <c r="AA87" s="358">
        <f t="shared" si="34"/>
        <v>514.68299999999999</v>
      </c>
      <c r="AB87" s="358">
        <f t="shared" si="34"/>
        <v>514.673</v>
      </c>
      <c r="AC87" s="358">
        <f t="shared" si="34"/>
        <v>514.66300000000001</v>
      </c>
      <c r="AD87" s="358">
        <f t="shared" si="34"/>
        <v>396.35300000000001</v>
      </c>
      <c r="AE87" s="358">
        <f t="shared" si="34"/>
        <v>396.35300000000001</v>
      </c>
      <c r="AF87" s="358">
        <f t="shared" si="34"/>
        <v>396.35300000000001</v>
      </c>
      <c r="AG87" s="358">
        <f t="shared" si="34"/>
        <v>396.35300000000001</v>
      </c>
      <c r="AH87" s="358">
        <f t="shared" si="34"/>
        <v>396.36</v>
      </c>
      <c r="AI87" s="358">
        <f t="shared" si="34"/>
        <v>0</v>
      </c>
      <c r="AJ87" s="358">
        <f t="shared" si="34"/>
        <v>0</v>
      </c>
      <c r="AK87" s="358">
        <f t="shared" si="34"/>
        <v>0</v>
      </c>
    </row>
    <row r="88" spans="1:37">
      <c r="A88" s="395" t="s">
        <v>992</v>
      </c>
      <c r="D88" s="365"/>
      <c r="E88" s="365"/>
      <c r="G88" s="365"/>
      <c r="I88" s="366"/>
      <c r="J88" s="366"/>
      <c r="K88" s="367">
        <f t="shared" ref="K88:N89" si="35">SUM($D88*$I88)/100</f>
        <v>0</v>
      </c>
      <c r="L88" s="367">
        <f t="shared" si="35"/>
        <v>0</v>
      </c>
      <c r="M88" s="367">
        <f t="shared" si="35"/>
        <v>0</v>
      </c>
      <c r="N88" s="367">
        <f t="shared" si="35"/>
        <v>0</v>
      </c>
      <c r="O88" s="367"/>
      <c r="P88" s="367"/>
    </row>
    <row r="89" spans="1:37">
      <c r="A89" s="358" t="s">
        <v>991</v>
      </c>
      <c r="D89" s="365"/>
      <c r="E89" s="365"/>
      <c r="G89" s="365"/>
      <c r="I89" s="366"/>
      <c r="J89" s="366"/>
      <c r="K89" s="367">
        <f t="shared" si="35"/>
        <v>0</v>
      </c>
      <c r="L89" s="367">
        <f t="shared" si="35"/>
        <v>0</v>
      </c>
      <c r="M89" s="367">
        <f t="shared" si="35"/>
        <v>0</v>
      </c>
      <c r="N89" s="367">
        <f t="shared" si="35"/>
        <v>0</v>
      </c>
      <c r="O89" s="367"/>
      <c r="P89" s="367"/>
    </row>
    <row r="90" spans="1:37">
      <c r="B90" s="358" t="s">
        <v>990</v>
      </c>
      <c r="C90" s="396">
        <v>1957</v>
      </c>
      <c r="D90" s="365">
        <v>38878</v>
      </c>
      <c r="E90" s="365"/>
      <c r="F90" s="358">
        <f>G90+H90</f>
        <v>38878</v>
      </c>
      <c r="G90" s="365">
        <v>38878</v>
      </c>
      <c r="H90" s="358">
        <v>0</v>
      </c>
      <c r="I90" s="366">
        <v>3</v>
      </c>
      <c r="J90" s="366"/>
      <c r="K90" s="367">
        <v>1582</v>
      </c>
      <c r="L90" s="367">
        <v>1582</v>
      </c>
      <c r="M90" s="367">
        <v>1582</v>
      </c>
      <c r="N90" s="367">
        <f>SUM($D90*$I90)/100</f>
        <v>1166.3399999999999</v>
      </c>
      <c r="O90" s="367">
        <f>SUM($D90*$I90)/100</f>
        <v>1166.3399999999999</v>
      </c>
      <c r="P90" s="367">
        <f>SUM($D90*$I90)/100</f>
        <v>1166.3399999999999</v>
      </c>
      <c r="Q90" s="367">
        <v>528.75</v>
      </c>
      <c r="R90" s="367">
        <v>0</v>
      </c>
      <c r="S90" s="367">
        <v>0</v>
      </c>
      <c r="T90" s="367">
        <v>0</v>
      </c>
      <c r="U90" s="367">
        <v>0</v>
      </c>
      <c r="V90" s="367">
        <v>0</v>
      </c>
      <c r="W90" s="367">
        <v>0</v>
      </c>
      <c r="X90" s="367">
        <v>0</v>
      </c>
      <c r="Y90" s="367">
        <v>0</v>
      </c>
      <c r="Z90" s="367">
        <v>0</v>
      </c>
      <c r="AA90" s="367">
        <v>0</v>
      </c>
      <c r="AB90" s="367">
        <v>0</v>
      </c>
      <c r="AC90" s="367">
        <v>0</v>
      </c>
      <c r="AD90" s="367">
        <v>0</v>
      </c>
      <c r="AE90" s="367">
        <v>0</v>
      </c>
      <c r="AF90" s="367">
        <v>0</v>
      </c>
      <c r="AG90" s="367">
        <v>0</v>
      </c>
      <c r="AH90" s="367">
        <v>0</v>
      </c>
      <c r="AI90" s="367">
        <v>0</v>
      </c>
      <c r="AJ90" s="367">
        <v>0</v>
      </c>
      <c r="AK90" s="367">
        <v>0</v>
      </c>
    </row>
    <row r="91" spans="1:37">
      <c r="B91" s="358" t="s">
        <v>989</v>
      </c>
      <c r="C91" s="364">
        <f>DATE(93,12,1)</f>
        <v>34304</v>
      </c>
      <c r="D91" s="358">
        <v>2143.5</v>
      </c>
      <c r="F91" s="358">
        <f>G91+H91</f>
        <v>2143.4999999999995</v>
      </c>
      <c r="H91" s="358">
        <f t="shared" ref="H91:H99" si="36">SUM(K91:AI91)</f>
        <v>2143.4999999999995</v>
      </c>
      <c r="I91" s="366">
        <v>5</v>
      </c>
      <c r="O91" s="367">
        <v>0</v>
      </c>
      <c r="P91" s="367">
        <v>107.19</v>
      </c>
      <c r="Q91" s="367">
        <f t="shared" ref="Q91:W91" si="37">SUM($D91*$I91)/100</f>
        <v>107.175</v>
      </c>
      <c r="R91" s="367">
        <f t="shared" si="37"/>
        <v>107.175</v>
      </c>
      <c r="S91" s="367">
        <f t="shared" si="37"/>
        <v>107.175</v>
      </c>
      <c r="T91" s="367">
        <f t="shared" si="37"/>
        <v>107.175</v>
      </c>
      <c r="U91" s="367">
        <f t="shared" si="37"/>
        <v>107.175</v>
      </c>
      <c r="V91" s="367">
        <f t="shared" si="37"/>
        <v>107.175</v>
      </c>
      <c r="W91" s="367">
        <f t="shared" si="37"/>
        <v>107.175</v>
      </c>
      <c r="X91" s="367">
        <v>107.18</v>
      </c>
      <c r="Y91" s="367">
        <v>107.18</v>
      </c>
      <c r="Z91" s="367">
        <f t="shared" ref="Z91:AH91" si="38">SUM($D91*$I91)/100</f>
        <v>107.175</v>
      </c>
      <c r="AA91" s="367">
        <f t="shared" si="38"/>
        <v>107.175</v>
      </c>
      <c r="AB91" s="367">
        <f t="shared" si="38"/>
        <v>107.175</v>
      </c>
      <c r="AC91" s="367">
        <f t="shared" si="38"/>
        <v>107.175</v>
      </c>
      <c r="AD91" s="367">
        <f t="shared" si="38"/>
        <v>107.175</v>
      </c>
      <c r="AE91" s="367">
        <f t="shared" si="38"/>
        <v>107.175</v>
      </c>
      <c r="AF91" s="367">
        <f t="shared" si="38"/>
        <v>107.175</v>
      </c>
      <c r="AG91" s="367">
        <f t="shared" si="38"/>
        <v>107.175</v>
      </c>
      <c r="AH91" s="367">
        <f t="shared" si="38"/>
        <v>107.175</v>
      </c>
      <c r="AI91" s="367">
        <v>107.15</v>
      </c>
      <c r="AJ91" s="367">
        <v>0</v>
      </c>
      <c r="AK91" s="367">
        <v>0</v>
      </c>
    </row>
    <row r="92" spans="1:37">
      <c r="B92" s="358" t="s">
        <v>988</v>
      </c>
      <c r="C92" s="364">
        <f>DATE(96,12,1)</f>
        <v>35400</v>
      </c>
      <c r="D92" s="358">
        <v>1162.24</v>
      </c>
      <c r="F92" s="358">
        <f>G92+H92</f>
        <v>1162.2379999999998</v>
      </c>
      <c r="H92" s="358">
        <f t="shared" si="36"/>
        <v>1162.2379999999998</v>
      </c>
      <c r="I92" s="366">
        <v>10</v>
      </c>
      <c r="J92" s="366"/>
      <c r="K92" s="358">
        <v>0</v>
      </c>
      <c r="L92" s="358">
        <v>0</v>
      </c>
      <c r="M92" s="358">
        <v>0</v>
      </c>
      <c r="N92" s="367">
        <v>0</v>
      </c>
      <c r="O92" s="367">
        <v>0</v>
      </c>
      <c r="P92" s="367">
        <v>0</v>
      </c>
      <c r="Q92" s="367">
        <v>0</v>
      </c>
      <c r="R92" s="367">
        <v>0</v>
      </c>
      <c r="S92" s="367">
        <v>0.01</v>
      </c>
      <c r="T92" s="367">
        <f t="shared" ref="T92:W93" si="39">SUM($D92*$I92)/100</f>
        <v>116.22399999999999</v>
      </c>
      <c r="U92" s="367">
        <f t="shared" si="39"/>
        <v>116.22399999999999</v>
      </c>
      <c r="V92" s="367">
        <f t="shared" si="39"/>
        <v>116.22399999999999</v>
      </c>
      <c r="W92" s="367">
        <f t="shared" si="39"/>
        <v>116.22399999999999</v>
      </c>
      <c r="X92" s="367">
        <v>116.22</v>
      </c>
      <c r="Y92" s="367">
        <v>116.22</v>
      </c>
      <c r="Z92" s="367">
        <f t="shared" ref="Z92:AB95" si="40">SUM($D92*$I92)/100</f>
        <v>116.22399999999999</v>
      </c>
      <c r="AA92" s="367">
        <f t="shared" si="40"/>
        <v>116.22399999999999</v>
      </c>
      <c r="AB92" s="367">
        <f t="shared" si="40"/>
        <v>116.22399999999999</v>
      </c>
      <c r="AC92" s="367">
        <v>116.22</v>
      </c>
      <c r="AD92" s="367">
        <v>0</v>
      </c>
      <c r="AE92" s="367">
        <v>0</v>
      </c>
      <c r="AF92" s="367">
        <v>0</v>
      </c>
      <c r="AG92" s="367">
        <v>0</v>
      </c>
      <c r="AH92" s="367">
        <v>0</v>
      </c>
      <c r="AI92" s="367">
        <v>0</v>
      </c>
      <c r="AJ92" s="367">
        <v>0</v>
      </c>
      <c r="AK92" s="367">
        <v>0</v>
      </c>
    </row>
    <row r="93" spans="1:37">
      <c r="B93" s="358" t="s">
        <v>987</v>
      </c>
      <c r="C93" s="364">
        <f>DATE(97,3,1)</f>
        <v>35490</v>
      </c>
      <c r="D93" s="358">
        <v>1406.58</v>
      </c>
      <c r="F93" s="358">
        <f>G93+H93</f>
        <v>1406.5759999999998</v>
      </c>
      <c r="H93" s="358">
        <f t="shared" si="36"/>
        <v>1406.5759999999998</v>
      </c>
      <c r="I93" s="366">
        <v>10</v>
      </c>
      <c r="J93" s="366"/>
      <c r="K93" s="358">
        <v>0</v>
      </c>
      <c r="L93" s="358">
        <v>0</v>
      </c>
      <c r="M93" s="358">
        <v>0</v>
      </c>
      <c r="N93" s="367">
        <v>0</v>
      </c>
      <c r="O93" s="367">
        <v>0</v>
      </c>
      <c r="P93" s="367">
        <v>0</v>
      </c>
      <c r="Q93" s="367">
        <v>0</v>
      </c>
      <c r="R93" s="367">
        <v>0</v>
      </c>
      <c r="S93" s="367">
        <v>0</v>
      </c>
      <c r="T93" s="367">
        <f t="shared" si="39"/>
        <v>140.65799999999999</v>
      </c>
      <c r="U93" s="367">
        <f t="shared" si="39"/>
        <v>140.65799999999999</v>
      </c>
      <c r="V93" s="367">
        <f t="shared" si="39"/>
        <v>140.65799999999999</v>
      </c>
      <c r="W93" s="367">
        <f t="shared" si="39"/>
        <v>140.65799999999999</v>
      </c>
      <c r="X93" s="367">
        <v>140.66</v>
      </c>
      <c r="Y93" s="367">
        <v>140.66</v>
      </c>
      <c r="Z93" s="367">
        <f t="shared" si="40"/>
        <v>140.65799999999999</v>
      </c>
      <c r="AA93" s="367">
        <f t="shared" si="40"/>
        <v>140.65799999999999</v>
      </c>
      <c r="AB93" s="367">
        <f t="shared" si="40"/>
        <v>140.65799999999999</v>
      </c>
      <c r="AC93" s="367">
        <v>140.65</v>
      </c>
      <c r="AD93" s="367">
        <v>0</v>
      </c>
      <c r="AE93" s="367">
        <v>0</v>
      </c>
      <c r="AF93" s="367">
        <v>0</v>
      </c>
      <c r="AG93" s="367">
        <v>0</v>
      </c>
      <c r="AH93" s="367">
        <v>0</v>
      </c>
      <c r="AI93" s="367">
        <v>0</v>
      </c>
      <c r="AJ93" s="367">
        <v>0</v>
      </c>
      <c r="AK93" s="367">
        <v>0</v>
      </c>
    </row>
    <row r="94" spans="1:37">
      <c r="B94" s="358" t="s">
        <v>986</v>
      </c>
      <c r="C94" s="364">
        <f>DATE(2001,7,1)</f>
        <v>37073</v>
      </c>
      <c r="D94" s="365">
        <v>9864.15</v>
      </c>
      <c r="E94" s="365"/>
      <c r="F94" s="365">
        <f t="shared" ref="F94:F99" si="41">H94</f>
        <v>9864.1449999999986</v>
      </c>
      <c r="H94" s="358">
        <f t="shared" si="36"/>
        <v>9864.1449999999986</v>
      </c>
      <c r="I94" s="366">
        <v>10</v>
      </c>
      <c r="J94" s="366"/>
      <c r="L94" s="367"/>
      <c r="M94" s="367"/>
      <c r="N94" s="367"/>
      <c r="O94" s="367"/>
      <c r="P94" s="367"/>
      <c r="Q94" s="367"/>
      <c r="R94" s="367"/>
      <c r="S94" s="367"/>
      <c r="T94" s="367"/>
      <c r="U94" s="367">
        <v>0</v>
      </c>
      <c r="V94" s="367">
        <v>0</v>
      </c>
      <c r="W94" s="367">
        <v>0</v>
      </c>
      <c r="X94" s="367">
        <v>986.42</v>
      </c>
      <c r="Y94" s="367">
        <v>986.42</v>
      </c>
      <c r="Z94" s="367">
        <f t="shared" si="40"/>
        <v>986.41499999999996</v>
      </c>
      <c r="AA94" s="367">
        <f t="shared" si="40"/>
        <v>986.41499999999996</v>
      </c>
      <c r="AB94" s="367">
        <f t="shared" si="40"/>
        <v>986.41499999999996</v>
      </c>
      <c r="AC94" s="367">
        <f t="shared" ref="AC94:AF95" si="42">SUM($D94*$I94)/100</f>
        <v>986.41499999999996</v>
      </c>
      <c r="AD94" s="367">
        <f t="shared" si="42"/>
        <v>986.41499999999996</v>
      </c>
      <c r="AE94" s="367">
        <f t="shared" si="42"/>
        <v>986.41499999999996</v>
      </c>
      <c r="AF94" s="367">
        <f t="shared" si="42"/>
        <v>986.41499999999996</v>
      </c>
      <c r="AG94" s="367">
        <v>986.4</v>
      </c>
      <c r="AH94" s="367">
        <v>0</v>
      </c>
      <c r="AI94" s="367">
        <v>0</v>
      </c>
      <c r="AJ94" s="367">
        <v>0</v>
      </c>
      <c r="AK94" s="367">
        <v>0</v>
      </c>
    </row>
    <row r="95" spans="1:37">
      <c r="B95" s="358" t="s">
        <v>985</v>
      </c>
      <c r="C95" s="364">
        <f>DATE(2002,6,1)</f>
        <v>37408</v>
      </c>
      <c r="D95" s="365">
        <v>5325</v>
      </c>
      <c r="E95" s="365"/>
      <c r="F95" s="365">
        <f t="shared" si="41"/>
        <v>2928.75</v>
      </c>
      <c r="H95" s="358">
        <f t="shared" si="36"/>
        <v>2928.75</v>
      </c>
      <c r="I95" s="366">
        <v>5</v>
      </c>
      <c r="J95" s="366"/>
      <c r="L95" s="367"/>
      <c r="M95" s="367"/>
      <c r="N95" s="367"/>
      <c r="O95" s="367"/>
      <c r="P95" s="367"/>
      <c r="Q95" s="367"/>
      <c r="R95" s="367"/>
      <c r="S95" s="367"/>
      <c r="T95" s="367"/>
      <c r="U95" s="367">
        <v>0</v>
      </c>
      <c r="V95" s="367">
        <v>0</v>
      </c>
      <c r="W95" s="367">
        <v>0</v>
      </c>
      <c r="X95" s="367">
        <v>0</v>
      </c>
      <c r="Y95" s="367">
        <v>266.25</v>
      </c>
      <c r="Z95" s="367">
        <f t="shared" si="40"/>
        <v>266.25</v>
      </c>
      <c r="AA95" s="367">
        <f t="shared" si="40"/>
        <v>266.25</v>
      </c>
      <c r="AB95" s="367">
        <f t="shared" si="40"/>
        <v>266.25</v>
      </c>
      <c r="AC95" s="367">
        <f t="shared" si="42"/>
        <v>266.25</v>
      </c>
      <c r="AD95" s="367">
        <f t="shared" si="42"/>
        <v>266.25</v>
      </c>
      <c r="AE95" s="367">
        <f t="shared" si="42"/>
        <v>266.25</v>
      </c>
      <c r="AF95" s="367">
        <f t="shared" si="42"/>
        <v>266.25</v>
      </c>
      <c r="AG95" s="367">
        <f>SUM($D95*$I95)/100</f>
        <v>266.25</v>
      </c>
      <c r="AH95" s="367">
        <f>SUM($D95*$I95)/100</f>
        <v>266.25</v>
      </c>
      <c r="AI95" s="367">
        <f>SUM($D95*$I95)/100</f>
        <v>266.25</v>
      </c>
      <c r="AJ95" s="367">
        <f>SUM($D95*$I95)/100</f>
        <v>266.25</v>
      </c>
      <c r="AK95" s="367">
        <f>SUM($D95*$I95)/100</f>
        <v>266.25</v>
      </c>
    </row>
    <row r="96" spans="1:37">
      <c r="B96" s="358" t="s">
        <v>984</v>
      </c>
      <c r="C96" s="364">
        <f>DATE(2004,3,1)</f>
        <v>38047</v>
      </c>
      <c r="D96" s="365">
        <v>5428.22</v>
      </c>
      <c r="E96" s="365"/>
      <c r="F96" s="365">
        <f t="shared" si="41"/>
        <v>2171.288</v>
      </c>
      <c r="H96" s="358">
        <f t="shared" si="36"/>
        <v>2171.288</v>
      </c>
      <c r="I96" s="366">
        <v>2</v>
      </c>
      <c r="J96" s="385">
        <v>5</v>
      </c>
      <c r="L96" s="367">
        <v>0</v>
      </c>
      <c r="M96" s="367">
        <v>0</v>
      </c>
      <c r="N96" s="367">
        <v>0</v>
      </c>
      <c r="O96" s="367">
        <v>0</v>
      </c>
      <c r="P96" s="367">
        <v>0</v>
      </c>
      <c r="Q96" s="367">
        <v>0</v>
      </c>
      <c r="R96" s="367">
        <v>0</v>
      </c>
      <c r="S96" s="367">
        <v>0</v>
      </c>
      <c r="T96" s="367">
        <v>0</v>
      </c>
      <c r="U96" s="367">
        <v>0</v>
      </c>
      <c r="V96" s="367">
        <v>0</v>
      </c>
      <c r="W96" s="367">
        <v>0</v>
      </c>
      <c r="X96" s="367">
        <v>0</v>
      </c>
      <c r="Y96" s="367">
        <v>0</v>
      </c>
      <c r="Z96" s="367">
        <v>0</v>
      </c>
      <c r="AA96" s="367">
        <v>0</v>
      </c>
      <c r="AB96" s="367">
        <f t="shared" ref="AB96:AK96" si="43">SUM($D96*$J96)/100</f>
        <v>271.411</v>
      </c>
      <c r="AC96" s="367">
        <f t="shared" si="43"/>
        <v>271.411</v>
      </c>
      <c r="AD96" s="367">
        <f t="shared" si="43"/>
        <v>271.411</v>
      </c>
      <c r="AE96" s="367">
        <f t="shared" si="43"/>
        <v>271.411</v>
      </c>
      <c r="AF96" s="367">
        <f t="shared" si="43"/>
        <v>271.411</v>
      </c>
      <c r="AG96" s="367">
        <f t="shared" si="43"/>
        <v>271.411</v>
      </c>
      <c r="AH96" s="367">
        <f t="shared" si="43"/>
        <v>271.411</v>
      </c>
      <c r="AI96" s="367">
        <f t="shared" si="43"/>
        <v>271.411</v>
      </c>
      <c r="AJ96" s="367">
        <f t="shared" si="43"/>
        <v>271.411</v>
      </c>
      <c r="AK96" s="367">
        <f t="shared" si="43"/>
        <v>271.411</v>
      </c>
    </row>
    <row r="97" spans="1:37">
      <c r="B97" s="358" t="s">
        <v>983</v>
      </c>
      <c r="C97" s="364">
        <f>DATE(2007,3,31)</f>
        <v>39172</v>
      </c>
      <c r="D97" s="365">
        <v>10783.68</v>
      </c>
      <c r="E97" s="365"/>
      <c r="F97" s="365">
        <f t="shared" si="41"/>
        <v>6470.2080000000005</v>
      </c>
      <c r="H97" s="358">
        <f t="shared" si="36"/>
        <v>6470.2080000000005</v>
      </c>
      <c r="I97" s="366">
        <v>10</v>
      </c>
      <c r="J97" s="366"/>
      <c r="L97" s="367"/>
      <c r="M97" s="367"/>
      <c r="N97" s="367"/>
      <c r="O97" s="367"/>
      <c r="P97" s="367"/>
      <c r="Q97" s="367"/>
      <c r="R97" s="367"/>
      <c r="S97" s="367"/>
      <c r="T97" s="367"/>
      <c r="U97" s="367">
        <v>0</v>
      </c>
      <c r="V97" s="367">
        <v>0</v>
      </c>
      <c r="W97" s="367">
        <v>0</v>
      </c>
      <c r="X97" s="367">
        <v>0</v>
      </c>
      <c r="Y97" s="367">
        <v>0</v>
      </c>
      <c r="Z97" s="367">
        <v>0</v>
      </c>
      <c r="AA97" s="367">
        <v>0</v>
      </c>
      <c r="AB97" s="367">
        <v>0</v>
      </c>
      <c r="AC97" s="367">
        <v>0</v>
      </c>
      <c r="AD97" s="367">
        <f t="shared" ref="AD97:AK97" si="44">SUM($D97*$I97)/100</f>
        <v>1078.3679999999999</v>
      </c>
      <c r="AE97" s="367">
        <f t="shared" si="44"/>
        <v>1078.3679999999999</v>
      </c>
      <c r="AF97" s="367">
        <f t="shared" si="44"/>
        <v>1078.3679999999999</v>
      </c>
      <c r="AG97" s="367">
        <f t="shared" si="44"/>
        <v>1078.3679999999999</v>
      </c>
      <c r="AH97" s="367">
        <f t="shared" si="44"/>
        <v>1078.3679999999999</v>
      </c>
      <c r="AI97" s="367">
        <f t="shared" si="44"/>
        <v>1078.3679999999999</v>
      </c>
      <c r="AJ97" s="367">
        <f t="shared" si="44"/>
        <v>1078.3679999999999</v>
      </c>
      <c r="AK97" s="367">
        <f t="shared" si="44"/>
        <v>1078.3679999999999</v>
      </c>
    </row>
    <row r="98" spans="1:37">
      <c r="B98" s="377" t="s">
        <v>982</v>
      </c>
      <c r="C98" s="386">
        <f>DATE(2010,1,1)</f>
        <v>40179</v>
      </c>
      <c r="D98" s="387">
        <v>24250</v>
      </c>
      <c r="E98" s="387"/>
      <c r="F98" s="387">
        <f t="shared" si="41"/>
        <v>18187.5</v>
      </c>
      <c r="G98" s="377"/>
      <c r="H98" s="358">
        <f t="shared" si="36"/>
        <v>18187.5</v>
      </c>
      <c r="I98" s="388">
        <v>25</v>
      </c>
      <c r="J98" s="388">
        <v>25</v>
      </c>
      <c r="K98" s="377"/>
      <c r="L98" s="389"/>
      <c r="M98" s="389"/>
      <c r="N98" s="389"/>
      <c r="O98" s="389"/>
      <c r="P98" s="389"/>
      <c r="Q98" s="389"/>
      <c r="R98" s="389"/>
      <c r="S98" s="389"/>
      <c r="T98" s="389"/>
      <c r="U98" s="389"/>
      <c r="V98" s="389"/>
      <c r="W98" s="389"/>
      <c r="X98" s="389"/>
      <c r="Y98" s="389"/>
      <c r="Z98" s="389"/>
      <c r="AA98" s="389"/>
      <c r="AB98" s="389"/>
      <c r="AC98" s="389"/>
      <c r="AD98" s="389">
        <v>0</v>
      </c>
      <c r="AE98" s="389">
        <v>0</v>
      </c>
      <c r="AF98" s="389">
        <v>0</v>
      </c>
      <c r="AG98" s="389">
        <f>SUM($D98*$I98)/100</f>
        <v>6062.5</v>
      </c>
      <c r="AH98" s="389">
        <f>SUM($D98*$I98)/100</f>
        <v>6062.5</v>
      </c>
      <c r="AI98" s="389">
        <f>SUM($D98*$I98)/100</f>
        <v>6062.5</v>
      </c>
      <c r="AJ98" s="389">
        <f>SUM($D98*$I98)/100</f>
        <v>6062.5</v>
      </c>
      <c r="AK98" s="389">
        <f>SUM($D98*$I98)/100</f>
        <v>6062.5</v>
      </c>
    </row>
    <row r="99" spans="1:37" s="377" customFormat="1">
      <c r="B99" s="377" t="s">
        <v>981</v>
      </c>
      <c r="C99" s="386">
        <f>DATE(2012,1,1)</f>
        <v>40909</v>
      </c>
      <c r="D99" s="387">
        <v>15662.47</v>
      </c>
      <c r="E99" s="387"/>
      <c r="F99" s="387">
        <f t="shared" si="41"/>
        <v>783.12349999999992</v>
      </c>
      <c r="H99" s="358">
        <f t="shared" si="36"/>
        <v>783.12349999999992</v>
      </c>
      <c r="I99" s="388">
        <v>5</v>
      </c>
      <c r="J99" s="388"/>
      <c r="L99" s="389"/>
      <c r="M99" s="389"/>
      <c r="N99" s="389"/>
      <c r="O99" s="389"/>
      <c r="P99" s="389"/>
      <c r="Q99" s="389"/>
      <c r="R99" s="389"/>
      <c r="S99" s="389"/>
      <c r="T99" s="389"/>
      <c r="U99" s="389"/>
      <c r="V99" s="389"/>
      <c r="W99" s="389"/>
      <c r="X99" s="389"/>
      <c r="Y99" s="389"/>
      <c r="Z99" s="389"/>
      <c r="AA99" s="389"/>
      <c r="AB99" s="389"/>
      <c r="AC99" s="389"/>
      <c r="AD99" s="389">
        <v>0</v>
      </c>
      <c r="AE99" s="389">
        <v>0</v>
      </c>
      <c r="AF99" s="389">
        <v>0</v>
      </c>
      <c r="AG99" s="389"/>
      <c r="AH99" s="389"/>
      <c r="AI99" s="389">
        <f>SUM($D99*$I99)/100</f>
        <v>783.12349999999992</v>
      </c>
      <c r="AJ99" s="389">
        <f>SUM($D99*$I99)/100</f>
        <v>783.12349999999992</v>
      </c>
      <c r="AK99" s="389">
        <f>SUM($D99*$I99)/100</f>
        <v>783.12349999999992</v>
      </c>
    </row>
    <row r="100" spans="1:37" s="377" customFormat="1">
      <c r="A100" s="377" t="s">
        <v>980</v>
      </c>
      <c r="H100" s="358"/>
    </row>
    <row r="101" spans="1:37" s="377" customFormat="1">
      <c r="B101" s="377" t="s">
        <v>979</v>
      </c>
      <c r="C101" s="386">
        <f t="shared" ref="C101:C118" si="45">DATE(2012,1,1)</f>
        <v>40909</v>
      </c>
      <c r="D101" s="387">
        <v>7356.39</v>
      </c>
      <c r="E101" s="387"/>
      <c r="F101" s="387">
        <f t="shared" ref="F101:F119" si="46">H101</f>
        <v>1471.2780000000002</v>
      </c>
      <c r="H101" s="358">
        <f t="shared" ref="H101:H120" si="47">SUM(K101:AI101)</f>
        <v>1471.2780000000002</v>
      </c>
      <c r="I101" s="388">
        <v>20</v>
      </c>
      <c r="J101" s="388"/>
      <c r="L101" s="389"/>
      <c r="M101" s="389"/>
      <c r="N101" s="389"/>
      <c r="O101" s="389"/>
      <c r="P101" s="389"/>
      <c r="Q101" s="389"/>
      <c r="R101" s="389"/>
      <c r="S101" s="389"/>
      <c r="T101" s="389"/>
      <c r="U101" s="389"/>
      <c r="V101" s="389"/>
      <c r="W101" s="389"/>
      <c r="X101" s="389"/>
      <c r="Y101" s="389"/>
      <c r="Z101" s="389"/>
      <c r="AA101" s="389"/>
      <c r="AB101" s="389"/>
      <c r="AC101" s="389"/>
      <c r="AD101" s="389">
        <v>0</v>
      </c>
      <c r="AE101" s="389">
        <v>0</v>
      </c>
      <c r="AF101" s="389">
        <v>0</v>
      </c>
      <c r="AG101" s="389"/>
      <c r="AH101" s="389"/>
      <c r="AI101" s="389">
        <f t="shared" ref="AI101:AK118" si="48">SUM($D101*$I101)/100</f>
        <v>1471.2780000000002</v>
      </c>
      <c r="AJ101" s="389">
        <f t="shared" si="48"/>
        <v>1471.2780000000002</v>
      </c>
      <c r="AK101" s="389">
        <f t="shared" si="48"/>
        <v>1471.2780000000002</v>
      </c>
    </row>
    <row r="102" spans="1:37" s="377" customFormat="1">
      <c r="B102" s="377" t="s">
        <v>978</v>
      </c>
      <c r="C102" s="386">
        <f t="shared" si="45"/>
        <v>40909</v>
      </c>
      <c r="D102" s="387">
        <v>97605</v>
      </c>
      <c r="E102" s="387"/>
      <c r="F102" s="387">
        <f t="shared" si="46"/>
        <v>4880.25</v>
      </c>
      <c r="H102" s="358">
        <f t="shared" si="47"/>
        <v>4880.25</v>
      </c>
      <c r="I102" s="388">
        <v>5</v>
      </c>
      <c r="J102" s="388"/>
      <c r="L102" s="389"/>
      <c r="M102" s="389"/>
      <c r="N102" s="389"/>
      <c r="O102" s="389"/>
      <c r="P102" s="389"/>
      <c r="Q102" s="389"/>
      <c r="R102" s="389"/>
      <c r="S102" s="389"/>
      <c r="T102" s="389"/>
      <c r="U102" s="389"/>
      <c r="V102" s="389"/>
      <c r="W102" s="389"/>
      <c r="X102" s="389"/>
      <c r="Y102" s="389"/>
      <c r="Z102" s="389"/>
      <c r="AA102" s="389"/>
      <c r="AB102" s="389"/>
      <c r="AC102" s="389"/>
      <c r="AD102" s="389">
        <v>0</v>
      </c>
      <c r="AE102" s="389">
        <v>0</v>
      </c>
      <c r="AF102" s="389">
        <v>0</v>
      </c>
      <c r="AG102" s="389"/>
      <c r="AH102" s="389"/>
      <c r="AI102" s="389">
        <f t="shared" si="48"/>
        <v>4880.25</v>
      </c>
      <c r="AJ102" s="389">
        <f t="shared" si="48"/>
        <v>4880.25</v>
      </c>
      <c r="AK102" s="389">
        <f t="shared" si="48"/>
        <v>4880.25</v>
      </c>
    </row>
    <row r="103" spans="1:37" s="377" customFormat="1">
      <c r="B103" s="377" t="s">
        <v>977</v>
      </c>
      <c r="C103" s="386">
        <f t="shared" si="45"/>
        <v>40909</v>
      </c>
      <c r="D103" s="387">
        <v>18175</v>
      </c>
      <c r="E103" s="387"/>
      <c r="F103" s="387">
        <f t="shared" si="46"/>
        <v>908.75</v>
      </c>
      <c r="H103" s="358">
        <f t="shared" si="47"/>
        <v>908.75</v>
      </c>
      <c r="I103" s="388">
        <v>5</v>
      </c>
      <c r="J103" s="388"/>
      <c r="L103" s="389"/>
      <c r="M103" s="389"/>
      <c r="N103" s="389"/>
      <c r="O103" s="389"/>
      <c r="P103" s="389"/>
      <c r="Q103" s="389"/>
      <c r="R103" s="389"/>
      <c r="S103" s="389"/>
      <c r="T103" s="389"/>
      <c r="U103" s="389"/>
      <c r="V103" s="389"/>
      <c r="W103" s="389"/>
      <c r="X103" s="389"/>
      <c r="Y103" s="389"/>
      <c r="Z103" s="389"/>
      <c r="AA103" s="389"/>
      <c r="AB103" s="389"/>
      <c r="AC103" s="389"/>
      <c r="AD103" s="389">
        <v>0</v>
      </c>
      <c r="AE103" s="389">
        <v>0</v>
      </c>
      <c r="AF103" s="389">
        <v>0</v>
      </c>
      <c r="AG103" s="389"/>
      <c r="AH103" s="389"/>
      <c r="AI103" s="389">
        <f t="shared" si="48"/>
        <v>908.75</v>
      </c>
      <c r="AJ103" s="389">
        <f t="shared" si="48"/>
        <v>908.75</v>
      </c>
      <c r="AK103" s="389">
        <f t="shared" si="48"/>
        <v>908.75</v>
      </c>
    </row>
    <row r="104" spans="1:37" s="377" customFormat="1">
      <c r="B104" s="377" t="s">
        <v>976</v>
      </c>
      <c r="C104" s="386">
        <f t="shared" si="45"/>
        <v>40909</v>
      </c>
      <c r="D104" s="387">
        <v>49500</v>
      </c>
      <c r="E104" s="387"/>
      <c r="F104" s="387">
        <f t="shared" si="46"/>
        <v>2475</v>
      </c>
      <c r="H104" s="358">
        <f t="shared" si="47"/>
        <v>2475</v>
      </c>
      <c r="I104" s="388">
        <v>5</v>
      </c>
      <c r="J104" s="388"/>
      <c r="L104" s="389"/>
      <c r="M104" s="389"/>
      <c r="N104" s="389"/>
      <c r="O104" s="389"/>
      <c r="P104" s="389"/>
      <c r="Q104" s="389"/>
      <c r="R104" s="389"/>
      <c r="S104" s="389"/>
      <c r="T104" s="389"/>
      <c r="U104" s="389"/>
      <c r="V104" s="389"/>
      <c r="W104" s="389"/>
      <c r="X104" s="389"/>
      <c r="Y104" s="389"/>
      <c r="Z104" s="389"/>
      <c r="AA104" s="389"/>
      <c r="AB104" s="389"/>
      <c r="AC104" s="389"/>
      <c r="AD104" s="389">
        <v>0</v>
      </c>
      <c r="AE104" s="389">
        <v>0</v>
      </c>
      <c r="AF104" s="389">
        <v>0</v>
      </c>
      <c r="AG104" s="389"/>
      <c r="AH104" s="389"/>
      <c r="AI104" s="389">
        <f t="shared" si="48"/>
        <v>2475</v>
      </c>
      <c r="AJ104" s="389">
        <f t="shared" si="48"/>
        <v>2475</v>
      </c>
      <c r="AK104" s="389">
        <f t="shared" si="48"/>
        <v>2475</v>
      </c>
    </row>
    <row r="105" spans="1:37" s="377" customFormat="1">
      <c r="B105" s="377" t="s">
        <v>975</v>
      </c>
      <c r="C105" s="386">
        <f t="shared" si="45"/>
        <v>40909</v>
      </c>
      <c r="D105" s="387">
        <v>93183</v>
      </c>
      <c r="E105" s="387"/>
      <c r="F105" s="387">
        <f t="shared" si="46"/>
        <v>6215.3060999999998</v>
      </c>
      <c r="H105" s="358">
        <f t="shared" si="47"/>
        <v>6215.3060999999998</v>
      </c>
      <c r="I105" s="388">
        <v>6.67</v>
      </c>
      <c r="J105" s="388"/>
      <c r="L105" s="389"/>
      <c r="M105" s="389"/>
      <c r="N105" s="389"/>
      <c r="O105" s="389"/>
      <c r="P105" s="389"/>
      <c r="Q105" s="389"/>
      <c r="R105" s="389"/>
      <c r="S105" s="389"/>
      <c r="T105" s="389"/>
      <c r="U105" s="389"/>
      <c r="V105" s="389"/>
      <c r="W105" s="389"/>
      <c r="X105" s="389"/>
      <c r="Y105" s="389"/>
      <c r="Z105" s="389"/>
      <c r="AA105" s="389"/>
      <c r="AB105" s="389"/>
      <c r="AC105" s="389"/>
      <c r="AD105" s="389">
        <v>0</v>
      </c>
      <c r="AE105" s="389">
        <v>0</v>
      </c>
      <c r="AF105" s="389">
        <v>0</v>
      </c>
      <c r="AG105" s="389"/>
      <c r="AH105" s="389"/>
      <c r="AI105" s="389">
        <f t="shared" si="48"/>
        <v>6215.3060999999998</v>
      </c>
      <c r="AJ105" s="389">
        <f t="shared" si="48"/>
        <v>6215.3060999999998</v>
      </c>
      <c r="AK105" s="389">
        <f t="shared" si="48"/>
        <v>6215.3060999999998</v>
      </c>
    </row>
    <row r="106" spans="1:37" s="377" customFormat="1">
      <c r="B106" s="377" t="s">
        <v>974</v>
      </c>
      <c r="C106" s="386">
        <f t="shared" si="45"/>
        <v>40909</v>
      </c>
      <c r="D106" s="387">
        <v>28600</v>
      </c>
      <c r="E106" s="387"/>
      <c r="F106" s="387">
        <f t="shared" si="46"/>
        <v>1144</v>
      </c>
      <c r="H106" s="358">
        <f t="shared" si="47"/>
        <v>1144</v>
      </c>
      <c r="I106" s="388">
        <v>4</v>
      </c>
      <c r="J106" s="388"/>
      <c r="L106" s="389"/>
      <c r="M106" s="389"/>
      <c r="N106" s="389"/>
      <c r="O106" s="389"/>
      <c r="P106" s="389"/>
      <c r="Q106" s="389"/>
      <c r="R106" s="389"/>
      <c r="S106" s="389"/>
      <c r="T106" s="389"/>
      <c r="U106" s="389"/>
      <c r="V106" s="389"/>
      <c r="W106" s="389"/>
      <c r="X106" s="389"/>
      <c r="Y106" s="389"/>
      <c r="Z106" s="389"/>
      <c r="AA106" s="389"/>
      <c r="AB106" s="389"/>
      <c r="AC106" s="389"/>
      <c r="AD106" s="389">
        <v>0</v>
      </c>
      <c r="AE106" s="389">
        <v>0</v>
      </c>
      <c r="AF106" s="389">
        <v>0</v>
      </c>
      <c r="AG106" s="389"/>
      <c r="AH106" s="389"/>
      <c r="AI106" s="389">
        <f t="shared" si="48"/>
        <v>1144</v>
      </c>
      <c r="AJ106" s="389">
        <f t="shared" si="48"/>
        <v>1144</v>
      </c>
      <c r="AK106" s="389">
        <f t="shared" si="48"/>
        <v>1144</v>
      </c>
    </row>
    <row r="107" spans="1:37" s="377" customFormat="1">
      <c r="B107" s="377" t="s">
        <v>973</v>
      </c>
      <c r="C107" s="386">
        <f t="shared" si="45"/>
        <v>40909</v>
      </c>
      <c r="D107" s="387">
        <v>16500</v>
      </c>
      <c r="E107" s="387"/>
      <c r="F107" s="387">
        <f t="shared" si="46"/>
        <v>825</v>
      </c>
      <c r="H107" s="358">
        <f t="shared" si="47"/>
        <v>825</v>
      </c>
      <c r="I107" s="388">
        <v>5</v>
      </c>
      <c r="J107" s="388"/>
      <c r="L107" s="389"/>
      <c r="M107" s="389"/>
      <c r="N107" s="389"/>
      <c r="O107" s="389"/>
      <c r="P107" s="389"/>
      <c r="Q107" s="389"/>
      <c r="R107" s="389"/>
      <c r="S107" s="389"/>
      <c r="T107" s="389"/>
      <c r="U107" s="389"/>
      <c r="V107" s="389"/>
      <c r="W107" s="389"/>
      <c r="X107" s="389"/>
      <c r="Y107" s="389"/>
      <c r="Z107" s="389"/>
      <c r="AA107" s="389"/>
      <c r="AB107" s="389"/>
      <c r="AC107" s="389"/>
      <c r="AD107" s="389">
        <v>0</v>
      </c>
      <c r="AE107" s="389">
        <v>0</v>
      </c>
      <c r="AF107" s="389">
        <v>0</v>
      </c>
      <c r="AG107" s="389"/>
      <c r="AH107" s="389"/>
      <c r="AI107" s="389">
        <f t="shared" si="48"/>
        <v>825</v>
      </c>
      <c r="AJ107" s="389">
        <f t="shared" si="48"/>
        <v>825</v>
      </c>
      <c r="AK107" s="389">
        <f t="shared" si="48"/>
        <v>825</v>
      </c>
    </row>
    <row r="108" spans="1:37" s="377" customFormat="1">
      <c r="B108" s="377" t="s">
        <v>972</v>
      </c>
      <c r="C108" s="386">
        <f t="shared" si="45"/>
        <v>40909</v>
      </c>
      <c r="D108" s="387">
        <v>22000</v>
      </c>
      <c r="E108" s="387"/>
      <c r="F108" s="387">
        <f t="shared" si="46"/>
        <v>1100</v>
      </c>
      <c r="H108" s="358">
        <f t="shared" si="47"/>
        <v>1100</v>
      </c>
      <c r="I108" s="388">
        <v>5</v>
      </c>
      <c r="J108" s="388"/>
      <c r="L108" s="389"/>
      <c r="M108" s="389"/>
      <c r="N108" s="389"/>
      <c r="O108" s="389"/>
      <c r="P108" s="389"/>
      <c r="Q108" s="389"/>
      <c r="R108" s="389"/>
      <c r="S108" s="389"/>
      <c r="T108" s="389"/>
      <c r="U108" s="389"/>
      <c r="V108" s="389"/>
      <c r="W108" s="389"/>
      <c r="X108" s="389"/>
      <c r="Y108" s="389"/>
      <c r="Z108" s="389"/>
      <c r="AA108" s="389"/>
      <c r="AB108" s="389"/>
      <c r="AC108" s="389"/>
      <c r="AD108" s="389">
        <v>0</v>
      </c>
      <c r="AE108" s="389">
        <v>0</v>
      </c>
      <c r="AF108" s="389">
        <v>0</v>
      </c>
      <c r="AG108" s="389"/>
      <c r="AH108" s="389"/>
      <c r="AI108" s="389">
        <f t="shared" si="48"/>
        <v>1100</v>
      </c>
      <c r="AJ108" s="389">
        <f t="shared" si="48"/>
        <v>1100</v>
      </c>
      <c r="AK108" s="389">
        <f t="shared" si="48"/>
        <v>1100</v>
      </c>
    </row>
    <row r="109" spans="1:37" s="377" customFormat="1">
      <c r="B109" s="377" t="s">
        <v>971</v>
      </c>
      <c r="C109" s="386">
        <f t="shared" si="45"/>
        <v>40909</v>
      </c>
      <c r="D109" s="387">
        <v>217338</v>
      </c>
      <c r="E109" s="387"/>
      <c r="F109" s="387">
        <f t="shared" si="46"/>
        <v>4346.76</v>
      </c>
      <c r="H109" s="358">
        <f t="shared" si="47"/>
        <v>4346.76</v>
      </c>
      <c r="I109" s="388">
        <v>2</v>
      </c>
      <c r="J109" s="388"/>
      <c r="L109" s="389"/>
      <c r="M109" s="389"/>
      <c r="N109" s="389"/>
      <c r="O109" s="389"/>
      <c r="P109" s="389"/>
      <c r="Q109" s="389"/>
      <c r="R109" s="389"/>
      <c r="S109" s="389"/>
      <c r="T109" s="389"/>
      <c r="U109" s="389"/>
      <c r="V109" s="389"/>
      <c r="W109" s="389"/>
      <c r="X109" s="389"/>
      <c r="Y109" s="389"/>
      <c r="Z109" s="389"/>
      <c r="AA109" s="389"/>
      <c r="AB109" s="389"/>
      <c r="AC109" s="389"/>
      <c r="AD109" s="389">
        <v>0</v>
      </c>
      <c r="AE109" s="389">
        <v>0</v>
      </c>
      <c r="AF109" s="389">
        <v>0</v>
      </c>
      <c r="AG109" s="389"/>
      <c r="AH109" s="389"/>
      <c r="AI109" s="389">
        <f t="shared" si="48"/>
        <v>4346.76</v>
      </c>
      <c r="AJ109" s="389">
        <f t="shared" si="48"/>
        <v>4346.76</v>
      </c>
      <c r="AK109" s="389">
        <f t="shared" si="48"/>
        <v>4346.76</v>
      </c>
    </row>
    <row r="110" spans="1:37" s="377" customFormat="1">
      <c r="B110" s="377" t="s">
        <v>970</v>
      </c>
      <c r="C110" s="386">
        <f t="shared" si="45"/>
        <v>40909</v>
      </c>
      <c r="D110" s="387">
        <v>39015</v>
      </c>
      <c r="E110" s="387"/>
      <c r="F110" s="387">
        <f t="shared" si="46"/>
        <v>1950.75</v>
      </c>
      <c r="H110" s="358">
        <f t="shared" si="47"/>
        <v>1950.75</v>
      </c>
      <c r="I110" s="388">
        <v>5</v>
      </c>
      <c r="J110" s="388"/>
      <c r="L110" s="389"/>
      <c r="M110" s="389"/>
      <c r="N110" s="389"/>
      <c r="O110" s="389"/>
      <c r="P110" s="389"/>
      <c r="Q110" s="389"/>
      <c r="R110" s="389"/>
      <c r="S110" s="389"/>
      <c r="T110" s="389"/>
      <c r="U110" s="389"/>
      <c r="V110" s="389"/>
      <c r="W110" s="389"/>
      <c r="X110" s="389"/>
      <c r="Y110" s="389"/>
      <c r="Z110" s="389"/>
      <c r="AA110" s="389"/>
      <c r="AB110" s="389"/>
      <c r="AC110" s="389"/>
      <c r="AD110" s="389">
        <v>0</v>
      </c>
      <c r="AE110" s="389">
        <v>0</v>
      </c>
      <c r="AF110" s="389">
        <v>0</v>
      </c>
      <c r="AG110" s="389"/>
      <c r="AH110" s="389"/>
      <c r="AI110" s="389">
        <f t="shared" si="48"/>
        <v>1950.75</v>
      </c>
      <c r="AJ110" s="389">
        <f t="shared" si="48"/>
        <v>1950.75</v>
      </c>
      <c r="AK110" s="389">
        <f t="shared" si="48"/>
        <v>1950.75</v>
      </c>
    </row>
    <row r="111" spans="1:37" s="377" customFormat="1">
      <c r="B111" s="377" t="s">
        <v>969</v>
      </c>
      <c r="C111" s="386">
        <f t="shared" si="45"/>
        <v>40909</v>
      </c>
      <c r="D111" s="387">
        <v>11550</v>
      </c>
      <c r="E111" s="387"/>
      <c r="F111" s="387">
        <f t="shared" si="46"/>
        <v>577.5</v>
      </c>
      <c r="H111" s="358">
        <f t="shared" si="47"/>
        <v>577.5</v>
      </c>
      <c r="I111" s="388">
        <v>5</v>
      </c>
      <c r="J111" s="388"/>
      <c r="L111" s="389"/>
      <c r="M111" s="389"/>
      <c r="N111" s="389"/>
      <c r="O111" s="389"/>
      <c r="P111" s="389"/>
      <c r="Q111" s="389"/>
      <c r="R111" s="389"/>
      <c r="S111" s="389"/>
      <c r="T111" s="389"/>
      <c r="U111" s="389"/>
      <c r="V111" s="389"/>
      <c r="W111" s="389"/>
      <c r="X111" s="389"/>
      <c r="Y111" s="389"/>
      <c r="Z111" s="389"/>
      <c r="AA111" s="389"/>
      <c r="AB111" s="389"/>
      <c r="AC111" s="389"/>
      <c r="AD111" s="389">
        <v>0</v>
      </c>
      <c r="AE111" s="389">
        <v>0</v>
      </c>
      <c r="AF111" s="389">
        <v>0</v>
      </c>
      <c r="AG111" s="389"/>
      <c r="AH111" s="389"/>
      <c r="AI111" s="389">
        <f t="shared" si="48"/>
        <v>577.5</v>
      </c>
      <c r="AJ111" s="389">
        <f t="shared" si="48"/>
        <v>577.5</v>
      </c>
      <c r="AK111" s="389">
        <f t="shared" si="48"/>
        <v>577.5</v>
      </c>
    </row>
    <row r="112" spans="1:37" s="377" customFormat="1">
      <c r="B112" s="377" t="s">
        <v>808</v>
      </c>
      <c r="C112" s="386">
        <f t="shared" si="45"/>
        <v>40909</v>
      </c>
      <c r="D112" s="387">
        <v>7326</v>
      </c>
      <c r="E112" s="387"/>
      <c r="F112" s="387">
        <f t="shared" si="46"/>
        <v>366.3</v>
      </c>
      <c r="H112" s="358">
        <f t="shared" si="47"/>
        <v>366.3</v>
      </c>
      <c r="I112" s="388">
        <v>5</v>
      </c>
      <c r="J112" s="388"/>
      <c r="L112" s="389"/>
      <c r="M112" s="389"/>
      <c r="N112" s="389"/>
      <c r="O112" s="389"/>
      <c r="P112" s="389"/>
      <c r="Q112" s="389"/>
      <c r="R112" s="389"/>
      <c r="S112" s="389"/>
      <c r="T112" s="389"/>
      <c r="U112" s="389"/>
      <c r="V112" s="389"/>
      <c r="W112" s="389"/>
      <c r="X112" s="389"/>
      <c r="Y112" s="389"/>
      <c r="Z112" s="389"/>
      <c r="AA112" s="389"/>
      <c r="AB112" s="389"/>
      <c r="AC112" s="389"/>
      <c r="AD112" s="389">
        <v>0</v>
      </c>
      <c r="AE112" s="389">
        <v>0</v>
      </c>
      <c r="AF112" s="389">
        <v>0</v>
      </c>
      <c r="AG112" s="389"/>
      <c r="AH112" s="389"/>
      <c r="AI112" s="389">
        <f t="shared" si="48"/>
        <v>366.3</v>
      </c>
      <c r="AJ112" s="389">
        <f t="shared" si="48"/>
        <v>366.3</v>
      </c>
      <c r="AK112" s="389">
        <f t="shared" si="48"/>
        <v>366.3</v>
      </c>
    </row>
    <row r="113" spans="1:37" s="377" customFormat="1">
      <c r="B113" s="377" t="s">
        <v>968</v>
      </c>
      <c r="C113" s="386">
        <f t="shared" si="45"/>
        <v>40909</v>
      </c>
      <c r="D113" s="387">
        <v>424619</v>
      </c>
      <c r="E113" s="387"/>
      <c r="F113" s="387">
        <f t="shared" si="46"/>
        <v>14139.8127</v>
      </c>
      <c r="H113" s="358">
        <f t="shared" si="47"/>
        <v>14139.8127</v>
      </c>
      <c r="I113" s="388">
        <v>3.33</v>
      </c>
      <c r="J113" s="388"/>
      <c r="L113" s="389"/>
      <c r="M113" s="389"/>
      <c r="N113" s="389"/>
      <c r="O113" s="389"/>
      <c r="P113" s="389"/>
      <c r="Q113" s="389"/>
      <c r="R113" s="389"/>
      <c r="S113" s="389"/>
      <c r="T113" s="389"/>
      <c r="U113" s="389"/>
      <c r="V113" s="389"/>
      <c r="W113" s="389"/>
      <c r="X113" s="389"/>
      <c r="Y113" s="389"/>
      <c r="Z113" s="389"/>
      <c r="AA113" s="389"/>
      <c r="AB113" s="389"/>
      <c r="AC113" s="389"/>
      <c r="AD113" s="389">
        <v>0</v>
      </c>
      <c r="AE113" s="389">
        <v>0</v>
      </c>
      <c r="AF113" s="389">
        <v>0</v>
      </c>
      <c r="AG113" s="389"/>
      <c r="AH113" s="389"/>
      <c r="AI113" s="389">
        <f t="shared" si="48"/>
        <v>14139.8127</v>
      </c>
      <c r="AJ113" s="389">
        <f t="shared" si="48"/>
        <v>14139.8127</v>
      </c>
      <c r="AK113" s="389">
        <f t="shared" si="48"/>
        <v>14139.8127</v>
      </c>
    </row>
    <row r="114" spans="1:37" s="377" customFormat="1">
      <c r="B114" s="377" t="s">
        <v>967</v>
      </c>
      <c r="C114" s="386">
        <f t="shared" si="45"/>
        <v>40909</v>
      </c>
      <c r="D114" s="387">
        <v>35373</v>
      </c>
      <c r="E114" s="387"/>
      <c r="F114" s="387">
        <f t="shared" si="46"/>
        <v>1768.65</v>
      </c>
      <c r="H114" s="358">
        <f t="shared" si="47"/>
        <v>1768.65</v>
      </c>
      <c r="I114" s="388">
        <v>5</v>
      </c>
      <c r="J114" s="388"/>
      <c r="L114" s="389"/>
      <c r="M114" s="389"/>
      <c r="N114" s="389"/>
      <c r="O114" s="389"/>
      <c r="P114" s="389"/>
      <c r="Q114" s="389"/>
      <c r="R114" s="389"/>
      <c r="S114" s="389"/>
      <c r="T114" s="389"/>
      <c r="U114" s="389"/>
      <c r="V114" s="389"/>
      <c r="W114" s="389"/>
      <c r="X114" s="389"/>
      <c r="Y114" s="389"/>
      <c r="Z114" s="389"/>
      <c r="AA114" s="389"/>
      <c r="AB114" s="389"/>
      <c r="AC114" s="389"/>
      <c r="AD114" s="389">
        <v>0</v>
      </c>
      <c r="AE114" s="389">
        <v>0</v>
      </c>
      <c r="AF114" s="389">
        <v>0</v>
      </c>
      <c r="AG114" s="389"/>
      <c r="AH114" s="389"/>
      <c r="AI114" s="389">
        <f t="shared" si="48"/>
        <v>1768.65</v>
      </c>
      <c r="AJ114" s="389">
        <f t="shared" si="48"/>
        <v>1768.65</v>
      </c>
      <c r="AK114" s="389">
        <f t="shared" si="48"/>
        <v>1768.65</v>
      </c>
    </row>
    <row r="115" spans="1:37" s="377" customFormat="1">
      <c r="B115" s="377" t="s">
        <v>966</v>
      </c>
      <c r="C115" s="386">
        <f t="shared" si="45"/>
        <v>40909</v>
      </c>
      <c r="D115" s="387">
        <v>47909</v>
      </c>
      <c r="E115" s="387"/>
      <c r="F115" s="387">
        <f t="shared" si="46"/>
        <v>2395.4499999999998</v>
      </c>
      <c r="H115" s="358">
        <f t="shared" si="47"/>
        <v>2395.4499999999998</v>
      </c>
      <c r="I115" s="388">
        <v>5</v>
      </c>
      <c r="J115" s="388"/>
      <c r="L115" s="389"/>
      <c r="M115" s="389"/>
      <c r="N115" s="389"/>
      <c r="O115" s="389"/>
      <c r="P115" s="389"/>
      <c r="Q115" s="389"/>
      <c r="R115" s="389"/>
      <c r="S115" s="389"/>
      <c r="T115" s="389"/>
      <c r="U115" s="389"/>
      <c r="V115" s="389"/>
      <c r="W115" s="389"/>
      <c r="X115" s="389"/>
      <c r="Y115" s="389"/>
      <c r="Z115" s="389"/>
      <c r="AA115" s="389"/>
      <c r="AB115" s="389"/>
      <c r="AC115" s="389"/>
      <c r="AD115" s="389">
        <v>0</v>
      </c>
      <c r="AE115" s="389">
        <v>0</v>
      </c>
      <c r="AF115" s="389">
        <v>0</v>
      </c>
      <c r="AG115" s="389"/>
      <c r="AH115" s="389"/>
      <c r="AI115" s="389">
        <f t="shared" si="48"/>
        <v>2395.4499999999998</v>
      </c>
      <c r="AJ115" s="389">
        <f t="shared" si="48"/>
        <v>2395.4499999999998</v>
      </c>
      <c r="AK115" s="389">
        <f t="shared" si="48"/>
        <v>2395.4499999999998</v>
      </c>
    </row>
    <row r="116" spans="1:37" s="377" customFormat="1">
      <c r="B116" s="377" t="s">
        <v>965</v>
      </c>
      <c r="C116" s="386">
        <f t="shared" si="45"/>
        <v>40909</v>
      </c>
      <c r="D116" s="387">
        <v>33633</v>
      </c>
      <c r="E116" s="387"/>
      <c r="F116" s="387">
        <f t="shared" si="46"/>
        <v>2243.3210999999997</v>
      </c>
      <c r="H116" s="358">
        <f t="shared" si="47"/>
        <v>2243.3210999999997</v>
      </c>
      <c r="I116" s="388">
        <v>6.67</v>
      </c>
      <c r="J116" s="388"/>
      <c r="L116" s="389"/>
      <c r="M116" s="389"/>
      <c r="N116" s="389"/>
      <c r="O116" s="389"/>
      <c r="P116" s="389"/>
      <c r="Q116" s="389"/>
      <c r="R116" s="389"/>
      <c r="S116" s="389"/>
      <c r="T116" s="389"/>
      <c r="U116" s="389"/>
      <c r="V116" s="389"/>
      <c r="W116" s="389"/>
      <c r="X116" s="389"/>
      <c r="Y116" s="389"/>
      <c r="Z116" s="389"/>
      <c r="AA116" s="389"/>
      <c r="AB116" s="389"/>
      <c r="AC116" s="389"/>
      <c r="AD116" s="389">
        <v>0</v>
      </c>
      <c r="AE116" s="389">
        <v>0</v>
      </c>
      <c r="AF116" s="389">
        <v>0</v>
      </c>
      <c r="AG116" s="389"/>
      <c r="AH116" s="389"/>
      <c r="AI116" s="389">
        <f t="shared" si="48"/>
        <v>2243.3210999999997</v>
      </c>
      <c r="AJ116" s="389">
        <f t="shared" si="48"/>
        <v>2243.3210999999997</v>
      </c>
      <c r="AK116" s="389">
        <f t="shared" si="48"/>
        <v>2243.3210999999997</v>
      </c>
    </row>
    <row r="117" spans="1:37" s="377" customFormat="1">
      <c r="B117" s="377" t="s">
        <v>964</v>
      </c>
      <c r="C117" s="386">
        <f t="shared" si="45"/>
        <v>40909</v>
      </c>
      <c r="D117" s="387">
        <v>23883</v>
      </c>
      <c r="E117" s="387"/>
      <c r="F117" s="387">
        <f t="shared" si="46"/>
        <v>1194.1500000000001</v>
      </c>
      <c r="H117" s="358">
        <f t="shared" si="47"/>
        <v>1194.1500000000001</v>
      </c>
      <c r="I117" s="388">
        <v>5</v>
      </c>
      <c r="J117" s="388"/>
      <c r="L117" s="389"/>
      <c r="M117" s="389"/>
      <c r="N117" s="389"/>
      <c r="O117" s="389"/>
      <c r="P117" s="389"/>
      <c r="Q117" s="389"/>
      <c r="R117" s="389"/>
      <c r="S117" s="389"/>
      <c r="T117" s="389"/>
      <c r="U117" s="389"/>
      <c r="V117" s="389"/>
      <c r="W117" s="389"/>
      <c r="X117" s="389"/>
      <c r="Y117" s="389"/>
      <c r="Z117" s="389"/>
      <c r="AA117" s="389"/>
      <c r="AB117" s="389"/>
      <c r="AC117" s="389"/>
      <c r="AD117" s="389">
        <v>0</v>
      </c>
      <c r="AE117" s="389">
        <v>0</v>
      </c>
      <c r="AF117" s="389">
        <v>0</v>
      </c>
      <c r="AG117" s="389"/>
      <c r="AH117" s="389"/>
      <c r="AI117" s="389">
        <f t="shared" si="48"/>
        <v>1194.1500000000001</v>
      </c>
      <c r="AJ117" s="389">
        <f t="shared" si="48"/>
        <v>1194.1500000000001</v>
      </c>
      <c r="AK117" s="389">
        <f t="shared" si="48"/>
        <v>1194.1500000000001</v>
      </c>
    </row>
    <row r="118" spans="1:37" s="377" customFormat="1">
      <c r="B118" s="377" t="s">
        <v>963</v>
      </c>
      <c r="C118" s="386">
        <f t="shared" si="45"/>
        <v>40909</v>
      </c>
      <c r="D118" s="387">
        <v>1749134.79</v>
      </c>
      <c r="E118" s="387"/>
      <c r="F118" s="387">
        <f t="shared" si="46"/>
        <v>34982.695800000001</v>
      </c>
      <c r="H118" s="358">
        <f t="shared" si="47"/>
        <v>34982.695800000001</v>
      </c>
      <c r="I118" s="388">
        <v>2</v>
      </c>
      <c r="J118" s="388"/>
      <c r="L118" s="389"/>
      <c r="M118" s="389"/>
      <c r="N118" s="389"/>
      <c r="O118" s="389"/>
      <c r="P118" s="389"/>
      <c r="Q118" s="389"/>
      <c r="R118" s="389"/>
      <c r="S118" s="389"/>
      <c r="T118" s="389"/>
      <c r="U118" s="389"/>
      <c r="V118" s="389"/>
      <c r="W118" s="389"/>
      <c r="X118" s="389"/>
      <c r="Y118" s="389"/>
      <c r="Z118" s="389"/>
      <c r="AA118" s="389"/>
      <c r="AB118" s="389"/>
      <c r="AC118" s="389"/>
      <c r="AD118" s="389">
        <v>0</v>
      </c>
      <c r="AE118" s="389">
        <v>0</v>
      </c>
      <c r="AF118" s="389">
        <v>0</v>
      </c>
      <c r="AG118" s="389"/>
      <c r="AH118" s="389"/>
      <c r="AI118" s="389">
        <f t="shared" si="48"/>
        <v>34982.695800000001</v>
      </c>
      <c r="AJ118" s="389">
        <f t="shared" si="48"/>
        <v>34982.695800000001</v>
      </c>
      <c r="AK118" s="389">
        <f t="shared" si="48"/>
        <v>34982.695800000001</v>
      </c>
    </row>
    <row r="119" spans="1:37" s="377" customFormat="1">
      <c r="B119" s="390" t="s">
        <v>962</v>
      </c>
      <c r="C119" s="391">
        <f>DATE(2013,2,4)</f>
        <v>41309</v>
      </c>
      <c r="D119" s="397">
        <v>48388.35</v>
      </c>
      <c r="E119" s="398"/>
      <c r="F119" s="392">
        <f t="shared" si="46"/>
        <v>0</v>
      </c>
      <c r="G119" s="390"/>
      <c r="H119" s="390">
        <f t="shared" si="47"/>
        <v>0</v>
      </c>
      <c r="I119" s="393">
        <v>7</v>
      </c>
      <c r="J119" s="393"/>
      <c r="K119" s="390"/>
      <c r="L119" s="394"/>
      <c r="M119" s="394"/>
      <c r="N119" s="394"/>
      <c r="O119" s="394"/>
      <c r="P119" s="394"/>
      <c r="Q119" s="394"/>
      <c r="R119" s="394"/>
      <c r="S119" s="394"/>
      <c r="T119" s="394"/>
      <c r="U119" s="394"/>
      <c r="V119" s="394"/>
      <c r="W119" s="394"/>
      <c r="X119" s="394"/>
      <c r="Y119" s="394"/>
      <c r="Z119" s="394"/>
      <c r="AA119" s="394"/>
      <c r="AB119" s="394"/>
      <c r="AC119" s="394"/>
      <c r="AD119" s="394">
        <v>0</v>
      </c>
      <c r="AE119" s="394">
        <v>0</v>
      </c>
      <c r="AF119" s="394">
        <v>0</v>
      </c>
      <c r="AG119" s="394"/>
      <c r="AH119" s="394"/>
      <c r="AI119" s="394">
        <v>0</v>
      </c>
      <c r="AJ119" s="399">
        <f>SUM($D119*$I119)/100</f>
        <v>3387.1845000000003</v>
      </c>
      <c r="AK119" s="399">
        <f>SUM($D119*$I119)/100</f>
        <v>3387.1845000000003</v>
      </c>
    </row>
    <row r="120" spans="1:37" s="377" customFormat="1">
      <c r="D120" s="387">
        <f>SUM(D90:D119)</f>
        <v>3085992.37</v>
      </c>
      <c r="E120" s="387">
        <f>F120+AJ120</f>
        <v>261814.11290000001</v>
      </c>
      <c r="F120" s="387">
        <f>SUM(F90:F119)</f>
        <v>166980.30219999998</v>
      </c>
      <c r="G120" s="387">
        <f>SUM(G90:G119)</f>
        <v>38878</v>
      </c>
      <c r="H120" s="358">
        <f t="shared" si="47"/>
        <v>136876.0722</v>
      </c>
      <c r="I120" s="388"/>
      <c r="J120" s="388"/>
      <c r="K120" s="387">
        <f t="shared" ref="K120:AH120" si="49">SUM(K90:K118)</f>
        <v>1582</v>
      </c>
      <c r="L120" s="387">
        <f t="shared" si="49"/>
        <v>1582</v>
      </c>
      <c r="M120" s="387">
        <f t="shared" si="49"/>
        <v>1582</v>
      </c>
      <c r="N120" s="387">
        <f t="shared" si="49"/>
        <v>1166.3399999999999</v>
      </c>
      <c r="O120" s="387">
        <f t="shared" si="49"/>
        <v>1166.3399999999999</v>
      </c>
      <c r="P120" s="387">
        <f t="shared" si="49"/>
        <v>1273.53</v>
      </c>
      <c r="Q120" s="387">
        <f t="shared" si="49"/>
        <v>635.92499999999995</v>
      </c>
      <c r="R120" s="387">
        <f t="shared" si="49"/>
        <v>107.175</v>
      </c>
      <c r="S120" s="387">
        <f t="shared" si="49"/>
        <v>107.185</v>
      </c>
      <c r="T120" s="387">
        <f t="shared" si="49"/>
        <v>364.05700000000002</v>
      </c>
      <c r="U120" s="387">
        <f t="shared" si="49"/>
        <v>364.05700000000002</v>
      </c>
      <c r="V120" s="387">
        <f t="shared" si="49"/>
        <v>364.05700000000002</v>
      </c>
      <c r="W120" s="387">
        <f t="shared" si="49"/>
        <v>364.05700000000002</v>
      </c>
      <c r="X120" s="387">
        <f t="shared" si="49"/>
        <v>1350.48</v>
      </c>
      <c r="Y120" s="387">
        <f t="shared" si="49"/>
        <v>1616.73</v>
      </c>
      <c r="Z120" s="387">
        <f t="shared" si="49"/>
        <v>1616.722</v>
      </c>
      <c r="AA120" s="387">
        <f t="shared" si="49"/>
        <v>1616.722</v>
      </c>
      <c r="AB120" s="387">
        <f t="shared" si="49"/>
        <v>1888.133</v>
      </c>
      <c r="AC120" s="387">
        <f t="shared" si="49"/>
        <v>1888.1210000000001</v>
      </c>
      <c r="AD120" s="387">
        <f t="shared" si="49"/>
        <v>2709.6189999999997</v>
      </c>
      <c r="AE120" s="387">
        <f t="shared" si="49"/>
        <v>2709.6189999999997</v>
      </c>
      <c r="AF120" s="387">
        <f t="shared" si="49"/>
        <v>2709.6189999999997</v>
      </c>
      <c r="AG120" s="387">
        <f t="shared" si="49"/>
        <v>8772.1039999999994</v>
      </c>
      <c r="AH120" s="387">
        <f t="shared" si="49"/>
        <v>7785.7039999999997</v>
      </c>
      <c r="AI120" s="387">
        <f>SUM(AI90:AI119)</f>
        <v>91553.776200000008</v>
      </c>
      <c r="AJ120" s="387">
        <f>SUM(AJ90:AJ119)</f>
        <v>94833.810700000016</v>
      </c>
      <c r="AK120" s="387">
        <f>SUM(AK90:AK119)</f>
        <v>94833.810700000016</v>
      </c>
    </row>
    <row r="121" spans="1:37" s="377" customFormat="1">
      <c r="D121" s="387"/>
      <c r="E121" s="387"/>
      <c r="F121" s="387"/>
      <c r="G121" s="387"/>
      <c r="I121" s="388"/>
      <c r="J121" s="388"/>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row>
    <row r="122" spans="1:37" s="377" customFormat="1">
      <c r="A122" s="377" t="s">
        <v>961</v>
      </c>
      <c r="D122" s="387"/>
      <c r="E122" s="387"/>
      <c r="F122" s="387"/>
      <c r="G122" s="387"/>
      <c r="I122" s="388"/>
      <c r="J122" s="388"/>
      <c r="K122" s="387"/>
      <c r="L122" s="387"/>
      <c r="M122" s="387"/>
      <c r="N122" s="387"/>
      <c r="O122" s="387"/>
      <c r="P122" s="387"/>
      <c r="Q122" s="387"/>
      <c r="R122" s="387"/>
      <c r="S122" s="387"/>
      <c r="T122" s="387"/>
      <c r="U122" s="387"/>
      <c r="V122" s="387"/>
      <c r="W122" s="387"/>
      <c r="X122" s="387"/>
      <c r="Y122" s="387"/>
      <c r="Z122" s="387"/>
      <c r="AA122" s="387"/>
      <c r="AB122" s="387"/>
      <c r="AC122" s="387"/>
      <c r="AD122" s="387"/>
      <c r="AE122" s="387"/>
      <c r="AF122" s="387"/>
      <c r="AG122" s="387"/>
      <c r="AH122" s="387"/>
      <c r="AI122" s="387"/>
      <c r="AJ122" s="387"/>
      <c r="AK122" s="387"/>
    </row>
    <row r="123" spans="1:37" s="377" customFormat="1">
      <c r="D123" s="387"/>
      <c r="E123" s="387"/>
      <c r="F123" s="387"/>
      <c r="G123" s="387"/>
      <c r="I123" s="388"/>
      <c r="J123" s="388"/>
      <c r="K123" s="387"/>
      <c r="L123" s="387"/>
      <c r="M123" s="387"/>
      <c r="N123" s="387"/>
      <c r="O123" s="387"/>
      <c r="P123" s="387"/>
      <c r="Q123" s="387"/>
      <c r="R123" s="387"/>
      <c r="S123" s="387"/>
      <c r="T123" s="387"/>
      <c r="U123" s="387"/>
      <c r="V123" s="387"/>
      <c r="W123" s="387"/>
      <c r="X123" s="387"/>
      <c r="Y123" s="387"/>
      <c r="Z123" s="387"/>
      <c r="AA123" s="387"/>
      <c r="AB123" s="387"/>
      <c r="AC123" s="387"/>
      <c r="AD123" s="387"/>
      <c r="AE123" s="387"/>
      <c r="AF123" s="387"/>
      <c r="AG123" s="387"/>
      <c r="AH123" s="387"/>
      <c r="AI123" s="387"/>
      <c r="AJ123" s="387"/>
      <c r="AK123" s="387"/>
    </row>
    <row r="124" spans="1:37" s="377" customFormat="1">
      <c r="B124" s="377" t="s">
        <v>960</v>
      </c>
      <c r="C124" s="386">
        <f>DATE(83,9,1)</f>
        <v>30560</v>
      </c>
      <c r="D124" s="387">
        <f>51160.95-25480.43</f>
        <v>25680.519999999997</v>
      </c>
      <c r="E124" s="387"/>
      <c r="F124" s="377">
        <f>G124+H124</f>
        <v>25680.52</v>
      </c>
      <c r="G124" s="387">
        <v>11511.22</v>
      </c>
      <c r="H124" s="377">
        <f>25680.52-11511.22</f>
        <v>14169.300000000001</v>
      </c>
      <c r="I124" s="388">
        <v>5</v>
      </c>
      <c r="J124" s="388"/>
      <c r="K124" s="389">
        <f t="shared" ref="K124:W124" si="50">SUM($D124*$I124)/100</f>
        <v>1284.0259999999998</v>
      </c>
      <c r="L124" s="389">
        <f t="shared" si="50"/>
        <v>1284.0259999999998</v>
      </c>
      <c r="M124" s="389">
        <f t="shared" si="50"/>
        <v>1284.0259999999998</v>
      </c>
      <c r="N124" s="389">
        <f t="shared" si="50"/>
        <v>1284.0259999999998</v>
      </c>
      <c r="O124" s="389">
        <f t="shared" si="50"/>
        <v>1284.0259999999998</v>
      </c>
      <c r="P124" s="389">
        <f t="shared" si="50"/>
        <v>1284.0259999999998</v>
      </c>
      <c r="Q124" s="389">
        <f t="shared" si="50"/>
        <v>1284.0259999999998</v>
      </c>
      <c r="R124" s="389">
        <f t="shared" si="50"/>
        <v>1284.0259999999998</v>
      </c>
      <c r="S124" s="389">
        <f t="shared" si="50"/>
        <v>1284.0259999999998</v>
      </c>
      <c r="T124" s="389">
        <f t="shared" si="50"/>
        <v>1284.0259999999998</v>
      </c>
      <c r="U124" s="389">
        <f t="shared" si="50"/>
        <v>1284.0259999999998</v>
      </c>
      <c r="V124" s="389">
        <f t="shared" si="50"/>
        <v>1284.0259999999998</v>
      </c>
      <c r="W124" s="389">
        <f t="shared" si="50"/>
        <v>1284.0259999999998</v>
      </c>
      <c r="X124" s="389">
        <v>2558.0500000000002</v>
      </c>
      <c r="Y124" s="389">
        <v>2558.0500000000002</v>
      </c>
      <c r="Z124" s="389">
        <v>1279.01</v>
      </c>
      <c r="AA124" s="389">
        <v>0</v>
      </c>
      <c r="AB124" s="389">
        <v>0</v>
      </c>
      <c r="AC124" s="389">
        <v>0</v>
      </c>
      <c r="AD124" s="389">
        <v>0</v>
      </c>
      <c r="AE124" s="389">
        <v>0</v>
      </c>
      <c r="AF124" s="389">
        <v>0</v>
      </c>
      <c r="AG124" s="389">
        <v>0</v>
      </c>
      <c r="AH124" s="389">
        <v>0</v>
      </c>
      <c r="AI124" s="389">
        <v>0</v>
      </c>
      <c r="AJ124" s="389">
        <v>0</v>
      </c>
      <c r="AK124" s="389">
        <v>0</v>
      </c>
    </row>
    <row r="125" spans="1:37" s="377" customFormat="1">
      <c r="B125" s="377" t="s">
        <v>959</v>
      </c>
      <c r="C125" s="386">
        <f>DATE(2000,11,1)</f>
        <v>36831</v>
      </c>
      <c r="D125" s="387">
        <v>7290.57</v>
      </c>
      <c r="E125" s="387"/>
      <c r="F125" s="387">
        <f t="shared" ref="F125:F134" si="51">H125</f>
        <v>7290.57</v>
      </c>
      <c r="H125" s="377">
        <v>7290.57</v>
      </c>
      <c r="I125" s="388">
        <v>10</v>
      </c>
      <c r="J125" s="388"/>
      <c r="L125" s="389"/>
      <c r="M125" s="389"/>
      <c r="N125" s="389"/>
      <c r="O125" s="389"/>
      <c r="P125" s="389"/>
      <c r="Q125" s="389"/>
      <c r="R125" s="389"/>
      <c r="S125" s="389"/>
      <c r="T125" s="389"/>
      <c r="U125" s="389">
        <v>0</v>
      </c>
      <c r="V125" s="389">
        <v>0</v>
      </c>
      <c r="W125" s="389">
        <f>SUM($D125*$I125)/100</f>
        <v>729.05700000000002</v>
      </c>
      <c r="X125" s="389">
        <v>1429.2</v>
      </c>
      <c r="Y125" s="389">
        <v>1429.2</v>
      </c>
      <c r="Z125" s="389">
        <f t="shared" ref="Z125:AF125" si="52">SUM($D125*$I125)/100</f>
        <v>729.05700000000002</v>
      </c>
      <c r="AA125" s="389">
        <f t="shared" si="52"/>
        <v>729.05700000000002</v>
      </c>
      <c r="AB125" s="389">
        <f t="shared" si="52"/>
        <v>729.05700000000002</v>
      </c>
      <c r="AC125" s="389">
        <f t="shared" si="52"/>
        <v>729.05700000000002</v>
      </c>
      <c r="AD125" s="389">
        <f t="shared" si="52"/>
        <v>729.05700000000002</v>
      </c>
      <c r="AE125" s="389">
        <f t="shared" si="52"/>
        <v>729.05700000000002</v>
      </c>
      <c r="AF125" s="389">
        <f t="shared" si="52"/>
        <v>729.05700000000002</v>
      </c>
      <c r="AG125" s="389">
        <v>0</v>
      </c>
      <c r="AH125" s="389">
        <v>0</v>
      </c>
      <c r="AI125" s="389">
        <v>0</v>
      </c>
      <c r="AJ125" s="389">
        <v>0</v>
      </c>
      <c r="AK125" s="389">
        <v>0</v>
      </c>
    </row>
    <row r="126" spans="1:37" s="377" customFormat="1">
      <c r="B126" s="377" t="s">
        <v>958</v>
      </c>
      <c r="C126" s="400">
        <v>1983</v>
      </c>
      <c r="D126" s="387">
        <v>25480.43</v>
      </c>
      <c r="E126" s="387"/>
      <c r="F126" s="387">
        <f t="shared" si="51"/>
        <v>25480.43</v>
      </c>
      <c r="G126" s="377">
        <v>0</v>
      </c>
      <c r="H126" s="377">
        <v>25480.43</v>
      </c>
      <c r="I126" s="388"/>
      <c r="J126" s="388"/>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row>
    <row r="127" spans="1:37" s="377" customFormat="1">
      <c r="B127" s="377" t="s">
        <v>957</v>
      </c>
      <c r="C127" s="386">
        <f>DATE(2000,11,1)</f>
        <v>36831</v>
      </c>
      <c r="D127" s="387">
        <v>7001.44</v>
      </c>
      <c r="E127" s="387"/>
      <c r="F127" s="387">
        <f t="shared" si="51"/>
        <v>7001.44</v>
      </c>
      <c r="H127" s="377">
        <v>7001.44</v>
      </c>
      <c r="I127" s="388">
        <v>10</v>
      </c>
      <c r="J127" s="388"/>
      <c r="L127" s="389"/>
      <c r="M127" s="389"/>
      <c r="N127" s="389"/>
      <c r="O127" s="389"/>
      <c r="P127" s="389"/>
      <c r="Q127" s="389"/>
      <c r="R127" s="389"/>
      <c r="S127" s="389"/>
      <c r="T127" s="389"/>
      <c r="U127" s="389">
        <v>0</v>
      </c>
      <c r="V127" s="389">
        <v>0</v>
      </c>
      <c r="W127" s="389">
        <f>SUM($D127*$I127)/100</f>
        <v>700.14399999999989</v>
      </c>
      <c r="X127" s="389">
        <v>1429.2</v>
      </c>
      <c r="Y127" s="389">
        <v>1429.2</v>
      </c>
      <c r="Z127" s="389">
        <f t="shared" ref="Z127:AF127" si="53">SUM($D127*$I127)/100</f>
        <v>700.14399999999989</v>
      </c>
      <c r="AA127" s="389">
        <f t="shared" si="53"/>
        <v>700.14399999999989</v>
      </c>
      <c r="AB127" s="389">
        <f t="shared" si="53"/>
        <v>700.14399999999989</v>
      </c>
      <c r="AC127" s="389">
        <f t="shared" si="53"/>
        <v>700.14399999999989</v>
      </c>
      <c r="AD127" s="389">
        <f t="shared" si="53"/>
        <v>700.14399999999989</v>
      </c>
      <c r="AE127" s="389">
        <f t="shared" si="53"/>
        <v>700.14399999999989</v>
      </c>
      <c r="AF127" s="389">
        <f t="shared" si="53"/>
        <v>700.14399999999989</v>
      </c>
      <c r="AG127" s="389">
        <v>0</v>
      </c>
      <c r="AH127" s="389">
        <v>0</v>
      </c>
      <c r="AI127" s="389">
        <v>0</v>
      </c>
      <c r="AJ127" s="389">
        <v>0</v>
      </c>
      <c r="AK127" s="389">
        <v>0</v>
      </c>
    </row>
    <row r="128" spans="1:37" s="377" customFormat="1">
      <c r="B128" s="377" t="s">
        <v>956</v>
      </c>
      <c r="C128" s="386">
        <f>DATE(2012,1,1)</f>
        <v>40909</v>
      </c>
      <c r="D128" s="387">
        <v>22000</v>
      </c>
      <c r="E128" s="387"/>
      <c r="F128" s="387">
        <f t="shared" si="51"/>
        <v>1100</v>
      </c>
      <c r="H128" s="377">
        <f t="shared" ref="H128:H136" si="54">SUM(K128:AI128)</f>
        <v>1100</v>
      </c>
      <c r="I128" s="388">
        <v>5</v>
      </c>
      <c r="J128" s="388"/>
      <c r="L128" s="389"/>
      <c r="M128" s="389"/>
      <c r="N128" s="389"/>
      <c r="O128" s="389"/>
      <c r="P128" s="389"/>
      <c r="Q128" s="389"/>
      <c r="R128" s="389"/>
      <c r="S128" s="389"/>
      <c r="T128" s="389"/>
      <c r="U128" s="389"/>
      <c r="V128" s="389"/>
      <c r="W128" s="389"/>
      <c r="X128" s="389"/>
      <c r="Y128" s="389"/>
      <c r="Z128" s="389"/>
      <c r="AA128" s="389"/>
      <c r="AB128" s="389"/>
      <c r="AC128" s="389"/>
      <c r="AD128" s="389">
        <v>0</v>
      </c>
      <c r="AE128" s="389">
        <v>0</v>
      </c>
      <c r="AF128" s="389">
        <v>0</v>
      </c>
      <c r="AG128" s="389"/>
      <c r="AH128" s="389"/>
      <c r="AI128" s="389">
        <f t="shared" ref="AI128:AK134" si="55">SUM($D128*$I128)/100</f>
        <v>1100</v>
      </c>
      <c r="AJ128" s="389">
        <f t="shared" si="55"/>
        <v>1100</v>
      </c>
      <c r="AK128" s="389">
        <f t="shared" si="55"/>
        <v>1100</v>
      </c>
    </row>
    <row r="129" spans="1:37" s="377" customFormat="1">
      <c r="B129" s="377" t="s">
        <v>955</v>
      </c>
      <c r="C129" s="386">
        <f>DATE(2010,12,31)</f>
        <v>40543</v>
      </c>
      <c r="D129" s="387">
        <v>372801.49</v>
      </c>
      <c r="E129" s="387"/>
      <c r="F129" s="387">
        <f t="shared" si="51"/>
        <v>55920.223499999993</v>
      </c>
      <c r="H129" s="377">
        <f t="shared" si="54"/>
        <v>55920.223499999993</v>
      </c>
      <c r="I129" s="388">
        <v>5</v>
      </c>
      <c r="J129" s="388"/>
      <c r="L129" s="389"/>
      <c r="M129" s="389"/>
      <c r="N129" s="389"/>
      <c r="O129" s="389"/>
      <c r="P129" s="389"/>
      <c r="Q129" s="389"/>
      <c r="R129" s="389"/>
      <c r="S129" s="389"/>
      <c r="T129" s="389"/>
      <c r="U129" s="389"/>
      <c r="V129" s="389"/>
      <c r="W129" s="389"/>
      <c r="X129" s="389"/>
      <c r="Y129" s="389"/>
      <c r="Z129" s="389"/>
      <c r="AA129" s="389"/>
      <c r="AB129" s="389"/>
      <c r="AC129" s="389"/>
      <c r="AD129" s="389">
        <v>0</v>
      </c>
      <c r="AE129" s="389">
        <v>0</v>
      </c>
      <c r="AF129" s="389">
        <v>0</v>
      </c>
      <c r="AG129" s="389">
        <f>SUM($D129*$I129)/100</f>
        <v>18640.074499999999</v>
      </c>
      <c r="AH129" s="389">
        <f>SUM($D129*$I129)/100</f>
        <v>18640.074499999999</v>
      </c>
      <c r="AI129" s="389">
        <f t="shared" si="55"/>
        <v>18640.074499999999</v>
      </c>
      <c r="AJ129" s="389">
        <f t="shared" si="55"/>
        <v>18640.074499999999</v>
      </c>
      <c r="AK129" s="389">
        <f t="shared" si="55"/>
        <v>18640.074499999999</v>
      </c>
    </row>
    <row r="130" spans="1:37" s="377" customFormat="1">
      <c r="B130" s="377" t="s">
        <v>954</v>
      </c>
      <c r="C130" s="386">
        <f>DATE(2012,1,1)</f>
        <v>40909</v>
      </c>
      <c r="D130" s="387">
        <v>5000</v>
      </c>
      <c r="E130" s="387"/>
      <c r="F130" s="387">
        <f t="shared" si="51"/>
        <v>500</v>
      </c>
      <c r="H130" s="377">
        <f t="shared" si="54"/>
        <v>500</v>
      </c>
      <c r="I130" s="388">
        <v>10</v>
      </c>
      <c r="J130" s="388"/>
      <c r="L130" s="389"/>
      <c r="M130" s="389"/>
      <c r="N130" s="389"/>
      <c r="O130" s="389"/>
      <c r="P130" s="389"/>
      <c r="Q130" s="389"/>
      <c r="R130" s="389"/>
      <c r="S130" s="389"/>
      <c r="T130" s="389"/>
      <c r="U130" s="389"/>
      <c r="V130" s="389"/>
      <c r="W130" s="389"/>
      <c r="X130" s="389"/>
      <c r="Y130" s="389"/>
      <c r="Z130" s="389"/>
      <c r="AA130" s="389"/>
      <c r="AB130" s="389"/>
      <c r="AC130" s="389"/>
      <c r="AD130" s="389">
        <v>0</v>
      </c>
      <c r="AE130" s="389">
        <v>0</v>
      </c>
      <c r="AF130" s="389">
        <v>0</v>
      </c>
      <c r="AG130" s="389"/>
      <c r="AH130" s="389"/>
      <c r="AI130" s="389">
        <f t="shared" si="55"/>
        <v>500</v>
      </c>
      <c r="AJ130" s="389">
        <f t="shared" si="55"/>
        <v>500</v>
      </c>
      <c r="AK130" s="389">
        <f t="shared" si="55"/>
        <v>500</v>
      </c>
    </row>
    <row r="131" spans="1:37" s="377" customFormat="1">
      <c r="B131" s="377" t="s">
        <v>953</v>
      </c>
      <c r="C131" s="386">
        <f>DATE(2012,1,1)</f>
        <v>40909</v>
      </c>
      <c r="D131" s="387">
        <v>56100</v>
      </c>
      <c r="E131" s="387"/>
      <c r="F131" s="387">
        <f t="shared" si="51"/>
        <v>2805</v>
      </c>
      <c r="H131" s="377">
        <f t="shared" si="54"/>
        <v>2805</v>
      </c>
      <c r="I131" s="388">
        <v>5</v>
      </c>
      <c r="J131" s="388"/>
      <c r="L131" s="389"/>
      <c r="M131" s="389"/>
      <c r="N131" s="389"/>
      <c r="O131" s="389"/>
      <c r="P131" s="389"/>
      <c r="Q131" s="389"/>
      <c r="R131" s="389"/>
      <c r="S131" s="389"/>
      <c r="T131" s="389"/>
      <c r="U131" s="389"/>
      <c r="V131" s="389"/>
      <c r="W131" s="389"/>
      <c r="X131" s="389"/>
      <c r="Y131" s="389"/>
      <c r="Z131" s="389"/>
      <c r="AA131" s="389"/>
      <c r="AB131" s="389"/>
      <c r="AC131" s="389"/>
      <c r="AD131" s="389">
        <v>0</v>
      </c>
      <c r="AE131" s="389">
        <v>0</v>
      </c>
      <c r="AF131" s="389">
        <v>0</v>
      </c>
      <c r="AG131" s="389"/>
      <c r="AH131" s="389"/>
      <c r="AI131" s="389">
        <f t="shared" si="55"/>
        <v>2805</v>
      </c>
      <c r="AJ131" s="389">
        <f t="shared" si="55"/>
        <v>2805</v>
      </c>
      <c r="AK131" s="389">
        <f t="shared" si="55"/>
        <v>2805</v>
      </c>
    </row>
    <row r="132" spans="1:37" s="377" customFormat="1">
      <c r="B132" s="377" t="s">
        <v>952</v>
      </c>
      <c r="C132" s="386">
        <f>DATE(2011,1,1)</f>
        <v>40544</v>
      </c>
      <c r="D132" s="387">
        <v>89692.160000000003</v>
      </c>
      <c r="E132" s="387"/>
      <c r="F132" s="387">
        <f t="shared" si="51"/>
        <v>8969.2160000000003</v>
      </c>
      <c r="H132" s="377">
        <f t="shared" si="54"/>
        <v>8969.2160000000003</v>
      </c>
      <c r="I132" s="388">
        <v>5</v>
      </c>
      <c r="J132" s="388"/>
      <c r="L132" s="389"/>
      <c r="M132" s="389"/>
      <c r="N132" s="389"/>
      <c r="O132" s="389"/>
      <c r="P132" s="389"/>
      <c r="Q132" s="389"/>
      <c r="R132" s="389"/>
      <c r="S132" s="389"/>
      <c r="T132" s="389"/>
      <c r="U132" s="389"/>
      <c r="V132" s="389"/>
      <c r="W132" s="389"/>
      <c r="X132" s="389"/>
      <c r="Y132" s="389"/>
      <c r="Z132" s="389"/>
      <c r="AA132" s="389"/>
      <c r="AB132" s="389"/>
      <c r="AC132" s="389"/>
      <c r="AD132" s="389">
        <v>0</v>
      </c>
      <c r="AE132" s="389">
        <v>0</v>
      </c>
      <c r="AF132" s="389">
        <v>0</v>
      </c>
      <c r="AG132" s="389"/>
      <c r="AH132" s="389">
        <f>SUM($D132*$I132)/100</f>
        <v>4484.6080000000002</v>
      </c>
      <c r="AI132" s="389">
        <f t="shared" si="55"/>
        <v>4484.6080000000002</v>
      </c>
      <c r="AJ132" s="389">
        <f t="shared" si="55"/>
        <v>4484.6080000000002</v>
      </c>
      <c r="AK132" s="389">
        <f t="shared" si="55"/>
        <v>4484.6080000000002</v>
      </c>
    </row>
    <row r="133" spans="1:37" s="377" customFormat="1">
      <c r="B133" s="377" t="s">
        <v>951</v>
      </c>
      <c r="C133" s="386">
        <f>DATE(2012,1,1)</f>
        <v>40909</v>
      </c>
      <c r="D133" s="387">
        <v>22000</v>
      </c>
      <c r="E133" s="387"/>
      <c r="F133" s="387">
        <f t="shared" si="51"/>
        <v>1100</v>
      </c>
      <c r="H133" s="377">
        <f t="shared" si="54"/>
        <v>1100</v>
      </c>
      <c r="I133" s="388">
        <v>5</v>
      </c>
      <c r="J133" s="388"/>
      <c r="L133" s="389"/>
      <c r="M133" s="389"/>
      <c r="N133" s="389"/>
      <c r="O133" s="389"/>
      <c r="P133" s="389"/>
      <c r="Q133" s="389"/>
      <c r="R133" s="389"/>
      <c r="S133" s="389"/>
      <c r="T133" s="389"/>
      <c r="U133" s="389"/>
      <c r="V133" s="389"/>
      <c r="W133" s="389"/>
      <c r="X133" s="389"/>
      <c r="Y133" s="389"/>
      <c r="Z133" s="389"/>
      <c r="AA133" s="389"/>
      <c r="AB133" s="389"/>
      <c r="AC133" s="389"/>
      <c r="AD133" s="389">
        <v>0</v>
      </c>
      <c r="AE133" s="389">
        <v>0</v>
      </c>
      <c r="AF133" s="389">
        <v>0</v>
      </c>
      <c r="AG133" s="389"/>
      <c r="AH133" s="389"/>
      <c r="AI133" s="389">
        <f t="shared" si="55"/>
        <v>1100</v>
      </c>
      <c r="AJ133" s="389">
        <f t="shared" si="55"/>
        <v>1100</v>
      </c>
      <c r="AK133" s="389">
        <f t="shared" si="55"/>
        <v>1100</v>
      </c>
    </row>
    <row r="134" spans="1:37" s="377" customFormat="1">
      <c r="B134" s="377" t="s">
        <v>950</v>
      </c>
      <c r="C134" s="386">
        <f>DATE(2006,1,1)</f>
        <v>38718</v>
      </c>
      <c r="D134" s="387">
        <v>3485.64</v>
      </c>
      <c r="E134" s="387"/>
      <c r="F134" s="387">
        <f t="shared" si="51"/>
        <v>2439.9479999999999</v>
      </c>
      <c r="H134" s="377">
        <f t="shared" si="54"/>
        <v>2439.9479999999999</v>
      </c>
      <c r="I134" s="388">
        <v>10</v>
      </c>
      <c r="J134" s="388"/>
      <c r="L134" s="389"/>
      <c r="M134" s="389"/>
      <c r="N134" s="389"/>
      <c r="O134" s="389"/>
      <c r="P134" s="389"/>
      <c r="Q134" s="389"/>
      <c r="R134" s="389"/>
      <c r="S134" s="389"/>
      <c r="T134" s="389"/>
      <c r="U134" s="389">
        <v>0</v>
      </c>
      <c r="V134" s="389">
        <v>0</v>
      </c>
      <c r="W134" s="389">
        <v>0</v>
      </c>
      <c r="X134" s="389">
        <v>0</v>
      </c>
      <c r="Y134" s="389">
        <v>0</v>
      </c>
      <c r="Z134" s="389">
        <v>0</v>
      </c>
      <c r="AA134" s="389">
        <v>0</v>
      </c>
      <c r="AB134" s="389">
        <v>0</v>
      </c>
      <c r="AC134" s="389">
        <f t="shared" ref="AC134:AH134" si="56">SUM($D134*$I134)/100</f>
        <v>348.56400000000002</v>
      </c>
      <c r="AD134" s="389">
        <f t="shared" si="56"/>
        <v>348.56400000000002</v>
      </c>
      <c r="AE134" s="389">
        <f t="shared" si="56"/>
        <v>348.56400000000002</v>
      </c>
      <c r="AF134" s="389">
        <f t="shared" si="56"/>
        <v>348.56400000000002</v>
      </c>
      <c r="AG134" s="389">
        <f t="shared" si="56"/>
        <v>348.56400000000002</v>
      </c>
      <c r="AH134" s="389">
        <f t="shared" si="56"/>
        <v>348.56400000000002</v>
      </c>
      <c r="AI134" s="389">
        <f t="shared" si="55"/>
        <v>348.56400000000002</v>
      </c>
      <c r="AJ134" s="389">
        <f t="shared" si="55"/>
        <v>348.56400000000002</v>
      </c>
      <c r="AK134" s="389">
        <f t="shared" si="55"/>
        <v>348.56400000000002</v>
      </c>
    </row>
    <row r="135" spans="1:37" s="377" customFormat="1">
      <c r="B135" s="377" t="s">
        <v>949</v>
      </c>
      <c r="C135" s="401">
        <v>1957</v>
      </c>
      <c r="D135" s="380">
        <v>17514.62</v>
      </c>
      <c r="E135" s="380"/>
      <c r="F135" s="379">
        <f>G135+H135</f>
        <v>17514.62</v>
      </c>
      <c r="G135" s="380">
        <v>17514.62</v>
      </c>
      <c r="H135" s="377">
        <f t="shared" si="54"/>
        <v>0</v>
      </c>
      <c r="I135" s="381">
        <v>5</v>
      </c>
      <c r="J135" s="381"/>
      <c r="K135" s="382">
        <v>0</v>
      </c>
      <c r="L135" s="382">
        <v>0</v>
      </c>
      <c r="M135" s="382">
        <v>0</v>
      </c>
      <c r="N135" s="382">
        <v>0</v>
      </c>
      <c r="O135" s="382"/>
      <c r="P135" s="382"/>
      <c r="Q135" s="379"/>
      <c r="R135" s="379"/>
      <c r="S135" s="379"/>
      <c r="T135" s="379"/>
      <c r="U135" s="379"/>
      <c r="V135" s="379"/>
      <c r="W135" s="379"/>
      <c r="X135" s="379"/>
      <c r="Y135" s="379"/>
      <c r="Z135" s="379"/>
      <c r="AA135" s="379"/>
      <c r="AB135" s="379"/>
      <c r="AC135" s="379"/>
      <c r="AD135" s="379"/>
      <c r="AE135" s="379"/>
      <c r="AF135" s="379"/>
      <c r="AG135" s="379">
        <v>0</v>
      </c>
      <c r="AH135" s="379">
        <v>0</v>
      </c>
      <c r="AI135" s="379">
        <v>0</v>
      </c>
      <c r="AJ135" s="379">
        <v>0</v>
      </c>
      <c r="AK135" s="379">
        <v>0</v>
      </c>
    </row>
    <row r="136" spans="1:37" s="377" customFormat="1">
      <c r="D136" s="387">
        <f>SUM(D124:D135)</f>
        <v>654046.87</v>
      </c>
      <c r="E136" s="387">
        <f>F136+AJ136</f>
        <v>184780.21400000001</v>
      </c>
      <c r="F136" s="387">
        <f>SUM(F124:F135)</f>
        <v>155801.9675</v>
      </c>
      <c r="G136" s="387">
        <f>SUM(G124:G135)</f>
        <v>29025.839999999997</v>
      </c>
      <c r="H136" s="377">
        <f t="shared" si="54"/>
        <v>194943.0655</v>
      </c>
      <c r="I136" s="388"/>
      <c r="J136" s="388"/>
      <c r="K136" s="387">
        <f t="shared" ref="K136:AH136" si="57">SUM(K91:K135)</f>
        <v>2866.0259999999998</v>
      </c>
      <c r="L136" s="387">
        <f t="shared" si="57"/>
        <v>2866.0259999999998</v>
      </c>
      <c r="M136" s="387">
        <f t="shared" si="57"/>
        <v>2866.0259999999998</v>
      </c>
      <c r="N136" s="387">
        <f t="shared" si="57"/>
        <v>2450.366</v>
      </c>
      <c r="O136" s="387">
        <f t="shared" si="57"/>
        <v>2450.366</v>
      </c>
      <c r="P136" s="387">
        <f t="shared" si="57"/>
        <v>2664.7460000000001</v>
      </c>
      <c r="Q136" s="387">
        <f t="shared" si="57"/>
        <v>2027.1259999999997</v>
      </c>
      <c r="R136" s="387">
        <f t="shared" si="57"/>
        <v>1498.3759999999997</v>
      </c>
      <c r="S136" s="387">
        <f t="shared" si="57"/>
        <v>1498.3959999999997</v>
      </c>
      <c r="T136" s="387">
        <f t="shared" si="57"/>
        <v>2012.1399999999999</v>
      </c>
      <c r="U136" s="387">
        <f t="shared" si="57"/>
        <v>2012.1399999999999</v>
      </c>
      <c r="V136" s="387">
        <f t="shared" si="57"/>
        <v>2012.1399999999999</v>
      </c>
      <c r="W136" s="387">
        <f t="shared" si="57"/>
        <v>3441.3409999999999</v>
      </c>
      <c r="X136" s="387">
        <f t="shared" si="57"/>
        <v>8117.41</v>
      </c>
      <c r="Y136" s="387">
        <f t="shared" si="57"/>
        <v>8649.91</v>
      </c>
      <c r="Z136" s="387">
        <f t="shared" si="57"/>
        <v>5941.6549999999997</v>
      </c>
      <c r="AA136" s="387">
        <f t="shared" si="57"/>
        <v>4662.6450000000004</v>
      </c>
      <c r="AB136" s="387">
        <f t="shared" si="57"/>
        <v>5205.4670000000006</v>
      </c>
      <c r="AC136" s="387">
        <f t="shared" si="57"/>
        <v>5554.0070000000005</v>
      </c>
      <c r="AD136" s="387">
        <f t="shared" si="57"/>
        <v>7197.0029999999997</v>
      </c>
      <c r="AE136" s="387">
        <f t="shared" si="57"/>
        <v>7197.0029999999997</v>
      </c>
      <c r="AF136" s="387">
        <f t="shared" si="57"/>
        <v>7197.0029999999997</v>
      </c>
      <c r="AG136" s="387">
        <f t="shared" si="57"/>
        <v>36532.8465</v>
      </c>
      <c r="AH136" s="387">
        <f t="shared" si="57"/>
        <v>39044.654499999997</v>
      </c>
      <c r="AI136" s="387">
        <f>SUM(AI124:AI135)</f>
        <v>28978.246499999997</v>
      </c>
      <c r="AJ136" s="387">
        <f>SUM(AJ124:AJ135)</f>
        <v>28978.246499999997</v>
      </c>
      <c r="AK136" s="387">
        <f>SUM(AK124:AK135)</f>
        <v>28978.246499999997</v>
      </c>
    </row>
    <row r="137" spans="1:37" s="377" customFormat="1">
      <c r="I137" s="388"/>
      <c r="J137" s="388"/>
    </row>
    <row r="138" spans="1:37" s="377" customFormat="1">
      <c r="B138" s="402" t="s">
        <v>948</v>
      </c>
      <c r="I138" s="388"/>
      <c r="J138" s="388"/>
    </row>
    <row r="139" spans="1:37" s="377" customFormat="1">
      <c r="A139" s="377" t="s">
        <v>947</v>
      </c>
      <c r="D139" s="387"/>
      <c r="E139" s="387"/>
      <c r="G139" s="387"/>
      <c r="I139" s="388"/>
      <c r="J139" s="388"/>
      <c r="K139" s="389"/>
      <c r="L139" s="389"/>
      <c r="M139" s="389"/>
      <c r="N139" s="389"/>
      <c r="O139" s="389"/>
      <c r="P139" s="389"/>
    </row>
    <row r="140" spans="1:37" s="377" customFormat="1">
      <c r="B140" s="377" t="s">
        <v>946</v>
      </c>
      <c r="D140" s="387">
        <v>16628.39</v>
      </c>
      <c r="E140" s="387"/>
      <c r="F140" s="377">
        <f t="shared" ref="F140:F155" si="58">G140+H140</f>
        <v>16628.393499999998</v>
      </c>
      <c r="G140" s="387">
        <v>5404.23</v>
      </c>
      <c r="H140" s="377">
        <f t="shared" ref="H140:H159" si="59">SUM(K140:AI140)</f>
        <v>11224.163499999999</v>
      </c>
      <c r="I140" s="388">
        <v>5</v>
      </c>
      <c r="J140" s="388"/>
      <c r="K140" s="389">
        <f t="shared" ref="K140:W145" si="60">SUM($D140*$I140)/100</f>
        <v>831.41949999999997</v>
      </c>
      <c r="L140" s="389">
        <f t="shared" si="60"/>
        <v>831.41949999999997</v>
      </c>
      <c r="M140" s="389">
        <f t="shared" si="60"/>
        <v>831.41949999999997</v>
      </c>
      <c r="N140" s="389">
        <f t="shared" si="60"/>
        <v>831.41949999999997</v>
      </c>
      <c r="O140" s="389">
        <f t="shared" si="60"/>
        <v>831.41949999999997</v>
      </c>
      <c r="P140" s="389">
        <f t="shared" si="60"/>
        <v>831.41949999999997</v>
      </c>
      <c r="Q140" s="389">
        <f t="shared" si="60"/>
        <v>831.41949999999997</v>
      </c>
      <c r="R140" s="389">
        <f t="shared" si="60"/>
        <v>831.41949999999997</v>
      </c>
      <c r="S140" s="389">
        <f t="shared" si="60"/>
        <v>831.41949999999997</v>
      </c>
      <c r="T140" s="389">
        <f t="shared" si="60"/>
        <v>831.41949999999997</v>
      </c>
      <c r="U140" s="389">
        <f t="shared" si="60"/>
        <v>831.41949999999997</v>
      </c>
      <c r="V140" s="389">
        <f t="shared" si="60"/>
        <v>831.41949999999997</v>
      </c>
      <c r="W140" s="389">
        <f t="shared" si="60"/>
        <v>831.41949999999997</v>
      </c>
      <c r="X140" s="389">
        <v>415.71</v>
      </c>
      <c r="Y140" s="389">
        <v>0</v>
      </c>
      <c r="Z140" s="389">
        <v>0</v>
      </c>
      <c r="AA140" s="389">
        <v>0</v>
      </c>
      <c r="AB140" s="389">
        <v>0</v>
      </c>
      <c r="AC140" s="389">
        <v>0</v>
      </c>
      <c r="AD140" s="389">
        <v>0</v>
      </c>
      <c r="AE140" s="389">
        <v>0</v>
      </c>
      <c r="AF140" s="389">
        <v>0</v>
      </c>
      <c r="AG140" s="389">
        <v>0</v>
      </c>
      <c r="AH140" s="389">
        <v>0</v>
      </c>
      <c r="AI140" s="389">
        <v>0</v>
      </c>
      <c r="AJ140" s="389">
        <v>0</v>
      </c>
      <c r="AK140" s="389">
        <v>0</v>
      </c>
    </row>
    <row r="141" spans="1:37" s="377" customFormat="1">
      <c r="B141" s="377" t="s">
        <v>945</v>
      </c>
      <c r="D141" s="387">
        <v>142330.21</v>
      </c>
      <c r="E141" s="387"/>
      <c r="F141" s="377">
        <f t="shared" si="58"/>
        <v>142330.20649999997</v>
      </c>
      <c r="G141" s="387">
        <v>38940.81</v>
      </c>
      <c r="H141" s="377">
        <f t="shared" si="59"/>
        <v>103389.39649999999</v>
      </c>
      <c r="I141" s="388">
        <v>5</v>
      </c>
      <c r="J141" s="388"/>
      <c r="K141" s="389">
        <f t="shared" si="60"/>
        <v>7116.5104999999994</v>
      </c>
      <c r="L141" s="389">
        <f t="shared" si="60"/>
        <v>7116.5104999999994</v>
      </c>
      <c r="M141" s="389">
        <f t="shared" si="60"/>
        <v>7116.5104999999994</v>
      </c>
      <c r="N141" s="389">
        <f t="shared" si="60"/>
        <v>7116.5104999999994</v>
      </c>
      <c r="O141" s="389">
        <f t="shared" si="60"/>
        <v>7116.5104999999994</v>
      </c>
      <c r="P141" s="389">
        <f t="shared" si="60"/>
        <v>7116.5104999999994</v>
      </c>
      <c r="Q141" s="389">
        <f t="shared" si="60"/>
        <v>7116.5104999999994</v>
      </c>
      <c r="R141" s="389">
        <f t="shared" si="60"/>
        <v>7116.5104999999994</v>
      </c>
      <c r="S141" s="389">
        <f t="shared" si="60"/>
        <v>7116.5104999999994</v>
      </c>
      <c r="T141" s="389">
        <f t="shared" si="60"/>
        <v>7116.5104999999994</v>
      </c>
      <c r="U141" s="389">
        <f t="shared" si="60"/>
        <v>7116.5104999999994</v>
      </c>
      <c r="V141" s="389">
        <f t="shared" si="60"/>
        <v>7116.5104999999994</v>
      </c>
      <c r="W141" s="389">
        <f t="shared" si="60"/>
        <v>7116.5104999999994</v>
      </c>
      <c r="X141" s="389">
        <v>7116.51</v>
      </c>
      <c r="Y141" s="389">
        <v>3758.25</v>
      </c>
      <c r="Z141" s="389">
        <v>0</v>
      </c>
      <c r="AA141" s="389">
        <v>0</v>
      </c>
      <c r="AB141" s="389">
        <v>0</v>
      </c>
      <c r="AC141" s="389">
        <v>0</v>
      </c>
      <c r="AD141" s="389">
        <v>0</v>
      </c>
      <c r="AE141" s="389">
        <v>0</v>
      </c>
      <c r="AF141" s="389">
        <v>0</v>
      </c>
      <c r="AG141" s="389">
        <v>0</v>
      </c>
      <c r="AH141" s="389">
        <v>0</v>
      </c>
      <c r="AI141" s="389">
        <v>0</v>
      </c>
      <c r="AJ141" s="389">
        <v>0</v>
      </c>
      <c r="AK141" s="389">
        <v>0</v>
      </c>
    </row>
    <row r="142" spans="1:37" s="377" customFormat="1">
      <c r="A142" s="377" t="s">
        <v>171</v>
      </c>
      <c r="B142" s="377" t="s">
        <v>944</v>
      </c>
      <c r="D142" s="387">
        <v>9820.65</v>
      </c>
      <c r="E142" s="387"/>
      <c r="F142" s="377">
        <f t="shared" si="58"/>
        <v>9820.652500000002</v>
      </c>
      <c r="G142" s="387">
        <v>2209.64</v>
      </c>
      <c r="H142" s="377">
        <f t="shared" si="59"/>
        <v>7611.0125000000016</v>
      </c>
      <c r="I142" s="388">
        <v>5</v>
      </c>
      <c r="J142" s="388"/>
      <c r="K142" s="389">
        <f t="shared" si="60"/>
        <v>491.03250000000003</v>
      </c>
      <c r="L142" s="389">
        <f t="shared" si="60"/>
        <v>491.03250000000003</v>
      </c>
      <c r="M142" s="389">
        <f t="shared" si="60"/>
        <v>491.03250000000003</v>
      </c>
      <c r="N142" s="389">
        <f t="shared" si="60"/>
        <v>491.03250000000003</v>
      </c>
      <c r="O142" s="389">
        <f t="shared" si="60"/>
        <v>491.03250000000003</v>
      </c>
      <c r="P142" s="389">
        <f t="shared" si="60"/>
        <v>491.03250000000003</v>
      </c>
      <c r="Q142" s="389">
        <f t="shared" si="60"/>
        <v>491.03250000000003</v>
      </c>
      <c r="R142" s="389">
        <f t="shared" si="60"/>
        <v>491.03250000000003</v>
      </c>
      <c r="S142" s="389">
        <f t="shared" si="60"/>
        <v>491.03250000000003</v>
      </c>
      <c r="T142" s="389">
        <f t="shared" si="60"/>
        <v>491.03250000000003</v>
      </c>
      <c r="U142" s="389">
        <f t="shared" si="60"/>
        <v>491.03250000000003</v>
      </c>
      <c r="V142" s="389">
        <f t="shared" si="60"/>
        <v>491.03250000000003</v>
      </c>
      <c r="W142" s="389">
        <f t="shared" si="60"/>
        <v>491.03250000000003</v>
      </c>
      <c r="X142" s="389">
        <v>491.03</v>
      </c>
      <c r="Y142" s="389">
        <v>491.08</v>
      </c>
      <c r="Z142" s="389">
        <f>245.53-0.05</f>
        <v>245.48</v>
      </c>
      <c r="AA142" s="389">
        <v>0</v>
      </c>
      <c r="AB142" s="389">
        <v>0</v>
      </c>
      <c r="AC142" s="389">
        <v>0</v>
      </c>
      <c r="AD142" s="389">
        <v>0</v>
      </c>
      <c r="AE142" s="389">
        <v>0</v>
      </c>
      <c r="AF142" s="389">
        <v>0</v>
      </c>
      <c r="AG142" s="389">
        <v>0</v>
      </c>
      <c r="AH142" s="389">
        <v>0</v>
      </c>
      <c r="AI142" s="389">
        <v>0</v>
      </c>
      <c r="AJ142" s="389">
        <v>0</v>
      </c>
      <c r="AK142" s="389">
        <v>0</v>
      </c>
    </row>
    <row r="143" spans="1:37" s="377" customFormat="1">
      <c r="B143" s="377" t="s">
        <v>943</v>
      </c>
      <c r="D143" s="387">
        <v>283425.93</v>
      </c>
      <c r="E143" s="387"/>
      <c r="F143" s="377">
        <f t="shared" si="58"/>
        <v>225323.62169999993</v>
      </c>
      <c r="G143" s="387">
        <v>12754.17</v>
      </c>
      <c r="H143" s="377">
        <f t="shared" si="59"/>
        <v>212569.45169999992</v>
      </c>
      <c r="I143" s="388">
        <v>3</v>
      </c>
      <c r="J143" s="388"/>
      <c r="K143" s="389">
        <f t="shared" si="60"/>
        <v>8502.777900000001</v>
      </c>
      <c r="L143" s="389">
        <f t="shared" si="60"/>
        <v>8502.777900000001</v>
      </c>
      <c r="M143" s="389">
        <f t="shared" si="60"/>
        <v>8502.777900000001</v>
      </c>
      <c r="N143" s="389">
        <f t="shared" si="60"/>
        <v>8502.777900000001</v>
      </c>
      <c r="O143" s="389">
        <f t="shared" si="60"/>
        <v>8502.777900000001</v>
      </c>
      <c r="P143" s="389">
        <f t="shared" si="60"/>
        <v>8502.777900000001</v>
      </c>
      <c r="Q143" s="389">
        <f t="shared" si="60"/>
        <v>8502.777900000001</v>
      </c>
      <c r="R143" s="389">
        <f t="shared" si="60"/>
        <v>8502.777900000001</v>
      </c>
      <c r="S143" s="389">
        <f t="shared" si="60"/>
        <v>8502.777900000001</v>
      </c>
      <c r="T143" s="389">
        <f t="shared" si="60"/>
        <v>8502.777900000001</v>
      </c>
      <c r="U143" s="389">
        <f t="shared" si="60"/>
        <v>8502.777900000001</v>
      </c>
      <c r="V143" s="389">
        <f t="shared" si="60"/>
        <v>8502.777900000001</v>
      </c>
      <c r="W143" s="389">
        <f t="shared" si="60"/>
        <v>8502.777900000001</v>
      </c>
      <c r="X143" s="389">
        <v>8502.7800000000007</v>
      </c>
      <c r="Y143" s="389">
        <v>8502.7800000000007</v>
      </c>
      <c r="Z143" s="389">
        <f t="shared" ref="Z143:AK145" si="61">SUM($D143*$I143)/100</f>
        <v>8502.777900000001</v>
      </c>
      <c r="AA143" s="389">
        <f t="shared" si="61"/>
        <v>8502.777900000001</v>
      </c>
      <c r="AB143" s="389">
        <f t="shared" si="61"/>
        <v>8502.777900000001</v>
      </c>
      <c r="AC143" s="389">
        <f t="shared" si="61"/>
        <v>8502.777900000001</v>
      </c>
      <c r="AD143" s="389">
        <f t="shared" si="61"/>
        <v>8502.777900000001</v>
      </c>
      <c r="AE143" s="389">
        <f t="shared" si="61"/>
        <v>8502.777900000001</v>
      </c>
      <c r="AF143" s="389">
        <f t="shared" si="61"/>
        <v>8502.777900000001</v>
      </c>
      <c r="AG143" s="389">
        <f t="shared" si="61"/>
        <v>8502.777900000001</v>
      </c>
      <c r="AH143" s="389">
        <f t="shared" si="61"/>
        <v>8502.777900000001</v>
      </c>
      <c r="AI143" s="389">
        <f t="shared" si="61"/>
        <v>8502.777900000001</v>
      </c>
      <c r="AJ143" s="389">
        <f t="shared" si="61"/>
        <v>8502.777900000001</v>
      </c>
      <c r="AK143" s="389">
        <f t="shared" si="61"/>
        <v>8502.777900000001</v>
      </c>
    </row>
    <row r="144" spans="1:37" s="377" customFormat="1">
      <c r="B144" s="377" t="s">
        <v>942</v>
      </c>
      <c r="D144" s="387">
        <v>423892</v>
      </c>
      <c r="E144" s="387"/>
      <c r="F144" s="377">
        <f t="shared" si="58"/>
        <v>336994.14000000013</v>
      </c>
      <c r="G144" s="387">
        <v>19075.14</v>
      </c>
      <c r="H144" s="377">
        <f t="shared" si="59"/>
        <v>317919.00000000012</v>
      </c>
      <c r="I144" s="388">
        <v>3</v>
      </c>
      <c r="J144" s="388"/>
      <c r="K144" s="389">
        <f t="shared" si="60"/>
        <v>12716.76</v>
      </c>
      <c r="L144" s="389">
        <f t="shared" si="60"/>
        <v>12716.76</v>
      </c>
      <c r="M144" s="389">
        <f t="shared" si="60"/>
        <v>12716.76</v>
      </c>
      <c r="N144" s="389">
        <f t="shared" si="60"/>
        <v>12716.76</v>
      </c>
      <c r="O144" s="389">
        <f t="shared" si="60"/>
        <v>12716.76</v>
      </c>
      <c r="P144" s="389">
        <f t="shared" si="60"/>
        <v>12716.76</v>
      </c>
      <c r="Q144" s="389">
        <f t="shared" si="60"/>
        <v>12716.76</v>
      </c>
      <c r="R144" s="389">
        <f t="shared" si="60"/>
        <v>12716.76</v>
      </c>
      <c r="S144" s="389">
        <f t="shared" si="60"/>
        <v>12716.76</v>
      </c>
      <c r="T144" s="389">
        <f t="shared" si="60"/>
        <v>12716.76</v>
      </c>
      <c r="U144" s="389">
        <f t="shared" si="60"/>
        <v>12716.76</v>
      </c>
      <c r="V144" s="389">
        <f t="shared" si="60"/>
        <v>12716.76</v>
      </c>
      <c r="W144" s="389">
        <f t="shared" si="60"/>
        <v>12716.76</v>
      </c>
      <c r="X144" s="389">
        <v>12716.76</v>
      </c>
      <c r="Y144" s="389">
        <v>12716.76</v>
      </c>
      <c r="Z144" s="389">
        <f t="shared" si="61"/>
        <v>12716.76</v>
      </c>
      <c r="AA144" s="389">
        <f t="shared" si="61"/>
        <v>12716.76</v>
      </c>
      <c r="AB144" s="389">
        <f t="shared" si="61"/>
        <v>12716.76</v>
      </c>
      <c r="AC144" s="389">
        <f t="shared" si="61"/>
        <v>12716.76</v>
      </c>
      <c r="AD144" s="389">
        <f t="shared" si="61"/>
        <v>12716.76</v>
      </c>
      <c r="AE144" s="389">
        <f t="shared" si="61"/>
        <v>12716.76</v>
      </c>
      <c r="AF144" s="389">
        <f t="shared" si="61"/>
        <v>12716.76</v>
      </c>
      <c r="AG144" s="389">
        <f t="shared" si="61"/>
        <v>12716.76</v>
      </c>
      <c r="AH144" s="389">
        <f t="shared" si="61"/>
        <v>12716.76</v>
      </c>
      <c r="AI144" s="389">
        <f t="shared" si="61"/>
        <v>12716.76</v>
      </c>
      <c r="AJ144" s="389">
        <f t="shared" si="61"/>
        <v>12716.76</v>
      </c>
      <c r="AK144" s="389">
        <f t="shared" si="61"/>
        <v>12716.76</v>
      </c>
    </row>
    <row r="145" spans="2:37" s="377" customFormat="1">
      <c r="B145" s="377" t="s">
        <v>941</v>
      </c>
      <c r="D145" s="387">
        <v>2119460</v>
      </c>
      <c r="E145" s="387"/>
      <c r="F145" s="377">
        <f t="shared" si="58"/>
        <v>1684970.7000000007</v>
      </c>
      <c r="G145" s="387">
        <v>95375.7</v>
      </c>
      <c r="H145" s="377">
        <f t="shared" si="59"/>
        <v>1589595.0000000007</v>
      </c>
      <c r="I145" s="388">
        <v>3</v>
      </c>
      <c r="J145" s="388"/>
      <c r="K145" s="389">
        <f t="shared" si="60"/>
        <v>63583.8</v>
      </c>
      <c r="L145" s="389">
        <f t="shared" si="60"/>
        <v>63583.8</v>
      </c>
      <c r="M145" s="389">
        <f t="shared" si="60"/>
        <v>63583.8</v>
      </c>
      <c r="N145" s="389">
        <f t="shared" si="60"/>
        <v>63583.8</v>
      </c>
      <c r="O145" s="389">
        <f t="shared" si="60"/>
        <v>63583.8</v>
      </c>
      <c r="P145" s="389">
        <f t="shared" si="60"/>
        <v>63583.8</v>
      </c>
      <c r="Q145" s="389">
        <f t="shared" si="60"/>
        <v>63583.8</v>
      </c>
      <c r="R145" s="389">
        <f t="shared" si="60"/>
        <v>63583.8</v>
      </c>
      <c r="S145" s="389">
        <f t="shared" si="60"/>
        <v>63583.8</v>
      </c>
      <c r="T145" s="389">
        <f t="shared" si="60"/>
        <v>63583.8</v>
      </c>
      <c r="U145" s="389">
        <f t="shared" si="60"/>
        <v>63583.8</v>
      </c>
      <c r="V145" s="389">
        <f t="shared" si="60"/>
        <v>63583.8</v>
      </c>
      <c r="W145" s="389">
        <f t="shared" si="60"/>
        <v>63583.8</v>
      </c>
      <c r="X145" s="389">
        <v>63583.8</v>
      </c>
      <c r="Y145" s="389">
        <v>63583.8</v>
      </c>
      <c r="Z145" s="389">
        <f t="shared" si="61"/>
        <v>63583.8</v>
      </c>
      <c r="AA145" s="389">
        <f t="shared" si="61"/>
        <v>63583.8</v>
      </c>
      <c r="AB145" s="389">
        <f t="shared" si="61"/>
        <v>63583.8</v>
      </c>
      <c r="AC145" s="389">
        <f t="shared" si="61"/>
        <v>63583.8</v>
      </c>
      <c r="AD145" s="389">
        <f t="shared" si="61"/>
        <v>63583.8</v>
      </c>
      <c r="AE145" s="389">
        <f t="shared" si="61"/>
        <v>63583.8</v>
      </c>
      <c r="AF145" s="389">
        <f t="shared" si="61"/>
        <v>63583.8</v>
      </c>
      <c r="AG145" s="389">
        <f t="shared" si="61"/>
        <v>63583.8</v>
      </c>
      <c r="AH145" s="389">
        <f t="shared" si="61"/>
        <v>63583.8</v>
      </c>
      <c r="AI145" s="389">
        <f t="shared" si="61"/>
        <v>63583.8</v>
      </c>
      <c r="AJ145" s="389">
        <f t="shared" si="61"/>
        <v>63583.8</v>
      </c>
      <c r="AK145" s="389">
        <f t="shared" si="61"/>
        <v>63583.8</v>
      </c>
    </row>
    <row r="146" spans="2:37" s="377" customFormat="1">
      <c r="B146" s="403" t="s">
        <v>940</v>
      </c>
      <c r="D146" s="387">
        <v>4102297.31</v>
      </c>
      <c r="E146" s="387"/>
      <c r="F146" s="377">
        <f t="shared" si="58"/>
        <v>984551.35439999984</v>
      </c>
      <c r="G146" s="387"/>
      <c r="H146" s="377">
        <f t="shared" si="59"/>
        <v>984551.35439999984</v>
      </c>
      <c r="I146" s="388">
        <v>3</v>
      </c>
      <c r="J146" s="388"/>
      <c r="K146" s="389"/>
      <c r="L146" s="389"/>
      <c r="M146" s="389"/>
      <c r="N146" s="389"/>
      <c r="O146" s="389"/>
      <c r="P146" s="389"/>
      <c r="Q146" s="389"/>
      <c r="R146" s="389"/>
      <c r="S146" s="389"/>
      <c r="T146" s="389"/>
      <c r="U146" s="389"/>
      <c r="V146" s="389"/>
      <c r="W146" s="389"/>
      <c r="X146" s="389"/>
      <c r="Y146" s="389"/>
      <c r="Z146" s="389"/>
      <c r="AA146" s="389"/>
      <c r="AB146" s="389">
        <f t="shared" ref="AB146:AK146" si="62">SUM($D146*$I146)/100</f>
        <v>123068.91929999999</v>
      </c>
      <c r="AC146" s="389">
        <f t="shared" si="62"/>
        <v>123068.91929999999</v>
      </c>
      <c r="AD146" s="389">
        <f t="shared" si="62"/>
        <v>123068.91929999999</v>
      </c>
      <c r="AE146" s="389">
        <f t="shared" si="62"/>
        <v>123068.91929999999</v>
      </c>
      <c r="AF146" s="389">
        <f t="shared" si="62"/>
        <v>123068.91929999999</v>
      </c>
      <c r="AG146" s="389">
        <f t="shared" si="62"/>
        <v>123068.91929999999</v>
      </c>
      <c r="AH146" s="389">
        <f t="shared" si="62"/>
        <v>123068.91929999999</v>
      </c>
      <c r="AI146" s="389">
        <f t="shared" si="62"/>
        <v>123068.91929999999</v>
      </c>
      <c r="AJ146" s="389">
        <f t="shared" si="62"/>
        <v>123068.91929999999</v>
      </c>
      <c r="AK146" s="389">
        <f t="shared" si="62"/>
        <v>123068.91929999999</v>
      </c>
    </row>
    <row r="147" spans="2:37" s="377" customFormat="1">
      <c r="B147" s="403" t="s">
        <v>939</v>
      </c>
      <c r="D147" s="387">
        <v>183081.02</v>
      </c>
      <c r="E147" s="387"/>
      <c r="F147" s="377">
        <f t="shared" si="58"/>
        <v>38447.014199999998</v>
      </c>
      <c r="G147" s="387"/>
      <c r="H147" s="377">
        <f t="shared" si="59"/>
        <v>38447.014199999998</v>
      </c>
      <c r="I147" s="388">
        <v>3</v>
      </c>
      <c r="J147" s="388"/>
      <c r="K147" s="389"/>
      <c r="L147" s="389"/>
      <c r="M147" s="389"/>
      <c r="N147" s="389"/>
      <c r="O147" s="389"/>
      <c r="P147" s="389"/>
      <c r="Q147" s="389"/>
      <c r="R147" s="389"/>
      <c r="S147" s="389"/>
      <c r="T147" s="389"/>
      <c r="U147" s="389"/>
      <c r="V147" s="389"/>
      <c r="W147" s="389"/>
      <c r="X147" s="389"/>
      <c r="Y147" s="389"/>
      <c r="Z147" s="389"/>
      <c r="AA147" s="389"/>
      <c r="AB147" s="389">
        <v>0</v>
      </c>
      <c r="AC147" s="389">
        <f t="shared" ref="AC147:AK149" si="63">SUM($D147*$I147)/100</f>
        <v>5492.4305999999997</v>
      </c>
      <c r="AD147" s="389">
        <f t="shared" si="63"/>
        <v>5492.4305999999997</v>
      </c>
      <c r="AE147" s="389">
        <f t="shared" si="63"/>
        <v>5492.4305999999997</v>
      </c>
      <c r="AF147" s="389">
        <f t="shared" si="63"/>
        <v>5492.4305999999997</v>
      </c>
      <c r="AG147" s="389">
        <f t="shared" si="63"/>
        <v>5492.4305999999997</v>
      </c>
      <c r="AH147" s="389">
        <f t="shared" si="63"/>
        <v>5492.4305999999997</v>
      </c>
      <c r="AI147" s="389">
        <f t="shared" si="63"/>
        <v>5492.4305999999997</v>
      </c>
      <c r="AJ147" s="389">
        <f t="shared" si="63"/>
        <v>5492.4305999999997</v>
      </c>
      <c r="AK147" s="389">
        <f t="shared" si="63"/>
        <v>5492.4305999999997</v>
      </c>
    </row>
    <row r="148" spans="2:37" s="377" customFormat="1">
      <c r="B148" s="377" t="s">
        <v>938</v>
      </c>
      <c r="C148" s="386">
        <f>DATE(2006,1,1)</f>
        <v>38718</v>
      </c>
      <c r="D148" s="387">
        <v>12484.94</v>
      </c>
      <c r="E148" s="387"/>
      <c r="F148" s="377">
        <f t="shared" si="58"/>
        <v>4369.7290000000012</v>
      </c>
      <c r="G148" s="387"/>
      <c r="H148" s="377">
        <f t="shared" si="59"/>
        <v>4369.7290000000012</v>
      </c>
      <c r="I148" s="388">
        <v>5</v>
      </c>
      <c r="J148" s="388"/>
      <c r="K148" s="389"/>
      <c r="L148" s="389"/>
      <c r="M148" s="389"/>
      <c r="N148" s="389"/>
      <c r="O148" s="389"/>
      <c r="P148" s="389"/>
      <c r="Q148" s="389"/>
      <c r="R148" s="389"/>
      <c r="S148" s="389"/>
      <c r="T148" s="389"/>
      <c r="U148" s="389"/>
      <c r="V148" s="389"/>
      <c r="W148" s="389"/>
      <c r="X148" s="389"/>
      <c r="Y148" s="389"/>
      <c r="Z148" s="389"/>
      <c r="AA148" s="389"/>
      <c r="AB148" s="389">
        <v>0</v>
      </c>
      <c r="AC148" s="389">
        <f t="shared" si="63"/>
        <v>624.24700000000007</v>
      </c>
      <c r="AD148" s="389">
        <f t="shared" si="63"/>
        <v>624.24700000000007</v>
      </c>
      <c r="AE148" s="389">
        <f t="shared" si="63"/>
        <v>624.24700000000007</v>
      </c>
      <c r="AF148" s="389">
        <f t="shared" si="63"/>
        <v>624.24700000000007</v>
      </c>
      <c r="AG148" s="389">
        <f t="shared" si="63"/>
        <v>624.24700000000007</v>
      </c>
      <c r="AH148" s="389">
        <f t="shared" si="63"/>
        <v>624.24700000000007</v>
      </c>
      <c r="AI148" s="389">
        <f t="shared" si="63"/>
        <v>624.24700000000007</v>
      </c>
      <c r="AJ148" s="389">
        <f t="shared" si="63"/>
        <v>624.24700000000007</v>
      </c>
      <c r="AK148" s="389">
        <f t="shared" si="63"/>
        <v>624.24700000000007</v>
      </c>
    </row>
    <row r="149" spans="2:37" s="377" customFormat="1">
      <c r="B149" s="377" t="s">
        <v>937</v>
      </c>
      <c r="C149" s="386">
        <f>DATE(2006,1,1)</f>
        <v>38718</v>
      </c>
      <c r="D149" s="387">
        <v>10089</v>
      </c>
      <c r="E149" s="387"/>
      <c r="F149" s="377">
        <f t="shared" si="58"/>
        <v>3531.1499999999996</v>
      </c>
      <c r="G149" s="387"/>
      <c r="H149" s="377">
        <f t="shared" si="59"/>
        <v>3531.1499999999996</v>
      </c>
      <c r="I149" s="388">
        <v>5</v>
      </c>
      <c r="J149" s="388"/>
      <c r="K149" s="389"/>
      <c r="L149" s="389"/>
      <c r="M149" s="389"/>
      <c r="N149" s="389"/>
      <c r="O149" s="389"/>
      <c r="P149" s="389"/>
      <c r="Q149" s="389"/>
      <c r="R149" s="389"/>
      <c r="S149" s="389"/>
      <c r="T149" s="389"/>
      <c r="U149" s="389"/>
      <c r="V149" s="389"/>
      <c r="W149" s="389"/>
      <c r="X149" s="389"/>
      <c r="Y149" s="389"/>
      <c r="Z149" s="389"/>
      <c r="AA149" s="389"/>
      <c r="AB149" s="389">
        <v>0</v>
      </c>
      <c r="AC149" s="389">
        <f t="shared" si="63"/>
        <v>504.45</v>
      </c>
      <c r="AD149" s="389">
        <f t="shared" si="63"/>
        <v>504.45</v>
      </c>
      <c r="AE149" s="389">
        <f t="shared" si="63"/>
        <v>504.45</v>
      </c>
      <c r="AF149" s="389">
        <f t="shared" si="63"/>
        <v>504.45</v>
      </c>
      <c r="AG149" s="389">
        <f t="shared" si="63"/>
        <v>504.45</v>
      </c>
      <c r="AH149" s="389">
        <f t="shared" si="63"/>
        <v>504.45</v>
      </c>
      <c r="AI149" s="389">
        <f t="shared" si="63"/>
        <v>504.45</v>
      </c>
      <c r="AJ149" s="389">
        <f t="shared" si="63"/>
        <v>504.45</v>
      </c>
      <c r="AK149" s="389">
        <f t="shared" si="63"/>
        <v>504.45</v>
      </c>
    </row>
    <row r="150" spans="2:37" s="377" customFormat="1">
      <c r="B150" s="377" t="s">
        <v>936</v>
      </c>
      <c r="D150" s="377">
        <v>1800</v>
      </c>
      <c r="F150" s="377">
        <f t="shared" si="58"/>
        <v>1800</v>
      </c>
      <c r="H150" s="377">
        <f t="shared" si="59"/>
        <v>1800</v>
      </c>
      <c r="I150" s="388">
        <v>10</v>
      </c>
      <c r="N150" s="389"/>
      <c r="O150" s="389">
        <f t="shared" ref="O150:W150" si="64">SUM($D150*$I150)/100</f>
        <v>180</v>
      </c>
      <c r="P150" s="389">
        <f t="shared" si="64"/>
        <v>180</v>
      </c>
      <c r="Q150" s="389">
        <f t="shared" si="64"/>
        <v>180</v>
      </c>
      <c r="R150" s="389">
        <f t="shared" si="64"/>
        <v>180</v>
      </c>
      <c r="S150" s="389">
        <f t="shared" si="64"/>
        <v>180</v>
      </c>
      <c r="T150" s="389">
        <f t="shared" si="64"/>
        <v>180</v>
      </c>
      <c r="U150" s="389">
        <f t="shared" si="64"/>
        <v>180</v>
      </c>
      <c r="V150" s="389">
        <f t="shared" si="64"/>
        <v>180</v>
      </c>
      <c r="W150" s="389">
        <f t="shared" si="64"/>
        <v>180</v>
      </c>
      <c r="X150" s="389">
        <v>180</v>
      </c>
      <c r="Y150" s="389">
        <v>0</v>
      </c>
      <c r="Z150" s="389">
        <v>0</v>
      </c>
      <c r="AA150" s="389">
        <v>0</v>
      </c>
      <c r="AB150" s="389">
        <v>0</v>
      </c>
      <c r="AC150" s="389">
        <v>0</v>
      </c>
      <c r="AD150" s="389">
        <v>0</v>
      </c>
      <c r="AE150" s="389">
        <v>0</v>
      </c>
      <c r="AF150" s="389">
        <v>0</v>
      </c>
      <c r="AG150" s="389">
        <v>0</v>
      </c>
      <c r="AH150" s="389">
        <v>0</v>
      </c>
      <c r="AI150" s="389">
        <v>0</v>
      </c>
      <c r="AJ150" s="389">
        <v>0</v>
      </c>
      <c r="AK150" s="389">
        <v>0</v>
      </c>
    </row>
    <row r="151" spans="2:37" s="377" customFormat="1">
      <c r="B151" s="377" t="s">
        <v>935</v>
      </c>
      <c r="C151" s="386">
        <f>DATE(97,9,1)</f>
        <v>35674</v>
      </c>
      <c r="D151" s="377">
        <v>49210.69</v>
      </c>
      <c r="F151" s="377">
        <f t="shared" si="58"/>
        <v>49210.689599999991</v>
      </c>
      <c r="H151" s="377">
        <f t="shared" si="59"/>
        <v>49210.689599999991</v>
      </c>
      <c r="I151" s="388">
        <v>7</v>
      </c>
      <c r="J151" s="388"/>
      <c r="N151" s="389">
        <v>0</v>
      </c>
      <c r="O151" s="389">
        <v>0</v>
      </c>
      <c r="P151" s="389">
        <v>0</v>
      </c>
      <c r="Q151" s="389">
        <v>0</v>
      </c>
      <c r="R151" s="389">
        <v>0</v>
      </c>
      <c r="S151" s="389">
        <f>SUM($D151*$I151)/100+0.01</f>
        <v>3444.7583000000004</v>
      </c>
      <c r="T151" s="389">
        <f>SUM($D151*$I151)/100</f>
        <v>3444.7483000000002</v>
      </c>
      <c r="U151" s="389">
        <f>SUM($D151*$I151)/100</f>
        <v>3444.7483000000002</v>
      </c>
      <c r="V151" s="389">
        <f>SUM($D151*$I151)/100</f>
        <v>3444.7483000000002</v>
      </c>
      <c r="W151" s="389">
        <f>SUM($D151*$I151)/100</f>
        <v>3444.7483000000002</v>
      </c>
      <c r="X151" s="389">
        <v>3444.75</v>
      </c>
      <c r="Y151" s="389">
        <v>3444.75</v>
      </c>
      <c r="Z151" s="389">
        <f t="shared" ref="Z151:AF151" si="65">SUM($D151*$I151)/100</f>
        <v>3444.7483000000002</v>
      </c>
      <c r="AA151" s="389">
        <f t="shared" si="65"/>
        <v>3444.7483000000002</v>
      </c>
      <c r="AB151" s="389">
        <f t="shared" si="65"/>
        <v>3444.7483000000002</v>
      </c>
      <c r="AC151" s="389">
        <f t="shared" si="65"/>
        <v>3444.7483000000002</v>
      </c>
      <c r="AD151" s="389">
        <f t="shared" si="65"/>
        <v>3444.7483000000002</v>
      </c>
      <c r="AE151" s="389">
        <f t="shared" si="65"/>
        <v>3444.7483000000002</v>
      </c>
      <c r="AF151" s="389">
        <f t="shared" si="65"/>
        <v>3444.7483000000002</v>
      </c>
      <c r="AG151" s="389">
        <v>984.2</v>
      </c>
      <c r="AH151" s="389">
        <v>0</v>
      </c>
      <c r="AI151" s="389">
        <v>0</v>
      </c>
      <c r="AJ151" s="389">
        <v>0</v>
      </c>
      <c r="AK151" s="389">
        <v>0</v>
      </c>
    </row>
    <row r="152" spans="2:37" s="377" customFormat="1">
      <c r="B152" s="377" t="s">
        <v>934</v>
      </c>
      <c r="C152" s="386">
        <f>DATE(99,11,1)</f>
        <v>36465</v>
      </c>
      <c r="D152" s="377">
        <v>1746.01</v>
      </c>
      <c r="F152" s="377">
        <f t="shared" si="58"/>
        <v>1746.0080000000003</v>
      </c>
      <c r="H152" s="377">
        <f t="shared" si="59"/>
        <v>1746.0080000000003</v>
      </c>
      <c r="I152" s="388">
        <v>10</v>
      </c>
      <c r="J152" s="388"/>
      <c r="N152" s="389"/>
      <c r="O152" s="389"/>
      <c r="P152" s="389"/>
      <c r="Q152" s="389"/>
      <c r="R152" s="389"/>
      <c r="S152" s="389"/>
      <c r="T152" s="389"/>
      <c r="U152" s="389"/>
      <c r="V152" s="389">
        <f>SUM($D152*$I152)/100</f>
        <v>174.601</v>
      </c>
      <c r="W152" s="389">
        <f>SUM($D152*$I152)/100</f>
        <v>174.601</v>
      </c>
      <c r="X152" s="389">
        <v>174.6</v>
      </c>
      <c r="Y152" s="389">
        <v>174.6</v>
      </c>
      <c r="Z152" s="389">
        <f t="shared" ref="Z152:AE153" si="66">SUM($D152*$I152)/100</f>
        <v>174.601</v>
      </c>
      <c r="AA152" s="389">
        <f t="shared" si="66"/>
        <v>174.601</v>
      </c>
      <c r="AB152" s="389">
        <f t="shared" si="66"/>
        <v>174.601</v>
      </c>
      <c r="AC152" s="389">
        <f t="shared" si="66"/>
        <v>174.601</v>
      </c>
      <c r="AD152" s="389">
        <f t="shared" si="66"/>
        <v>174.601</v>
      </c>
      <c r="AE152" s="389">
        <f t="shared" si="66"/>
        <v>174.601</v>
      </c>
      <c r="AF152" s="389">
        <v>0</v>
      </c>
      <c r="AG152" s="389">
        <v>0</v>
      </c>
      <c r="AH152" s="389">
        <v>0</v>
      </c>
      <c r="AI152" s="389">
        <v>0</v>
      </c>
      <c r="AJ152" s="389">
        <v>0</v>
      </c>
      <c r="AK152" s="389">
        <v>0</v>
      </c>
    </row>
    <row r="153" spans="2:37" s="377" customFormat="1">
      <c r="B153" s="377" t="s">
        <v>933</v>
      </c>
      <c r="C153" s="386">
        <f>DATE(99,3,1)</f>
        <v>36220</v>
      </c>
      <c r="D153" s="377">
        <v>34348.910000000003</v>
      </c>
      <c r="F153" s="377">
        <f t="shared" si="58"/>
        <v>34348.908000000003</v>
      </c>
      <c r="H153" s="377">
        <f t="shared" si="59"/>
        <v>34348.908000000003</v>
      </c>
      <c r="I153" s="388">
        <v>10</v>
      </c>
      <c r="J153" s="388"/>
      <c r="N153" s="389"/>
      <c r="O153" s="389"/>
      <c r="P153" s="389"/>
      <c r="Q153" s="389"/>
      <c r="R153" s="389"/>
      <c r="S153" s="389"/>
      <c r="T153" s="389"/>
      <c r="U153" s="389"/>
      <c r="V153" s="389">
        <f>SUM($D153*$I153)/100</f>
        <v>3434.8910000000005</v>
      </c>
      <c r="W153" s="389">
        <f>SUM($D153*$I153)/100</f>
        <v>3434.8910000000005</v>
      </c>
      <c r="X153" s="389">
        <v>3434.89</v>
      </c>
      <c r="Y153" s="389">
        <v>3434.89</v>
      </c>
      <c r="Z153" s="389">
        <f t="shared" si="66"/>
        <v>3434.8910000000005</v>
      </c>
      <c r="AA153" s="389">
        <f t="shared" si="66"/>
        <v>3434.8910000000005</v>
      </c>
      <c r="AB153" s="389">
        <f t="shared" si="66"/>
        <v>3434.8910000000005</v>
      </c>
      <c r="AC153" s="389">
        <f t="shared" si="66"/>
        <v>3434.8910000000005</v>
      </c>
      <c r="AD153" s="389">
        <f t="shared" si="66"/>
        <v>3434.8910000000005</v>
      </c>
      <c r="AE153" s="389">
        <f t="shared" si="66"/>
        <v>3434.8910000000005</v>
      </c>
      <c r="AF153" s="389">
        <v>0</v>
      </c>
      <c r="AG153" s="389">
        <v>0</v>
      </c>
      <c r="AH153" s="389">
        <v>0</v>
      </c>
      <c r="AI153" s="389">
        <v>0</v>
      </c>
      <c r="AJ153" s="389">
        <v>0</v>
      </c>
      <c r="AK153" s="389">
        <v>0</v>
      </c>
    </row>
    <row r="154" spans="2:37" s="377" customFormat="1">
      <c r="B154" s="377" t="s">
        <v>932</v>
      </c>
      <c r="C154" s="386">
        <f>DATE(99,12,1)</f>
        <v>36495</v>
      </c>
      <c r="D154" s="377">
        <v>12400</v>
      </c>
      <c r="F154" s="377">
        <f t="shared" si="58"/>
        <v>12400</v>
      </c>
      <c r="H154" s="377">
        <f t="shared" si="59"/>
        <v>12400</v>
      </c>
      <c r="I154" s="388">
        <v>10</v>
      </c>
      <c r="J154" s="388">
        <v>20</v>
      </c>
      <c r="N154" s="389"/>
      <c r="O154" s="389"/>
      <c r="P154" s="389"/>
      <c r="Q154" s="389"/>
      <c r="R154" s="389"/>
      <c r="S154" s="389"/>
      <c r="T154" s="389"/>
      <c r="U154" s="389"/>
      <c r="V154" s="389">
        <v>1240</v>
      </c>
      <c r="W154" s="389">
        <f>SUM($D154*$J154)/100</f>
        <v>2480</v>
      </c>
      <c r="X154" s="389">
        <v>2480</v>
      </c>
      <c r="Y154" s="389">
        <v>2480</v>
      </c>
      <c r="Z154" s="389">
        <f>SUM($D154*$J154)/100</f>
        <v>2480</v>
      </c>
      <c r="AA154" s="389">
        <f>SUM($D154*$J154)/100</f>
        <v>2480</v>
      </c>
      <c r="AB154" s="389">
        <v>-2480</v>
      </c>
      <c r="AC154" s="389">
        <f>12400-11160</f>
        <v>1240</v>
      </c>
      <c r="AD154" s="389">
        <v>0</v>
      </c>
      <c r="AE154" s="389">
        <v>0</v>
      </c>
      <c r="AF154" s="389">
        <v>0</v>
      </c>
      <c r="AG154" s="389">
        <v>0</v>
      </c>
      <c r="AH154" s="389">
        <v>0</v>
      </c>
      <c r="AI154" s="389">
        <v>0</v>
      </c>
      <c r="AJ154" s="389">
        <v>0</v>
      </c>
      <c r="AK154" s="389">
        <v>0</v>
      </c>
    </row>
    <row r="155" spans="2:37" s="377" customFormat="1">
      <c r="B155" s="377" t="s">
        <v>932</v>
      </c>
      <c r="C155" s="386">
        <f>DATE(2000,5,1)</f>
        <v>36647</v>
      </c>
      <c r="D155" s="377">
        <v>3100</v>
      </c>
      <c r="F155" s="377">
        <f t="shared" si="58"/>
        <v>3100</v>
      </c>
      <c r="H155" s="377">
        <f t="shared" si="59"/>
        <v>3100</v>
      </c>
      <c r="I155" s="388">
        <v>20</v>
      </c>
      <c r="J155" s="388"/>
      <c r="N155" s="389"/>
      <c r="O155" s="389"/>
      <c r="P155" s="389"/>
      <c r="Q155" s="389"/>
      <c r="R155" s="389"/>
      <c r="S155" s="389"/>
      <c r="T155" s="389"/>
      <c r="U155" s="389"/>
      <c r="V155" s="389">
        <v>0</v>
      </c>
      <c r="W155" s="389">
        <f>SUM($D155*$I155)/100</f>
        <v>620</v>
      </c>
      <c r="X155" s="389">
        <v>620</v>
      </c>
      <c r="Y155" s="389">
        <v>620</v>
      </c>
      <c r="Z155" s="389">
        <f>SUM($D155*$I155)/100</f>
        <v>620</v>
      </c>
      <c r="AA155" s="389">
        <f>SUM($D155*$I155)/100</f>
        <v>620</v>
      </c>
      <c r="AB155" s="389">
        <v>0</v>
      </c>
      <c r="AC155" s="389">
        <v>0</v>
      </c>
      <c r="AD155" s="389">
        <v>0</v>
      </c>
      <c r="AE155" s="389">
        <v>0</v>
      </c>
      <c r="AF155" s="389">
        <v>0</v>
      </c>
      <c r="AG155" s="389">
        <v>0</v>
      </c>
      <c r="AH155" s="389">
        <v>0</v>
      </c>
      <c r="AI155" s="389">
        <v>0</v>
      </c>
      <c r="AJ155" s="389">
        <v>0</v>
      </c>
      <c r="AK155" s="389">
        <v>0</v>
      </c>
    </row>
    <row r="156" spans="2:37" s="377" customFormat="1">
      <c r="B156" s="377" t="s">
        <v>910</v>
      </c>
      <c r="C156" s="386">
        <f>DATE(2003,6,1)</f>
        <v>37773</v>
      </c>
      <c r="D156" s="387">
        <v>0</v>
      </c>
      <c r="E156" s="387"/>
      <c r="F156" s="387">
        <f>H156</f>
        <v>0</v>
      </c>
      <c r="H156" s="377">
        <f t="shared" si="59"/>
        <v>0</v>
      </c>
      <c r="I156" s="388">
        <v>2</v>
      </c>
      <c r="J156" s="404">
        <v>5</v>
      </c>
      <c r="L156" s="389">
        <v>0</v>
      </c>
      <c r="M156" s="389">
        <v>0</v>
      </c>
      <c r="N156" s="389">
        <v>0</v>
      </c>
      <c r="O156" s="389">
        <v>0</v>
      </c>
      <c r="P156" s="389">
        <v>0</v>
      </c>
      <c r="Q156" s="389">
        <v>0</v>
      </c>
      <c r="R156" s="389">
        <v>0</v>
      </c>
      <c r="S156" s="389">
        <v>0</v>
      </c>
      <c r="T156" s="389">
        <v>0</v>
      </c>
      <c r="U156" s="389">
        <v>0</v>
      </c>
      <c r="V156" s="389">
        <v>0</v>
      </c>
      <c r="W156" s="389">
        <v>0</v>
      </c>
      <c r="X156" s="389">
        <v>0</v>
      </c>
      <c r="Y156" s="389">
        <v>0</v>
      </c>
      <c r="Z156" s="389">
        <f t="shared" ref="Z156:AK156" si="67">SUM($D156*$J156)/100</f>
        <v>0</v>
      </c>
      <c r="AA156" s="389">
        <f t="shared" si="67"/>
        <v>0</v>
      </c>
      <c r="AB156" s="389">
        <f t="shared" si="67"/>
        <v>0</v>
      </c>
      <c r="AC156" s="389">
        <f t="shared" si="67"/>
        <v>0</v>
      </c>
      <c r="AD156" s="389">
        <f t="shared" si="67"/>
        <v>0</v>
      </c>
      <c r="AE156" s="389">
        <f t="shared" si="67"/>
        <v>0</v>
      </c>
      <c r="AF156" s="389">
        <f t="shared" si="67"/>
        <v>0</v>
      </c>
      <c r="AG156" s="389">
        <f t="shared" si="67"/>
        <v>0</v>
      </c>
      <c r="AH156" s="389">
        <f t="shared" si="67"/>
        <v>0</v>
      </c>
      <c r="AI156" s="389">
        <f t="shared" si="67"/>
        <v>0</v>
      </c>
      <c r="AJ156" s="389">
        <f t="shared" si="67"/>
        <v>0</v>
      </c>
      <c r="AK156" s="389">
        <f t="shared" si="67"/>
        <v>0</v>
      </c>
    </row>
    <row r="157" spans="2:37" s="377" customFormat="1">
      <c r="B157" s="377" t="s">
        <v>931</v>
      </c>
      <c r="C157" s="405" t="s">
        <v>930</v>
      </c>
      <c r="D157" s="377">
        <v>765.54</v>
      </c>
      <c r="F157" s="377">
        <f>G157+H157</f>
        <v>765.54</v>
      </c>
      <c r="H157" s="377">
        <f t="shared" si="59"/>
        <v>765.54</v>
      </c>
      <c r="I157" s="388"/>
      <c r="J157" s="388">
        <v>20</v>
      </c>
      <c r="N157" s="389"/>
      <c r="O157" s="389"/>
      <c r="P157" s="389"/>
      <c r="Q157" s="389"/>
      <c r="R157" s="389"/>
      <c r="S157" s="389"/>
      <c r="T157" s="389"/>
      <c r="U157" s="389"/>
      <c r="V157" s="389"/>
      <c r="W157" s="389"/>
      <c r="X157" s="389"/>
      <c r="Y157" s="389"/>
      <c r="Z157" s="389"/>
      <c r="AA157" s="389">
        <f>765.54/5</f>
        <v>153.108</v>
      </c>
      <c r="AB157" s="389">
        <v>0</v>
      </c>
      <c r="AC157" s="389">
        <f>765.54/5</f>
        <v>153.108</v>
      </c>
      <c r="AD157" s="389">
        <f>765.54/5</f>
        <v>153.108</v>
      </c>
      <c r="AE157" s="389">
        <f>765.54/5</f>
        <v>153.108</v>
      </c>
      <c r="AF157" s="389">
        <f>765.54/5</f>
        <v>153.108</v>
      </c>
      <c r="AG157" s="389">
        <v>0</v>
      </c>
      <c r="AH157" s="389">
        <v>0</v>
      </c>
      <c r="AI157" s="389">
        <v>0</v>
      </c>
      <c r="AJ157" s="389">
        <v>0</v>
      </c>
      <c r="AK157" s="389">
        <v>0</v>
      </c>
    </row>
    <row r="158" spans="2:37" s="377" customFormat="1">
      <c r="B158" s="377" t="s">
        <v>929</v>
      </c>
      <c r="C158" s="378">
        <f>DATE(93,6,1)</f>
        <v>34121</v>
      </c>
      <c r="D158" s="379">
        <v>4183.25</v>
      </c>
      <c r="E158" s="379"/>
      <c r="F158" s="379">
        <f>G158+H158</f>
        <v>4183.25</v>
      </c>
      <c r="G158" s="379"/>
      <c r="H158" s="377">
        <f t="shared" si="59"/>
        <v>4183.25</v>
      </c>
      <c r="I158" s="381">
        <v>10</v>
      </c>
      <c r="J158" s="379"/>
      <c r="K158" s="379"/>
      <c r="L158" s="379"/>
      <c r="M158" s="379"/>
      <c r="N158" s="379"/>
      <c r="O158" s="379"/>
      <c r="P158" s="382">
        <f>SUM($D158*$I158)/100</f>
        <v>418.32499999999999</v>
      </c>
      <c r="Q158" s="382">
        <f>SUM($D158*$I158)/100</f>
        <v>418.32499999999999</v>
      </c>
      <c r="R158" s="382">
        <f t="shared" ref="R158:W158" si="68">SUM($D158*$I158)/100-0.03</f>
        <v>418.29500000000002</v>
      </c>
      <c r="S158" s="382">
        <f t="shared" si="68"/>
        <v>418.29500000000002</v>
      </c>
      <c r="T158" s="382">
        <f t="shared" si="68"/>
        <v>418.29500000000002</v>
      </c>
      <c r="U158" s="382">
        <f t="shared" si="68"/>
        <v>418.29500000000002</v>
      </c>
      <c r="V158" s="382">
        <f t="shared" si="68"/>
        <v>418.29500000000002</v>
      </c>
      <c r="W158" s="382">
        <f t="shared" si="68"/>
        <v>418.29500000000002</v>
      </c>
      <c r="X158" s="382">
        <v>418.3</v>
      </c>
      <c r="Y158" s="382">
        <f>4183.25-418.3-3346.42</f>
        <v>418.52999999999975</v>
      </c>
      <c r="Z158" s="382">
        <v>0</v>
      </c>
      <c r="AA158" s="382">
        <v>0</v>
      </c>
      <c r="AB158" s="382">
        <v>0</v>
      </c>
      <c r="AC158" s="382">
        <v>0</v>
      </c>
      <c r="AD158" s="382">
        <v>0</v>
      </c>
      <c r="AE158" s="382">
        <v>0</v>
      </c>
      <c r="AF158" s="382">
        <v>0</v>
      </c>
      <c r="AG158" s="382">
        <v>0</v>
      </c>
      <c r="AH158" s="382">
        <v>0</v>
      </c>
      <c r="AI158" s="382">
        <v>0</v>
      </c>
      <c r="AJ158" s="382">
        <v>0</v>
      </c>
      <c r="AK158" s="382">
        <v>0</v>
      </c>
    </row>
    <row r="159" spans="2:37" s="377" customFormat="1">
      <c r="D159" s="377">
        <f>SUM(D140:D158)</f>
        <v>7411063.8500000006</v>
      </c>
      <c r="E159" s="387">
        <f>F159+AJ159</f>
        <v>3769014.7422000007</v>
      </c>
      <c r="F159" s="377">
        <f>SUM(F140:F158)</f>
        <v>3554521.3574000006</v>
      </c>
      <c r="G159" s="377">
        <f>SUM(G140:G158)</f>
        <v>173759.69</v>
      </c>
      <c r="H159" s="377">
        <f t="shared" si="59"/>
        <v>3380761.6674000002</v>
      </c>
      <c r="I159" s="388"/>
      <c r="J159" s="388"/>
      <c r="K159" s="377">
        <f t="shared" ref="K159:AK159" si="69">SUM(K140:K158)</f>
        <v>93242.300400000007</v>
      </c>
      <c r="L159" s="377">
        <f t="shared" si="69"/>
        <v>93242.300400000007</v>
      </c>
      <c r="M159" s="377">
        <f t="shared" si="69"/>
        <v>93242.300400000007</v>
      </c>
      <c r="N159" s="377">
        <f t="shared" si="69"/>
        <v>93242.300400000007</v>
      </c>
      <c r="O159" s="377">
        <f t="shared" si="69"/>
        <v>93422.300400000007</v>
      </c>
      <c r="P159" s="377">
        <f t="shared" si="69"/>
        <v>93840.625400000004</v>
      </c>
      <c r="Q159" s="377">
        <f t="shared" si="69"/>
        <v>93840.625400000004</v>
      </c>
      <c r="R159" s="377">
        <f t="shared" si="69"/>
        <v>93840.595400000006</v>
      </c>
      <c r="S159" s="377">
        <f t="shared" si="69"/>
        <v>97285.353700000007</v>
      </c>
      <c r="T159" s="377">
        <f t="shared" si="69"/>
        <v>97285.343700000012</v>
      </c>
      <c r="U159" s="377">
        <f t="shared" si="69"/>
        <v>97285.343700000012</v>
      </c>
      <c r="V159" s="377">
        <f t="shared" si="69"/>
        <v>102134.83570000001</v>
      </c>
      <c r="W159" s="377">
        <f t="shared" si="69"/>
        <v>103994.83570000001</v>
      </c>
      <c r="X159" s="377">
        <f t="shared" si="69"/>
        <v>103579.13</v>
      </c>
      <c r="Y159" s="377">
        <f t="shared" si="69"/>
        <v>99625.440000000017</v>
      </c>
      <c r="Z159" s="377">
        <f t="shared" si="69"/>
        <v>95203.058199999999</v>
      </c>
      <c r="AA159" s="377">
        <f t="shared" si="69"/>
        <v>95110.686200000011</v>
      </c>
      <c r="AB159" s="377">
        <f t="shared" si="69"/>
        <v>212446.4975</v>
      </c>
      <c r="AC159" s="377">
        <f t="shared" si="69"/>
        <v>222940.73310000001</v>
      </c>
      <c r="AD159" s="377">
        <f t="shared" si="69"/>
        <v>221700.73310000001</v>
      </c>
      <c r="AE159" s="377">
        <f t="shared" si="69"/>
        <v>221700.73310000001</v>
      </c>
      <c r="AF159" s="377">
        <f t="shared" si="69"/>
        <v>218091.24110000001</v>
      </c>
      <c r="AG159" s="377">
        <f t="shared" si="69"/>
        <v>215477.58480000001</v>
      </c>
      <c r="AH159" s="377">
        <f t="shared" si="69"/>
        <v>214493.3848</v>
      </c>
      <c r="AI159" s="377">
        <f t="shared" si="69"/>
        <v>214493.3848</v>
      </c>
      <c r="AJ159" s="377">
        <f t="shared" si="69"/>
        <v>214493.3848</v>
      </c>
      <c r="AK159" s="377">
        <f t="shared" si="69"/>
        <v>214493.3848</v>
      </c>
    </row>
    <row r="160" spans="2:37" s="377" customFormat="1">
      <c r="D160" s="387"/>
      <c r="E160" s="387"/>
      <c r="G160" s="387"/>
      <c r="I160" s="388"/>
      <c r="J160" s="388"/>
      <c r="K160" s="389"/>
      <c r="L160" s="389"/>
      <c r="M160" s="389"/>
      <c r="N160" s="389"/>
      <c r="O160" s="389"/>
      <c r="P160" s="389"/>
    </row>
    <row r="161" spans="1:37" s="377" customFormat="1">
      <c r="A161" s="377" t="s">
        <v>676</v>
      </c>
      <c r="D161" s="387"/>
      <c r="E161" s="387"/>
      <c r="G161" s="387"/>
      <c r="I161" s="388"/>
      <c r="J161" s="388"/>
      <c r="K161" s="389"/>
      <c r="L161" s="389"/>
      <c r="M161" s="389"/>
      <c r="N161" s="389"/>
      <c r="O161" s="389"/>
      <c r="P161" s="389"/>
    </row>
    <row r="162" spans="1:37" s="377" customFormat="1">
      <c r="B162" s="377" t="s">
        <v>928</v>
      </c>
      <c r="C162" s="386">
        <f>DATE(87,7,1)</f>
        <v>31959</v>
      </c>
      <c r="D162" s="387">
        <v>22220.86</v>
      </c>
      <c r="E162" s="387"/>
      <c r="F162" s="377">
        <f>G162+H162</f>
        <v>22220.858200000006</v>
      </c>
      <c r="G162" s="387">
        <v>333.31</v>
      </c>
      <c r="H162" s="377">
        <f t="shared" ref="H162:H202" si="70">SUM(K162:AI162)</f>
        <v>21887.548200000005</v>
      </c>
      <c r="I162" s="388">
        <v>3</v>
      </c>
      <c r="J162" s="388">
        <v>5</v>
      </c>
      <c r="K162" s="389">
        <f t="shared" ref="K162:S162" si="71">SUM($D162*$I162)/100</f>
        <v>666.62580000000003</v>
      </c>
      <c r="L162" s="389">
        <f t="shared" si="71"/>
        <v>666.62580000000003</v>
      </c>
      <c r="M162" s="389">
        <f t="shared" si="71"/>
        <v>666.62580000000003</v>
      </c>
      <c r="N162" s="389">
        <f t="shared" si="71"/>
        <v>666.62580000000003</v>
      </c>
      <c r="O162" s="389">
        <f t="shared" si="71"/>
        <v>666.62580000000003</v>
      </c>
      <c r="P162" s="389">
        <f t="shared" si="71"/>
        <v>666.62580000000003</v>
      </c>
      <c r="Q162" s="389">
        <f t="shared" si="71"/>
        <v>666.62580000000003</v>
      </c>
      <c r="R162" s="389">
        <f t="shared" si="71"/>
        <v>666.62580000000003</v>
      </c>
      <c r="S162" s="389">
        <f t="shared" si="71"/>
        <v>666.62580000000003</v>
      </c>
      <c r="T162" s="389">
        <f t="shared" ref="T162:W164" si="72">SUM($D162*$J162)/100</f>
        <v>1111.0430000000001</v>
      </c>
      <c r="U162" s="389">
        <f t="shared" si="72"/>
        <v>1111.0430000000001</v>
      </c>
      <c r="V162" s="389">
        <f t="shared" si="72"/>
        <v>1111.0430000000001</v>
      </c>
      <c r="W162" s="389">
        <f t="shared" si="72"/>
        <v>1111.0430000000001</v>
      </c>
      <c r="X162" s="389">
        <v>1111.04</v>
      </c>
      <c r="Y162" s="389">
        <v>1111.04</v>
      </c>
      <c r="Z162" s="389">
        <f t="shared" ref="Z162:AG164" si="73">SUM($D162*$J162)/100</f>
        <v>1111.0430000000001</v>
      </c>
      <c r="AA162" s="389">
        <f t="shared" si="73"/>
        <v>1111.0430000000001</v>
      </c>
      <c r="AB162" s="389">
        <f t="shared" si="73"/>
        <v>1111.0430000000001</v>
      </c>
      <c r="AC162" s="389">
        <f t="shared" si="73"/>
        <v>1111.0430000000001</v>
      </c>
      <c r="AD162" s="389">
        <f t="shared" si="73"/>
        <v>1111.0430000000001</v>
      </c>
      <c r="AE162" s="389">
        <f t="shared" si="73"/>
        <v>1111.0430000000001</v>
      </c>
      <c r="AF162" s="389">
        <f t="shared" si="73"/>
        <v>1111.0430000000001</v>
      </c>
      <c r="AG162" s="389">
        <f t="shared" si="73"/>
        <v>1111.0430000000001</v>
      </c>
      <c r="AH162" s="389">
        <v>333.32</v>
      </c>
      <c r="AI162" s="389">
        <v>0</v>
      </c>
      <c r="AJ162" s="389">
        <v>0</v>
      </c>
      <c r="AK162" s="389">
        <v>1</v>
      </c>
    </row>
    <row r="163" spans="1:37" s="377" customFormat="1">
      <c r="B163" s="377" t="s">
        <v>927</v>
      </c>
      <c r="C163" s="386">
        <f>DATE(89,1,1)</f>
        <v>32509</v>
      </c>
      <c r="D163" s="387">
        <v>468042.85</v>
      </c>
      <c r="E163" s="387"/>
      <c r="F163" s="377">
        <f>G163+H163</f>
        <v>294867.00449999998</v>
      </c>
      <c r="G163" s="387"/>
      <c r="H163" s="377">
        <f t="shared" si="70"/>
        <v>294867.00449999998</v>
      </c>
      <c r="I163" s="388">
        <v>2</v>
      </c>
      <c r="J163" s="388">
        <v>3</v>
      </c>
      <c r="K163" s="389">
        <v>0</v>
      </c>
      <c r="L163" s="389">
        <f>SUM($D163*$I163)/100/2</f>
        <v>4680.4285</v>
      </c>
      <c r="M163" s="389">
        <f t="shared" ref="M163:S163" si="74">SUM($D163*$I163)/100</f>
        <v>9360.857</v>
      </c>
      <c r="N163" s="389">
        <f t="shared" si="74"/>
        <v>9360.857</v>
      </c>
      <c r="O163" s="389">
        <f t="shared" si="74"/>
        <v>9360.857</v>
      </c>
      <c r="P163" s="389">
        <f t="shared" si="74"/>
        <v>9360.857</v>
      </c>
      <c r="Q163" s="389">
        <f t="shared" si="74"/>
        <v>9360.857</v>
      </c>
      <c r="R163" s="389">
        <f t="shared" si="74"/>
        <v>9360.857</v>
      </c>
      <c r="S163" s="389">
        <f t="shared" si="74"/>
        <v>9360.857</v>
      </c>
      <c r="T163" s="389">
        <f t="shared" si="72"/>
        <v>14041.285499999998</v>
      </c>
      <c r="U163" s="389">
        <f t="shared" si="72"/>
        <v>14041.285499999998</v>
      </c>
      <c r="V163" s="389">
        <f t="shared" si="72"/>
        <v>14041.285499999998</v>
      </c>
      <c r="W163" s="389">
        <f t="shared" si="72"/>
        <v>14041.285499999998</v>
      </c>
      <c r="X163" s="389">
        <v>14041.29</v>
      </c>
      <c r="Y163" s="389">
        <v>14041.29</v>
      </c>
      <c r="Z163" s="389">
        <f t="shared" si="73"/>
        <v>14041.285499999998</v>
      </c>
      <c r="AA163" s="389">
        <f t="shared" si="73"/>
        <v>14041.285499999998</v>
      </c>
      <c r="AB163" s="389">
        <f t="shared" si="73"/>
        <v>14041.285499999998</v>
      </c>
      <c r="AC163" s="389">
        <f t="shared" si="73"/>
        <v>14041.285499999998</v>
      </c>
      <c r="AD163" s="389">
        <f t="shared" si="73"/>
        <v>14041.285499999998</v>
      </c>
      <c r="AE163" s="389">
        <f t="shared" si="73"/>
        <v>14041.285499999998</v>
      </c>
      <c r="AF163" s="389">
        <f t="shared" si="73"/>
        <v>14041.285499999998</v>
      </c>
      <c r="AG163" s="389">
        <f t="shared" si="73"/>
        <v>14041.285499999998</v>
      </c>
      <c r="AH163" s="389">
        <f>SUM($D163*$J163)/100</f>
        <v>14041.285499999998</v>
      </c>
      <c r="AI163" s="389">
        <f>SUM($D163*$J163)/100</f>
        <v>14041.285499999998</v>
      </c>
      <c r="AJ163" s="389">
        <f>SUM($D163*$J163)/100</f>
        <v>14041.285499999998</v>
      </c>
      <c r="AK163" s="389">
        <f>SUM($D163*$J163)/100</f>
        <v>14041.285499999998</v>
      </c>
    </row>
    <row r="164" spans="1:37" s="377" customFormat="1">
      <c r="B164" s="377" t="s">
        <v>926</v>
      </c>
      <c r="C164" s="386">
        <f>DATE(90,1,1)</f>
        <v>32874</v>
      </c>
      <c r="D164" s="387">
        <v>10052.07</v>
      </c>
      <c r="E164" s="387"/>
      <c r="F164" s="377">
        <f>G164+H164</f>
        <v>10052.069150000001</v>
      </c>
      <c r="G164" s="387"/>
      <c r="H164" s="377">
        <f t="shared" si="70"/>
        <v>10052.069150000001</v>
      </c>
      <c r="I164" s="388">
        <v>3</v>
      </c>
      <c r="J164" s="388">
        <v>5</v>
      </c>
      <c r="K164" s="389">
        <v>0</v>
      </c>
      <c r="L164" s="389">
        <v>0</v>
      </c>
      <c r="M164" s="389">
        <f>SUM($D164*$I164)/100/2</f>
        <v>150.78104999999999</v>
      </c>
      <c r="N164" s="389">
        <f t="shared" ref="N164:S164" si="75">SUM($D164*$I164)/100</f>
        <v>301.56209999999999</v>
      </c>
      <c r="O164" s="389">
        <f t="shared" si="75"/>
        <v>301.56209999999999</v>
      </c>
      <c r="P164" s="389">
        <f t="shared" si="75"/>
        <v>301.56209999999999</v>
      </c>
      <c r="Q164" s="389">
        <f t="shared" si="75"/>
        <v>301.56209999999999</v>
      </c>
      <c r="R164" s="389">
        <f t="shared" si="75"/>
        <v>301.56209999999999</v>
      </c>
      <c r="S164" s="389">
        <f t="shared" si="75"/>
        <v>301.56209999999999</v>
      </c>
      <c r="T164" s="389">
        <f t="shared" si="72"/>
        <v>502.6035</v>
      </c>
      <c r="U164" s="389">
        <f t="shared" si="72"/>
        <v>502.6035</v>
      </c>
      <c r="V164" s="389">
        <f t="shared" si="72"/>
        <v>502.6035</v>
      </c>
      <c r="W164" s="389">
        <f t="shared" si="72"/>
        <v>502.6035</v>
      </c>
      <c r="X164" s="389">
        <v>502.6</v>
      </c>
      <c r="Y164" s="389">
        <v>502.6</v>
      </c>
      <c r="Z164" s="389">
        <f t="shared" si="73"/>
        <v>502.6035</v>
      </c>
      <c r="AA164" s="389">
        <f t="shared" si="73"/>
        <v>502.6035</v>
      </c>
      <c r="AB164" s="389">
        <f t="shared" si="73"/>
        <v>502.6035</v>
      </c>
      <c r="AC164" s="389">
        <f t="shared" si="73"/>
        <v>502.6035</v>
      </c>
      <c r="AD164" s="389">
        <f t="shared" si="73"/>
        <v>502.6035</v>
      </c>
      <c r="AE164" s="389">
        <f t="shared" si="73"/>
        <v>502.6035</v>
      </c>
      <c r="AF164" s="389">
        <f t="shared" si="73"/>
        <v>502.6035</v>
      </c>
      <c r="AG164" s="389">
        <f t="shared" si="73"/>
        <v>502.6035</v>
      </c>
      <c r="AH164" s="389">
        <f>SUM($D164*$J164)/100</f>
        <v>502.6035</v>
      </c>
      <c r="AI164" s="389">
        <v>552.87</v>
      </c>
      <c r="AJ164" s="389">
        <v>0</v>
      </c>
      <c r="AK164" s="389">
        <v>0</v>
      </c>
    </row>
    <row r="165" spans="1:37" s="377" customFormat="1">
      <c r="B165" s="377" t="s">
        <v>925</v>
      </c>
      <c r="C165" s="386">
        <f>DATE(2003,1,1)</f>
        <v>37622</v>
      </c>
      <c r="D165" s="387">
        <v>3875</v>
      </c>
      <c r="E165" s="387"/>
      <c r="F165" s="387">
        <f>H165</f>
        <v>3875</v>
      </c>
      <c r="H165" s="377">
        <f t="shared" si="70"/>
        <v>3875</v>
      </c>
      <c r="I165" s="388">
        <v>10</v>
      </c>
      <c r="J165" s="388"/>
      <c r="L165" s="389"/>
      <c r="M165" s="389"/>
      <c r="N165" s="389"/>
      <c r="O165" s="389"/>
      <c r="P165" s="389"/>
      <c r="Q165" s="389"/>
      <c r="R165" s="389"/>
      <c r="S165" s="389"/>
      <c r="T165" s="389"/>
      <c r="U165" s="389">
        <v>0</v>
      </c>
      <c r="V165" s="389">
        <v>0</v>
      </c>
      <c r="W165" s="389">
        <v>0</v>
      </c>
      <c r="X165" s="389">
        <v>0</v>
      </c>
      <c r="Y165" s="389">
        <v>0</v>
      </c>
      <c r="Z165" s="389">
        <f t="shared" ref="Z165:AI165" si="76">SUM($D165*$I165)/100</f>
        <v>387.5</v>
      </c>
      <c r="AA165" s="389">
        <f t="shared" si="76"/>
        <v>387.5</v>
      </c>
      <c r="AB165" s="389">
        <f t="shared" si="76"/>
        <v>387.5</v>
      </c>
      <c r="AC165" s="389">
        <f t="shared" si="76"/>
        <v>387.5</v>
      </c>
      <c r="AD165" s="389">
        <f t="shared" si="76"/>
        <v>387.5</v>
      </c>
      <c r="AE165" s="389">
        <f t="shared" si="76"/>
        <v>387.5</v>
      </c>
      <c r="AF165" s="389">
        <f t="shared" si="76"/>
        <v>387.5</v>
      </c>
      <c r="AG165" s="389">
        <f t="shared" si="76"/>
        <v>387.5</v>
      </c>
      <c r="AH165" s="389">
        <f t="shared" si="76"/>
        <v>387.5</v>
      </c>
      <c r="AI165" s="389">
        <f t="shared" si="76"/>
        <v>387.5</v>
      </c>
      <c r="AJ165" s="389">
        <v>0</v>
      </c>
      <c r="AK165" s="389">
        <v>0</v>
      </c>
    </row>
    <row r="166" spans="1:37" s="377" customFormat="1">
      <c r="B166" s="377" t="s">
        <v>924</v>
      </c>
      <c r="C166" s="386">
        <f>DATE(91,1,1)</f>
        <v>33239</v>
      </c>
      <c r="D166" s="377">
        <f>14281.98+4763.17</f>
        <v>19045.150000000001</v>
      </c>
      <c r="F166" s="377">
        <f t="shared" ref="F166:F175" si="77">G166+H166</f>
        <v>18664.251999999997</v>
      </c>
      <c r="H166" s="377">
        <f t="shared" si="70"/>
        <v>18664.251999999997</v>
      </c>
      <c r="I166" s="388">
        <v>3</v>
      </c>
      <c r="J166" s="388">
        <v>5</v>
      </c>
      <c r="K166" s="377">
        <v>0</v>
      </c>
      <c r="L166" s="377">
        <v>0</v>
      </c>
      <c r="M166" s="377">
        <v>0</v>
      </c>
      <c r="N166" s="389">
        <f t="shared" ref="N166:S167" si="78">SUM($D166*$I166)/100</f>
        <v>571.35450000000003</v>
      </c>
      <c r="O166" s="389">
        <f t="shared" si="78"/>
        <v>571.35450000000003</v>
      </c>
      <c r="P166" s="389">
        <f t="shared" si="78"/>
        <v>571.35450000000003</v>
      </c>
      <c r="Q166" s="389">
        <f t="shared" si="78"/>
        <v>571.35450000000003</v>
      </c>
      <c r="R166" s="389">
        <f t="shared" si="78"/>
        <v>571.35450000000003</v>
      </c>
      <c r="S166" s="389">
        <f t="shared" si="78"/>
        <v>571.35450000000003</v>
      </c>
      <c r="T166" s="389">
        <f>SUM($D166*$J166)/100</f>
        <v>952.25750000000005</v>
      </c>
      <c r="U166" s="389">
        <f>SUM($D166*$J166)/100</f>
        <v>952.25750000000005</v>
      </c>
      <c r="V166" s="389">
        <f>SUM($D166*$J166)/100</f>
        <v>952.25750000000005</v>
      </c>
      <c r="W166" s="389">
        <f>SUM($D166*$J166)/100</f>
        <v>952.25750000000005</v>
      </c>
      <c r="X166" s="389">
        <v>952.26</v>
      </c>
      <c r="Y166" s="389">
        <v>952.26</v>
      </c>
      <c r="Z166" s="389">
        <f t="shared" ref="Z166:AI166" si="79">SUM($D166*$J166)/100</f>
        <v>952.25750000000005</v>
      </c>
      <c r="AA166" s="389">
        <f t="shared" si="79"/>
        <v>952.25750000000005</v>
      </c>
      <c r="AB166" s="389">
        <f t="shared" si="79"/>
        <v>952.25750000000005</v>
      </c>
      <c r="AC166" s="389">
        <f t="shared" si="79"/>
        <v>952.25750000000005</v>
      </c>
      <c r="AD166" s="389">
        <f t="shared" si="79"/>
        <v>952.25750000000005</v>
      </c>
      <c r="AE166" s="389">
        <f t="shared" si="79"/>
        <v>952.25750000000005</v>
      </c>
      <c r="AF166" s="389">
        <f t="shared" si="79"/>
        <v>952.25750000000005</v>
      </c>
      <c r="AG166" s="389">
        <f t="shared" si="79"/>
        <v>952.25750000000005</v>
      </c>
      <c r="AH166" s="389">
        <f t="shared" si="79"/>
        <v>952.25750000000005</v>
      </c>
      <c r="AI166" s="389">
        <f t="shared" si="79"/>
        <v>952.25750000000005</v>
      </c>
      <c r="AJ166" s="389">
        <v>380.9</v>
      </c>
      <c r="AK166" s="389">
        <v>0</v>
      </c>
    </row>
    <row r="167" spans="1:37" s="377" customFormat="1">
      <c r="B167" s="377" t="s">
        <v>923</v>
      </c>
      <c r="C167" s="386">
        <f>DATE(91,12,1)</f>
        <v>33573</v>
      </c>
      <c r="D167" s="377">
        <f>6250+3425</f>
        <v>9675</v>
      </c>
      <c r="F167" s="377">
        <f t="shared" si="77"/>
        <v>9675</v>
      </c>
      <c r="H167" s="377">
        <f t="shared" si="70"/>
        <v>9675</v>
      </c>
      <c r="I167" s="388">
        <v>10</v>
      </c>
      <c r="J167" s="388"/>
      <c r="N167" s="389">
        <f t="shared" si="78"/>
        <v>967.5</v>
      </c>
      <c r="O167" s="389">
        <f t="shared" si="78"/>
        <v>967.5</v>
      </c>
      <c r="P167" s="389">
        <f t="shared" si="78"/>
        <v>967.5</v>
      </c>
      <c r="Q167" s="389">
        <f t="shared" si="78"/>
        <v>967.5</v>
      </c>
      <c r="R167" s="389">
        <f t="shared" si="78"/>
        <v>967.5</v>
      </c>
      <c r="S167" s="389">
        <f t="shared" si="78"/>
        <v>967.5</v>
      </c>
      <c r="T167" s="389">
        <f t="shared" ref="T167:W168" si="80">SUM($D167*$I167)/100</f>
        <v>967.5</v>
      </c>
      <c r="U167" s="389">
        <f t="shared" si="80"/>
        <v>967.5</v>
      </c>
      <c r="V167" s="389">
        <f t="shared" si="80"/>
        <v>967.5</v>
      </c>
      <c r="W167" s="389">
        <f t="shared" si="80"/>
        <v>967.5</v>
      </c>
      <c r="X167" s="389">
        <v>0</v>
      </c>
      <c r="Y167" s="389">
        <v>0</v>
      </c>
      <c r="Z167" s="389">
        <v>0</v>
      </c>
      <c r="AA167" s="389">
        <v>0</v>
      </c>
      <c r="AB167" s="389">
        <v>0</v>
      </c>
      <c r="AC167" s="389">
        <v>0</v>
      </c>
      <c r="AD167" s="389">
        <v>0</v>
      </c>
      <c r="AE167" s="389">
        <v>0</v>
      </c>
      <c r="AF167" s="389">
        <v>0</v>
      </c>
      <c r="AG167" s="389">
        <v>0</v>
      </c>
      <c r="AH167" s="389">
        <v>0</v>
      </c>
      <c r="AI167" s="389">
        <v>0</v>
      </c>
      <c r="AJ167" s="389">
        <v>0</v>
      </c>
      <c r="AK167" s="389">
        <v>0</v>
      </c>
    </row>
    <row r="168" spans="1:37" s="377" customFormat="1">
      <c r="B168" s="377" t="s">
        <v>923</v>
      </c>
      <c r="C168" s="386">
        <f>DATE(96,12,1)</f>
        <v>35400</v>
      </c>
      <c r="D168" s="377">
        <v>9980</v>
      </c>
      <c r="F168" s="377">
        <f t="shared" si="77"/>
        <v>9980</v>
      </c>
      <c r="H168" s="377">
        <f t="shared" si="70"/>
        <v>9980</v>
      </c>
      <c r="I168" s="388">
        <v>10</v>
      </c>
      <c r="J168" s="388"/>
      <c r="N168" s="389">
        <v>0</v>
      </c>
      <c r="O168" s="389">
        <v>0</v>
      </c>
      <c r="P168" s="389">
        <v>0</v>
      </c>
      <c r="Q168" s="389">
        <v>0</v>
      </c>
      <c r="R168" s="389">
        <v>0</v>
      </c>
      <c r="S168" s="389">
        <f t="shared" ref="S168:S173" si="81">SUM($D168*$I168)/100</f>
        <v>998</v>
      </c>
      <c r="T168" s="389">
        <f t="shared" si="80"/>
        <v>998</v>
      </c>
      <c r="U168" s="389">
        <f t="shared" si="80"/>
        <v>998</v>
      </c>
      <c r="V168" s="389">
        <f t="shared" si="80"/>
        <v>998</v>
      </c>
      <c r="W168" s="389">
        <f t="shared" si="80"/>
        <v>998</v>
      </c>
      <c r="X168" s="389">
        <v>998</v>
      </c>
      <c r="Y168" s="389">
        <v>998</v>
      </c>
      <c r="Z168" s="389">
        <f>SUM($D168*$I168)/100</f>
        <v>998</v>
      </c>
      <c r="AA168" s="389">
        <f>SUM($D168*$I168)/100</f>
        <v>998</v>
      </c>
      <c r="AB168" s="389">
        <f>SUM($D168*$I168)/100</f>
        <v>998</v>
      </c>
      <c r="AC168" s="389">
        <v>0</v>
      </c>
      <c r="AD168" s="389">
        <v>0</v>
      </c>
      <c r="AE168" s="389">
        <v>0</v>
      </c>
      <c r="AF168" s="389">
        <v>0</v>
      </c>
      <c r="AG168" s="389">
        <v>0</v>
      </c>
      <c r="AH168" s="389">
        <v>0</v>
      </c>
      <c r="AI168" s="389">
        <v>0</v>
      </c>
      <c r="AJ168" s="389">
        <v>0</v>
      </c>
      <c r="AK168" s="389">
        <v>0</v>
      </c>
    </row>
    <row r="169" spans="1:37" s="377" customFormat="1">
      <c r="B169" s="377" t="s">
        <v>922</v>
      </c>
      <c r="C169" s="386">
        <f>DATE(92,1,1)</f>
        <v>33604</v>
      </c>
      <c r="D169" s="377">
        <v>6253.64</v>
      </c>
      <c r="F169" s="377">
        <f t="shared" si="77"/>
        <v>5940.9539999999979</v>
      </c>
      <c r="H169" s="377">
        <f t="shared" si="70"/>
        <v>5940.9539999999979</v>
      </c>
      <c r="I169" s="388">
        <v>3</v>
      </c>
      <c r="J169" s="377">
        <v>5</v>
      </c>
      <c r="O169" s="389">
        <f>SUM($D169*$I169)/100</f>
        <v>187.60920000000002</v>
      </c>
      <c r="P169" s="389">
        <f>SUM($D169*$I169)/100</f>
        <v>187.60920000000002</v>
      </c>
      <c r="Q169" s="389">
        <f>SUM($D169*$I169)/100</f>
        <v>187.60920000000002</v>
      </c>
      <c r="R169" s="389">
        <f>SUM($D169*$I169)/100</f>
        <v>187.60920000000002</v>
      </c>
      <c r="S169" s="389">
        <f t="shared" si="81"/>
        <v>187.60920000000002</v>
      </c>
      <c r="T169" s="389">
        <f t="shared" ref="T169:W174" si="82">SUM($D169*$J169)/100</f>
        <v>312.68200000000002</v>
      </c>
      <c r="U169" s="389">
        <f t="shared" si="82"/>
        <v>312.68200000000002</v>
      </c>
      <c r="V169" s="389">
        <f t="shared" si="82"/>
        <v>312.68200000000002</v>
      </c>
      <c r="W169" s="389">
        <f t="shared" si="82"/>
        <v>312.68200000000002</v>
      </c>
      <c r="X169" s="389">
        <v>312.68</v>
      </c>
      <c r="Y169" s="389">
        <v>312.68</v>
      </c>
      <c r="Z169" s="389">
        <f t="shared" ref="Z169:AI181" si="83">SUM($D169*$J169)/100</f>
        <v>312.68200000000002</v>
      </c>
      <c r="AA169" s="389">
        <f t="shared" si="83"/>
        <v>312.68200000000002</v>
      </c>
      <c r="AB169" s="389">
        <f t="shared" si="83"/>
        <v>312.68200000000002</v>
      </c>
      <c r="AC169" s="389">
        <f t="shared" si="83"/>
        <v>312.68200000000002</v>
      </c>
      <c r="AD169" s="389">
        <f t="shared" si="83"/>
        <v>312.68200000000002</v>
      </c>
      <c r="AE169" s="389">
        <f t="shared" si="83"/>
        <v>312.68200000000002</v>
      </c>
      <c r="AF169" s="389">
        <f t="shared" si="83"/>
        <v>312.68200000000002</v>
      </c>
      <c r="AG169" s="389">
        <f t="shared" si="83"/>
        <v>312.68200000000002</v>
      </c>
      <c r="AH169" s="389">
        <f t="shared" si="83"/>
        <v>312.68200000000002</v>
      </c>
      <c r="AI169" s="389">
        <f t="shared" si="83"/>
        <v>312.68200000000002</v>
      </c>
      <c r="AJ169" s="389">
        <v>312.69</v>
      </c>
      <c r="AK169" s="389">
        <v>0</v>
      </c>
    </row>
    <row r="170" spans="1:37" s="377" customFormat="1">
      <c r="B170" s="377" t="s">
        <v>921</v>
      </c>
      <c r="C170" s="386">
        <f>DATE(93,1,1)</f>
        <v>33970</v>
      </c>
      <c r="D170" s="377">
        <v>20057.75</v>
      </c>
      <c r="F170" s="377">
        <f t="shared" si="77"/>
        <v>18453.135000000006</v>
      </c>
      <c r="H170" s="377">
        <f t="shared" si="70"/>
        <v>18453.135000000006</v>
      </c>
      <c r="I170" s="388">
        <v>3</v>
      </c>
      <c r="J170" s="377">
        <v>5</v>
      </c>
      <c r="P170" s="389">
        <f>SUM($D170*$I170)/100</f>
        <v>601.73249999999996</v>
      </c>
      <c r="Q170" s="389">
        <f>SUM($D170*$I170)/100</f>
        <v>601.73249999999996</v>
      </c>
      <c r="R170" s="389">
        <f>SUM($D170*$I170)/100</f>
        <v>601.73249999999996</v>
      </c>
      <c r="S170" s="389">
        <f t="shared" si="81"/>
        <v>601.73249999999996</v>
      </c>
      <c r="T170" s="389">
        <f t="shared" si="82"/>
        <v>1002.8875</v>
      </c>
      <c r="U170" s="389">
        <f t="shared" si="82"/>
        <v>1002.8875</v>
      </c>
      <c r="V170" s="389">
        <f t="shared" si="82"/>
        <v>1002.8875</v>
      </c>
      <c r="W170" s="389">
        <f t="shared" si="82"/>
        <v>1002.8875</v>
      </c>
      <c r="X170" s="389">
        <v>1002.89</v>
      </c>
      <c r="Y170" s="389">
        <v>1002.89</v>
      </c>
      <c r="Z170" s="389">
        <f t="shared" si="83"/>
        <v>1002.8875</v>
      </c>
      <c r="AA170" s="389">
        <f t="shared" si="83"/>
        <v>1002.8875</v>
      </c>
      <c r="AB170" s="389">
        <f t="shared" si="83"/>
        <v>1002.8875</v>
      </c>
      <c r="AC170" s="389">
        <f t="shared" si="83"/>
        <v>1002.8875</v>
      </c>
      <c r="AD170" s="389">
        <f t="shared" si="83"/>
        <v>1002.8875</v>
      </c>
      <c r="AE170" s="389">
        <f t="shared" si="83"/>
        <v>1002.8875</v>
      </c>
      <c r="AF170" s="389">
        <f t="shared" si="83"/>
        <v>1002.8875</v>
      </c>
      <c r="AG170" s="389">
        <f t="shared" si="83"/>
        <v>1002.8875</v>
      </c>
      <c r="AH170" s="389">
        <f t="shared" si="83"/>
        <v>1002.8875</v>
      </c>
      <c r="AI170" s="389">
        <f t="shared" si="83"/>
        <v>1002.8875</v>
      </c>
      <c r="AJ170" s="389">
        <f t="shared" ref="AJ170:AJ200" si="84">SUM($D170*$J170)/100</f>
        <v>1002.8875</v>
      </c>
      <c r="AK170" s="389">
        <v>601.72</v>
      </c>
    </row>
    <row r="171" spans="1:37" s="377" customFormat="1">
      <c r="B171" s="377" t="s">
        <v>920</v>
      </c>
      <c r="C171" s="386">
        <f>DATE(94,1,1)</f>
        <v>34335</v>
      </c>
      <c r="D171" s="377">
        <v>23977.62</v>
      </c>
      <c r="F171" s="377">
        <f t="shared" si="77"/>
        <v>21340.079800000003</v>
      </c>
      <c r="H171" s="377">
        <f t="shared" si="70"/>
        <v>21340.079800000003</v>
      </c>
      <c r="I171" s="388">
        <v>3</v>
      </c>
      <c r="J171" s="377">
        <v>5</v>
      </c>
      <c r="P171" s="389">
        <v>0</v>
      </c>
      <c r="Q171" s="389">
        <f>SUM($D171*$I171)/100</f>
        <v>719.32860000000005</v>
      </c>
      <c r="R171" s="389">
        <f>SUM($D171*$I171)/100</f>
        <v>719.32860000000005</v>
      </c>
      <c r="S171" s="389">
        <f t="shared" si="81"/>
        <v>719.32860000000005</v>
      </c>
      <c r="T171" s="389">
        <f t="shared" si="82"/>
        <v>1198.8809999999999</v>
      </c>
      <c r="U171" s="389">
        <f t="shared" si="82"/>
        <v>1198.8809999999999</v>
      </c>
      <c r="V171" s="389">
        <f t="shared" si="82"/>
        <v>1198.8809999999999</v>
      </c>
      <c r="W171" s="389">
        <f t="shared" si="82"/>
        <v>1198.8809999999999</v>
      </c>
      <c r="X171" s="389">
        <v>1198.8800000000001</v>
      </c>
      <c r="Y171" s="389">
        <v>1198.8800000000001</v>
      </c>
      <c r="Z171" s="389">
        <f t="shared" si="83"/>
        <v>1198.8809999999999</v>
      </c>
      <c r="AA171" s="389">
        <f t="shared" si="83"/>
        <v>1198.8809999999999</v>
      </c>
      <c r="AB171" s="389">
        <f t="shared" si="83"/>
        <v>1198.8809999999999</v>
      </c>
      <c r="AC171" s="389">
        <f t="shared" si="83"/>
        <v>1198.8809999999999</v>
      </c>
      <c r="AD171" s="389">
        <f t="shared" si="83"/>
        <v>1198.8809999999999</v>
      </c>
      <c r="AE171" s="389">
        <f t="shared" si="83"/>
        <v>1198.8809999999999</v>
      </c>
      <c r="AF171" s="389">
        <f t="shared" si="83"/>
        <v>1198.8809999999999</v>
      </c>
      <c r="AG171" s="389">
        <f t="shared" si="83"/>
        <v>1198.8809999999999</v>
      </c>
      <c r="AH171" s="389">
        <f t="shared" si="83"/>
        <v>1198.8809999999999</v>
      </c>
      <c r="AI171" s="389">
        <f t="shared" si="83"/>
        <v>1198.8809999999999</v>
      </c>
      <c r="AJ171" s="389">
        <f t="shared" si="84"/>
        <v>1198.8809999999999</v>
      </c>
      <c r="AK171" s="389">
        <f t="shared" ref="AK171:AK200" si="85">SUM($D171*$J171)/100</f>
        <v>1198.8809999999999</v>
      </c>
    </row>
    <row r="172" spans="1:37" s="377" customFormat="1">
      <c r="B172" s="377" t="s">
        <v>919</v>
      </c>
      <c r="C172" s="386">
        <f>DATE(95,1,1)</f>
        <v>34700</v>
      </c>
      <c r="D172" s="377">
        <f>16121.33+8916.5</f>
        <v>25037.83</v>
      </c>
      <c r="F172" s="377">
        <f t="shared" si="77"/>
        <v>21265.035900000006</v>
      </c>
      <c r="H172" s="377">
        <f t="shared" si="70"/>
        <v>21265.035900000006</v>
      </c>
      <c r="I172" s="388">
        <v>3</v>
      </c>
      <c r="J172" s="377">
        <v>5</v>
      </c>
      <c r="P172" s="389"/>
      <c r="Q172" s="389"/>
      <c r="R172" s="389">
        <v>483.64</v>
      </c>
      <c r="S172" s="389">
        <f t="shared" si="81"/>
        <v>751.13490000000002</v>
      </c>
      <c r="T172" s="389">
        <f t="shared" si="82"/>
        <v>1251.8915000000002</v>
      </c>
      <c r="U172" s="389">
        <f t="shared" si="82"/>
        <v>1251.8915000000002</v>
      </c>
      <c r="V172" s="389">
        <f t="shared" si="82"/>
        <v>1251.8915000000002</v>
      </c>
      <c r="W172" s="389">
        <f t="shared" si="82"/>
        <v>1251.8915000000002</v>
      </c>
      <c r="X172" s="389">
        <v>1251.8900000000001</v>
      </c>
      <c r="Y172" s="389">
        <v>1251.8900000000001</v>
      </c>
      <c r="Z172" s="389">
        <f t="shared" si="83"/>
        <v>1251.8915000000002</v>
      </c>
      <c r="AA172" s="389">
        <f t="shared" si="83"/>
        <v>1251.8915000000002</v>
      </c>
      <c r="AB172" s="389">
        <f t="shared" si="83"/>
        <v>1251.8915000000002</v>
      </c>
      <c r="AC172" s="389">
        <f t="shared" si="83"/>
        <v>1251.8915000000002</v>
      </c>
      <c r="AD172" s="389">
        <f t="shared" si="83"/>
        <v>1251.8915000000002</v>
      </c>
      <c r="AE172" s="389">
        <f t="shared" si="83"/>
        <v>1251.8915000000002</v>
      </c>
      <c r="AF172" s="389">
        <f t="shared" si="83"/>
        <v>1251.8915000000002</v>
      </c>
      <c r="AG172" s="389">
        <f t="shared" si="83"/>
        <v>1251.8915000000002</v>
      </c>
      <c r="AH172" s="389">
        <f t="shared" si="83"/>
        <v>1251.8915000000002</v>
      </c>
      <c r="AI172" s="389">
        <f t="shared" si="83"/>
        <v>1251.8915000000002</v>
      </c>
      <c r="AJ172" s="389">
        <f t="shared" si="84"/>
        <v>1251.8915000000002</v>
      </c>
      <c r="AK172" s="389">
        <f t="shared" si="85"/>
        <v>1251.8915000000002</v>
      </c>
    </row>
    <row r="173" spans="1:37" s="377" customFormat="1">
      <c r="B173" s="377" t="s">
        <v>918</v>
      </c>
      <c r="C173" s="386">
        <f>DATE(96,1,1)</f>
        <v>35065</v>
      </c>
      <c r="D173" s="377">
        <f>50753.46+7190.2+16976.3-27806.3</f>
        <v>47113.659999999989</v>
      </c>
      <c r="F173" s="377">
        <f t="shared" si="77"/>
        <v>39104.331799999971</v>
      </c>
      <c r="H173" s="377">
        <f t="shared" si="70"/>
        <v>39104.331799999971</v>
      </c>
      <c r="I173" s="388">
        <v>3</v>
      </c>
      <c r="J173" s="388">
        <v>5</v>
      </c>
      <c r="K173" s="377">
        <v>0</v>
      </c>
      <c r="L173" s="377">
        <v>0</v>
      </c>
      <c r="M173" s="377">
        <v>0</v>
      </c>
      <c r="N173" s="389">
        <v>0</v>
      </c>
      <c r="O173" s="389">
        <v>0</v>
      </c>
      <c r="P173" s="389">
        <v>0</v>
      </c>
      <c r="Q173" s="389">
        <v>0</v>
      </c>
      <c r="R173" s="389">
        <v>0</v>
      </c>
      <c r="S173" s="389">
        <f t="shared" si="81"/>
        <v>1413.4097999999999</v>
      </c>
      <c r="T173" s="389">
        <f t="shared" si="82"/>
        <v>2355.6829999999991</v>
      </c>
      <c r="U173" s="389">
        <f t="shared" si="82"/>
        <v>2355.6829999999991</v>
      </c>
      <c r="V173" s="389">
        <f t="shared" si="82"/>
        <v>2355.6829999999991</v>
      </c>
      <c r="W173" s="389">
        <f t="shared" si="82"/>
        <v>2355.6829999999991</v>
      </c>
      <c r="X173" s="389">
        <v>2355.6799999999998</v>
      </c>
      <c r="Y173" s="389">
        <v>2355.6799999999998</v>
      </c>
      <c r="Z173" s="389">
        <f t="shared" si="83"/>
        <v>2355.6829999999991</v>
      </c>
      <c r="AA173" s="389">
        <f t="shared" si="83"/>
        <v>2355.6829999999991</v>
      </c>
      <c r="AB173" s="389">
        <f t="shared" si="83"/>
        <v>2355.6829999999991</v>
      </c>
      <c r="AC173" s="389">
        <f t="shared" si="83"/>
        <v>2355.6829999999991</v>
      </c>
      <c r="AD173" s="389">
        <f t="shared" si="83"/>
        <v>2355.6829999999991</v>
      </c>
      <c r="AE173" s="389">
        <f t="shared" si="83"/>
        <v>2355.6829999999991</v>
      </c>
      <c r="AF173" s="389">
        <f t="shared" si="83"/>
        <v>2355.6829999999991</v>
      </c>
      <c r="AG173" s="389">
        <f t="shared" si="83"/>
        <v>2355.6829999999991</v>
      </c>
      <c r="AH173" s="389">
        <f t="shared" si="83"/>
        <v>2355.6829999999991</v>
      </c>
      <c r="AI173" s="389">
        <f t="shared" si="83"/>
        <v>2355.6829999999991</v>
      </c>
      <c r="AJ173" s="389">
        <f t="shared" si="84"/>
        <v>2355.6829999999991</v>
      </c>
      <c r="AK173" s="389">
        <f t="shared" si="85"/>
        <v>2355.6829999999991</v>
      </c>
    </row>
    <row r="174" spans="1:37" s="377" customFormat="1">
      <c r="B174" s="377" t="s">
        <v>917</v>
      </c>
      <c r="C174" s="386">
        <f>DATE(97,1,1)</f>
        <v>35431</v>
      </c>
      <c r="D174" s="377">
        <f>16435.22+6661.63+4055.5</f>
        <v>27152.350000000002</v>
      </c>
      <c r="F174" s="377">
        <f t="shared" si="77"/>
        <v>21721.885000000002</v>
      </c>
      <c r="H174" s="377">
        <f t="shared" si="70"/>
        <v>21721.885000000002</v>
      </c>
      <c r="I174" s="388">
        <v>3</v>
      </c>
      <c r="J174" s="388">
        <v>5</v>
      </c>
      <c r="K174" s="377">
        <v>0</v>
      </c>
      <c r="L174" s="377">
        <v>0</v>
      </c>
      <c r="M174" s="377">
        <v>0</v>
      </c>
      <c r="N174" s="389">
        <v>0</v>
      </c>
      <c r="O174" s="389">
        <v>0</v>
      </c>
      <c r="P174" s="389">
        <v>0</v>
      </c>
      <c r="Q174" s="389">
        <v>0</v>
      </c>
      <c r="R174" s="389">
        <v>0</v>
      </c>
      <c r="S174" s="389">
        <v>0</v>
      </c>
      <c r="T174" s="389">
        <f t="shared" si="82"/>
        <v>1357.6175000000001</v>
      </c>
      <c r="U174" s="389">
        <f t="shared" si="82"/>
        <v>1357.6175000000001</v>
      </c>
      <c r="V174" s="389">
        <f t="shared" si="82"/>
        <v>1357.6175000000001</v>
      </c>
      <c r="W174" s="389">
        <f t="shared" si="82"/>
        <v>1357.6175000000001</v>
      </c>
      <c r="X174" s="389">
        <v>1357.62</v>
      </c>
      <c r="Y174" s="389">
        <v>1357.62</v>
      </c>
      <c r="Z174" s="389">
        <f t="shared" si="83"/>
        <v>1357.6175000000001</v>
      </c>
      <c r="AA174" s="389">
        <f t="shared" si="83"/>
        <v>1357.6175000000001</v>
      </c>
      <c r="AB174" s="389">
        <f t="shared" si="83"/>
        <v>1357.6175000000001</v>
      </c>
      <c r="AC174" s="389">
        <f t="shared" si="83"/>
        <v>1357.6175000000001</v>
      </c>
      <c r="AD174" s="389">
        <f t="shared" si="83"/>
        <v>1357.6175000000001</v>
      </c>
      <c r="AE174" s="389">
        <f t="shared" si="83"/>
        <v>1357.6175000000001</v>
      </c>
      <c r="AF174" s="389">
        <f t="shared" si="83"/>
        <v>1357.6175000000001</v>
      </c>
      <c r="AG174" s="389">
        <f t="shared" si="83"/>
        <v>1357.6175000000001</v>
      </c>
      <c r="AH174" s="389">
        <f t="shared" si="83"/>
        <v>1357.6175000000001</v>
      </c>
      <c r="AI174" s="389">
        <f t="shared" si="83"/>
        <v>1357.6175000000001</v>
      </c>
      <c r="AJ174" s="389">
        <f t="shared" si="84"/>
        <v>1357.6175000000001</v>
      </c>
      <c r="AK174" s="389">
        <f t="shared" si="85"/>
        <v>1357.6175000000001</v>
      </c>
    </row>
    <row r="175" spans="1:37" s="377" customFormat="1">
      <c r="B175" s="377" t="s">
        <v>916</v>
      </c>
      <c r="C175" s="386">
        <f>DATE(96,1,1)</f>
        <v>35065</v>
      </c>
      <c r="D175" s="377">
        <f>11031+72415-16435.22</f>
        <v>67010.78</v>
      </c>
      <c r="F175" s="377">
        <f t="shared" si="77"/>
        <v>50318.846999999987</v>
      </c>
      <c r="H175" s="377">
        <f t="shared" si="70"/>
        <v>50318.846999999987</v>
      </c>
      <c r="I175" s="388">
        <v>3</v>
      </c>
      <c r="J175" s="388">
        <v>5</v>
      </c>
      <c r="K175" s="377">
        <v>0</v>
      </c>
      <c r="L175" s="377">
        <v>0</v>
      </c>
      <c r="M175" s="377">
        <v>0</v>
      </c>
      <c r="N175" s="389">
        <v>0</v>
      </c>
      <c r="O175" s="389">
        <v>0</v>
      </c>
      <c r="P175" s="389">
        <v>0</v>
      </c>
      <c r="Q175" s="389">
        <v>0</v>
      </c>
      <c r="R175" s="389">
        <v>0</v>
      </c>
      <c r="S175" s="389">
        <v>330.95</v>
      </c>
      <c r="T175" s="389">
        <v>551.54999999999995</v>
      </c>
      <c r="U175" s="389">
        <f>SUM($D175*$J175)/100-821.74</f>
        <v>2528.799</v>
      </c>
      <c r="V175" s="389">
        <f t="shared" ref="V175:W177" si="86">SUM($D175*$J175)/100</f>
        <v>3350.5390000000002</v>
      </c>
      <c r="W175" s="389">
        <f t="shared" si="86"/>
        <v>3350.5390000000002</v>
      </c>
      <c r="X175" s="389">
        <v>3350.54</v>
      </c>
      <c r="Y175" s="389">
        <v>3350.54</v>
      </c>
      <c r="Z175" s="389">
        <f t="shared" si="83"/>
        <v>3350.5390000000002</v>
      </c>
      <c r="AA175" s="389">
        <f t="shared" si="83"/>
        <v>3350.5390000000002</v>
      </c>
      <c r="AB175" s="389">
        <f t="shared" si="83"/>
        <v>3350.5390000000002</v>
      </c>
      <c r="AC175" s="389">
        <f t="shared" si="83"/>
        <v>3350.5390000000002</v>
      </c>
      <c r="AD175" s="389">
        <f t="shared" si="83"/>
        <v>3350.5390000000002</v>
      </c>
      <c r="AE175" s="389">
        <f t="shared" si="83"/>
        <v>3350.5390000000002</v>
      </c>
      <c r="AF175" s="389">
        <f t="shared" si="83"/>
        <v>3350.5390000000002</v>
      </c>
      <c r="AG175" s="389">
        <f t="shared" si="83"/>
        <v>3350.5390000000002</v>
      </c>
      <c r="AH175" s="389">
        <f t="shared" si="83"/>
        <v>3350.5390000000002</v>
      </c>
      <c r="AI175" s="389">
        <f t="shared" si="83"/>
        <v>3350.5390000000002</v>
      </c>
      <c r="AJ175" s="389">
        <f t="shared" si="84"/>
        <v>3350.5390000000002</v>
      </c>
      <c r="AK175" s="389">
        <f t="shared" si="85"/>
        <v>3350.5390000000002</v>
      </c>
    </row>
    <row r="176" spans="1:37" s="377" customFormat="1">
      <c r="B176" s="377" t="s">
        <v>915</v>
      </c>
      <c r="C176" s="386">
        <f>DATE(98,6,1)</f>
        <v>35947</v>
      </c>
      <c r="D176" s="387">
        <f>40062.54-21884.47</f>
        <v>18178.07</v>
      </c>
      <c r="E176" s="387"/>
      <c r="F176" s="387">
        <f t="shared" ref="F176:F201" si="87">H176</f>
        <v>13633.545500000004</v>
      </c>
      <c r="H176" s="377">
        <f t="shared" si="70"/>
        <v>13633.545500000004</v>
      </c>
      <c r="I176" s="388">
        <v>2</v>
      </c>
      <c r="J176" s="404">
        <v>5</v>
      </c>
      <c r="L176" s="389">
        <v>0</v>
      </c>
      <c r="M176" s="389">
        <v>0</v>
      </c>
      <c r="N176" s="389">
        <v>0</v>
      </c>
      <c r="O176" s="389">
        <v>0</v>
      </c>
      <c r="P176" s="389">
        <v>0</v>
      </c>
      <c r="Q176" s="389">
        <v>0</v>
      </c>
      <c r="R176" s="389">
        <v>0</v>
      </c>
      <c r="S176" s="389">
        <v>0</v>
      </c>
      <c r="T176" s="389">
        <v>0</v>
      </c>
      <c r="U176" s="389">
        <f>SUM($D176*$J176)/100</f>
        <v>908.90350000000001</v>
      </c>
      <c r="V176" s="389">
        <f t="shared" si="86"/>
        <v>908.90350000000001</v>
      </c>
      <c r="W176" s="389">
        <f t="shared" si="86"/>
        <v>908.90350000000001</v>
      </c>
      <c r="X176" s="389">
        <v>908.9</v>
      </c>
      <c r="Y176" s="389">
        <v>908.9</v>
      </c>
      <c r="Z176" s="389">
        <f t="shared" si="83"/>
        <v>908.90350000000001</v>
      </c>
      <c r="AA176" s="389">
        <f t="shared" si="83"/>
        <v>908.90350000000001</v>
      </c>
      <c r="AB176" s="389">
        <f t="shared" si="83"/>
        <v>908.90350000000001</v>
      </c>
      <c r="AC176" s="389">
        <f t="shared" si="83"/>
        <v>908.90350000000001</v>
      </c>
      <c r="AD176" s="389">
        <f t="shared" si="83"/>
        <v>908.90350000000001</v>
      </c>
      <c r="AE176" s="389">
        <f t="shared" si="83"/>
        <v>908.90350000000001</v>
      </c>
      <c r="AF176" s="389">
        <f t="shared" si="83"/>
        <v>908.90350000000001</v>
      </c>
      <c r="AG176" s="389">
        <f t="shared" si="83"/>
        <v>908.90350000000001</v>
      </c>
      <c r="AH176" s="389">
        <f t="shared" si="83"/>
        <v>908.90350000000001</v>
      </c>
      <c r="AI176" s="389">
        <f t="shared" si="83"/>
        <v>908.90350000000001</v>
      </c>
      <c r="AJ176" s="389">
        <f t="shared" si="84"/>
        <v>908.90350000000001</v>
      </c>
      <c r="AK176" s="389">
        <f t="shared" si="85"/>
        <v>908.90350000000001</v>
      </c>
    </row>
    <row r="177" spans="2:37" s="377" customFormat="1">
      <c r="B177" s="377" t="s">
        <v>914</v>
      </c>
      <c r="C177" s="386">
        <f>DATE(99,6,1)</f>
        <v>36312</v>
      </c>
      <c r="D177" s="387">
        <f>22064.65-7902.11-7071.38</f>
        <v>7091.1600000000008</v>
      </c>
      <c r="E177" s="387"/>
      <c r="F177" s="387">
        <f t="shared" si="87"/>
        <v>4963.8160000000007</v>
      </c>
      <c r="H177" s="377">
        <f t="shared" si="70"/>
        <v>4963.8160000000007</v>
      </c>
      <c r="I177" s="388">
        <v>2</v>
      </c>
      <c r="J177" s="404">
        <v>5</v>
      </c>
      <c r="L177" s="389">
        <v>0</v>
      </c>
      <c r="M177" s="389">
        <v>0</v>
      </c>
      <c r="N177" s="389">
        <v>0</v>
      </c>
      <c r="O177" s="389">
        <v>0</v>
      </c>
      <c r="P177" s="389">
        <v>0</v>
      </c>
      <c r="Q177" s="389">
        <v>0</v>
      </c>
      <c r="R177" s="389">
        <v>0</v>
      </c>
      <c r="S177" s="389">
        <v>0</v>
      </c>
      <c r="T177" s="389">
        <v>0</v>
      </c>
      <c r="U177" s="389">
        <v>0</v>
      </c>
      <c r="V177" s="389">
        <f t="shared" si="86"/>
        <v>354.55800000000005</v>
      </c>
      <c r="W177" s="389">
        <f t="shared" si="86"/>
        <v>354.55800000000005</v>
      </c>
      <c r="X177" s="389">
        <v>354.56</v>
      </c>
      <c r="Y177" s="389">
        <v>354.56</v>
      </c>
      <c r="Z177" s="389">
        <f t="shared" si="83"/>
        <v>354.55800000000005</v>
      </c>
      <c r="AA177" s="389">
        <f t="shared" si="83"/>
        <v>354.55800000000005</v>
      </c>
      <c r="AB177" s="389">
        <f t="shared" si="83"/>
        <v>354.55800000000005</v>
      </c>
      <c r="AC177" s="389">
        <f t="shared" si="83"/>
        <v>354.55800000000005</v>
      </c>
      <c r="AD177" s="389">
        <f t="shared" si="83"/>
        <v>354.55800000000005</v>
      </c>
      <c r="AE177" s="389">
        <f t="shared" si="83"/>
        <v>354.55800000000005</v>
      </c>
      <c r="AF177" s="389">
        <f t="shared" si="83"/>
        <v>354.55800000000005</v>
      </c>
      <c r="AG177" s="389">
        <f t="shared" si="83"/>
        <v>354.55800000000005</v>
      </c>
      <c r="AH177" s="389">
        <f t="shared" si="83"/>
        <v>354.55800000000005</v>
      </c>
      <c r="AI177" s="389">
        <f t="shared" si="83"/>
        <v>354.55800000000005</v>
      </c>
      <c r="AJ177" s="389">
        <f t="shared" si="84"/>
        <v>354.55800000000005</v>
      </c>
      <c r="AK177" s="389">
        <f t="shared" si="85"/>
        <v>354.55800000000005</v>
      </c>
    </row>
    <row r="178" spans="2:37" s="377" customFormat="1">
      <c r="B178" s="377" t="s">
        <v>913</v>
      </c>
      <c r="C178" s="386">
        <f>DATE(2000,6,1)</f>
        <v>36678</v>
      </c>
      <c r="D178" s="387">
        <f>29566.64-4510</f>
        <v>25056.639999999999</v>
      </c>
      <c r="E178" s="387"/>
      <c r="F178" s="387">
        <f t="shared" si="87"/>
        <v>16286.812000000002</v>
      </c>
      <c r="H178" s="377">
        <f t="shared" si="70"/>
        <v>16286.812000000002</v>
      </c>
      <c r="I178" s="388">
        <v>2</v>
      </c>
      <c r="J178" s="404">
        <v>5</v>
      </c>
      <c r="L178" s="389">
        <v>0</v>
      </c>
      <c r="M178" s="389">
        <v>0</v>
      </c>
      <c r="N178" s="389">
        <v>0</v>
      </c>
      <c r="O178" s="389">
        <v>0</v>
      </c>
      <c r="P178" s="389">
        <v>0</v>
      </c>
      <c r="Q178" s="389">
        <v>0</v>
      </c>
      <c r="R178" s="389">
        <v>0</v>
      </c>
      <c r="S178" s="389">
        <v>0</v>
      </c>
      <c r="T178" s="389">
        <v>0</v>
      </c>
      <c r="U178" s="389">
        <v>0</v>
      </c>
      <c r="V178" s="389">
        <v>0</v>
      </c>
      <c r="W178" s="389">
        <f>SUM($D178*$J178)/100</f>
        <v>1252.8319999999999</v>
      </c>
      <c r="X178" s="389">
        <v>1252.83</v>
      </c>
      <c r="Y178" s="389">
        <v>1252.83</v>
      </c>
      <c r="Z178" s="389">
        <f t="shared" si="83"/>
        <v>1252.8319999999999</v>
      </c>
      <c r="AA178" s="389">
        <f t="shared" si="83"/>
        <v>1252.8319999999999</v>
      </c>
      <c r="AB178" s="389">
        <f t="shared" si="83"/>
        <v>1252.8319999999999</v>
      </c>
      <c r="AC178" s="389">
        <f t="shared" si="83"/>
        <v>1252.8319999999999</v>
      </c>
      <c r="AD178" s="389">
        <f t="shared" si="83"/>
        <v>1252.8319999999999</v>
      </c>
      <c r="AE178" s="389">
        <f t="shared" si="83"/>
        <v>1252.8319999999999</v>
      </c>
      <c r="AF178" s="389">
        <f t="shared" si="83"/>
        <v>1252.8319999999999</v>
      </c>
      <c r="AG178" s="389">
        <f t="shared" si="83"/>
        <v>1252.8319999999999</v>
      </c>
      <c r="AH178" s="389">
        <f t="shared" si="83"/>
        <v>1252.8319999999999</v>
      </c>
      <c r="AI178" s="389">
        <f t="shared" si="83"/>
        <v>1252.8319999999999</v>
      </c>
      <c r="AJ178" s="389">
        <f t="shared" si="84"/>
        <v>1252.8319999999999</v>
      </c>
      <c r="AK178" s="389">
        <f t="shared" si="85"/>
        <v>1252.8319999999999</v>
      </c>
    </row>
    <row r="179" spans="2:37" s="377" customFormat="1">
      <c r="B179" s="377" t="s">
        <v>912</v>
      </c>
      <c r="C179" s="386">
        <f>DATE(2001,6,1)</f>
        <v>37043</v>
      </c>
      <c r="D179" s="387">
        <v>23916.7</v>
      </c>
      <c r="E179" s="387"/>
      <c r="F179" s="387">
        <f t="shared" si="87"/>
        <v>14393.189999999995</v>
      </c>
      <c r="H179" s="377">
        <f t="shared" si="70"/>
        <v>14393.189999999995</v>
      </c>
      <c r="I179" s="388">
        <v>2</v>
      </c>
      <c r="J179" s="404">
        <v>5</v>
      </c>
      <c r="L179" s="389">
        <v>0</v>
      </c>
      <c r="M179" s="389">
        <v>0</v>
      </c>
      <c r="N179" s="389">
        <v>0</v>
      </c>
      <c r="O179" s="389">
        <v>0</v>
      </c>
      <c r="P179" s="389">
        <v>0</v>
      </c>
      <c r="Q179" s="389">
        <v>0</v>
      </c>
      <c r="R179" s="389">
        <v>0</v>
      </c>
      <c r="S179" s="389">
        <v>0</v>
      </c>
      <c r="T179" s="389">
        <v>0</v>
      </c>
      <c r="U179" s="389">
        <v>0</v>
      </c>
      <c r="V179" s="389">
        <v>0</v>
      </c>
      <c r="W179" s="389">
        <v>0</v>
      </c>
      <c r="X179" s="389">
        <v>1217.42</v>
      </c>
      <c r="Y179" s="389">
        <v>1217.42</v>
      </c>
      <c r="Z179" s="389">
        <f t="shared" si="83"/>
        <v>1195.835</v>
      </c>
      <c r="AA179" s="389">
        <f t="shared" si="83"/>
        <v>1195.835</v>
      </c>
      <c r="AB179" s="389">
        <f t="shared" si="83"/>
        <v>1195.835</v>
      </c>
      <c r="AC179" s="389">
        <f t="shared" si="83"/>
        <v>1195.835</v>
      </c>
      <c r="AD179" s="389">
        <f t="shared" si="83"/>
        <v>1195.835</v>
      </c>
      <c r="AE179" s="389">
        <f t="shared" si="83"/>
        <v>1195.835</v>
      </c>
      <c r="AF179" s="389">
        <f t="shared" si="83"/>
        <v>1195.835</v>
      </c>
      <c r="AG179" s="389">
        <f t="shared" si="83"/>
        <v>1195.835</v>
      </c>
      <c r="AH179" s="389">
        <f t="shared" si="83"/>
        <v>1195.835</v>
      </c>
      <c r="AI179" s="389">
        <f t="shared" si="83"/>
        <v>1195.835</v>
      </c>
      <c r="AJ179" s="389">
        <f t="shared" si="84"/>
        <v>1195.835</v>
      </c>
      <c r="AK179" s="389">
        <f t="shared" si="85"/>
        <v>1195.835</v>
      </c>
    </row>
    <row r="180" spans="2:37" s="377" customFormat="1">
      <c r="B180" s="377" t="s">
        <v>911</v>
      </c>
      <c r="C180" s="386">
        <f>DATE(2002,6,1)</f>
        <v>37408</v>
      </c>
      <c r="D180" s="387">
        <f>78505.95+6558.25+35800.28+529.73+9918+1347.71</f>
        <v>132659.91999999998</v>
      </c>
      <c r="E180" s="387"/>
      <c r="F180" s="387">
        <f t="shared" si="87"/>
        <v>72962.959999999992</v>
      </c>
      <c r="H180" s="377">
        <f t="shared" si="70"/>
        <v>72962.959999999992</v>
      </c>
      <c r="I180" s="388">
        <v>2</v>
      </c>
      <c r="J180" s="404">
        <v>5</v>
      </c>
      <c r="L180" s="389">
        <v>0</v>
      </c>
      <c r="M180" s="389">
        <v>0</v>
      </c>
      <c r="N180" s="389">
        <v>0</v>
      </c>
      <c r="O180" s="389">
        <v>0</v>
      </c>
      <c r="P180" s="389">
        <v>0</v>
      </c>
      <c r="Q180" s="389">
        <v>0</v>
      </c>
      <c r="R180" s="389">
        <v>0</v>
      </c>
      <c r="S180" s="389">
        <v>0</v>
      </c>
      <c r="T180" s="389">
        <v>0</v>
      </c>
      <c r="U180" s="389">
        <v>0</v>
      </c>
      <c r="V180" s="389">
        <v>0</v>
      </c>
      <c r="W180" s="389">
        <v>0</v>
      </c>
      <c r="X180" s="389">
        <v>0</v>
      </c>
      <c r="Y180" s="389">
        <v>6633</v>
      </c>
      <c r="Z180" s="389">
        <f t="shared" si="83"/>
        <v>6632.9959999999983</v>
      </c>
      <c r="AA180" s="389">
        <f t="shared" si="83"/>
        <v>6632.9959999999983</v>
      </c>
      <c r="AB180" s="389">
        <f t="shared" si="83"/>
        <v>6632.9959999999983</v>
      </c>
      <c r="AC180" s="389">
        <f t="shared" si="83"/>
        <v>6632.9959999999983</v>
      </c>
      <c r="AD180" s="389">
        <f t="shared" si="83"/>
        <v>6632.9959999999983</v>
      </c>
      <c r="AE180" s="389">
        <f t="shared" si="83"/>
        <v>6632.9959999999983</v>
      </c>
      <c r="AF180" s="389">
        <f t="shared" si="83"/>
        <v>6632.9959999999983</v>
      </c>
      <c r="AG180" s="389">
        <f t="shared" si="83"/>
        <v>6632.9959999999983</v>
      </c>
      <c r="AH180" s="389">
        <f t="shared" si="83"/>
        <v>6632.9959999999983</v>
      </c>
      <c r="AI180" s="389">
        <f t="shared" si="83"/>
        <v>6632.9959999999983</v>
      </c>
      <c r="AJ180" s="389">
        <f t="shared" si="84"/>
        <v>6632.9959999999983</v>
      </c>
      <c r="AK180" s="389">
        <f t="shared" si="85"/>
        <v>6632.9959999999983</v>
      </c>
    </row>
    <row r="181" spans="2:37" s="377" customFormat="1">
      <c r="B181" s="377" t="s">
        <v>910</v>
      </c>
      <c r="C181" s="386">
        <f>DATE(2003,6,1)</f>
        <v>37773</v>
      </c>
      <c r="D181" s="387">
        <v>38305.83</v>
      </c>
      <c r="E181" s="387"/>
      <c r="F181" s="387">
        <f t="shared" si="87"/>
        <v>19152.914999999997</v>
      </c>
      <c r="H181" s="377">
        <f t="shared" si="70"/>
        <v>19152.914999999997</v>
      </c>
      <c r="I181" s="388">
        <v>2</v>
      </c>
      <c r="J181" s="404">
        <v>5</v>
      </c>
      <c r="L181" s="389">
        <v>0</v>
      </c>
      <c r="M181" s="389">
        <v>0</v>
      </c>
      <c r="N181" s="389">
        <v>0</v>
      </c>
      <c r="O181" s="389">
        <v>0</v>
      </c>
      <c r="P181" s="389">
        <v>0</v>
      </c>
      <c r="Q181" s="389">
        <v>0</v>
      </c>
      <c r="R181" s="389">
        <v>0</v>
      </c>
      <c r="S181" s="389">
        <v>0</v>
      </c>
      <c r="T181" s="389">
        <v>0</v>
      </c>
      <c r="U181" s="389">
        <v>0</v>
      </c>
      <c r="V181" s="389">
        <v>0</v>
      </c>
      <c r="W181" s="389">
        <v>0</v>
      </c>
      <c r="X181" s="389">
        <v>0</v>
      </c>
      <c r="Y181" s="389">
        <v>0</v>
      </c>
      <c r="Z181" s="389">
        <f t="shared" si="83"/>
        <v>1915.2915000000003</v>
      </c>
      <c r="AA181" s="389">
        <f t="shared" si="83"/>
        <v>1915.2915000000003</v>
      </c>
      <c r="AB181" s="389">
        <f t="shared" si="83"/>
        <v>1915.2915000000003</v>
      </c>
      <c r="AC181" s="389">
        <f t="shared" si="83"/>
        <v>1915.2915000000003</v>
      </c>
      <c r="AD181" s="389">
        <f t="shared" si="83"/>
        <v>1915.2915000000003</v>
      </c>
      <c r="AE181" s="389">
        <f t="shared" si="83"/>
        <v>1915.2915000000003</v>
      </c>
      <c r="AF181" s="389">
        <f t="shared" si="83"/>
        <v>1915.2915000000003</v>
      </c>
      <c r="AG181" s="389">
        <f t="shared" si="83"/>
        <v>1915.2915000000003</v>
      </c>
      <c r="AH181" s="389">
        <f t="shared" si="83"/>
        <v>1915.2915000000003</v>
      </c>
      <c r="AI181" s="389">
        <f t="shared" si="83"/>
        <v>1915.2915000000003</v>
      </c>
      <c r="AJ181" s="389">
        <f t="shared" si="84"/>
        <v>1915.2915000000003</v>
      </c>
      <c r="AK181" s="389">
        <f t="shared" si="85"/>
        <v>1915.2915000000003</v>
      </c>
    </row>
    <row r="182" spans="2:37" s="377" customFormat="1">
      <c r="B182" s="403" t="s">
        <v>909</v>
      </c>
      <c r="C182" s="386">
        <f>DATE(2004,6,1)</f>
        <v>38139</v>
      </c>
      <c r="D182" s="387">
        <v>22194.65</v>
      </c>
      <c r="E182" s="387"/>
      <c r="F182" s="387">
        <f t="shared" si="87"/>
        <v>9987.5925000000007</v>
      </c>
      <c r="H182" s="377">
        <f t="shared" si="70"/>
        <v>9987.5925000000007</v>
      </c>
      <c r="I182" s="388">
        <v>2</v>
      </c>
      <c r="J182" s="404">
        <v>5</v>
      </c>
      <c r="L182" s="389">
        <v>0</v>
      </c>
      <c r="M182" s="389">
        <v>0</v>
      </c>
      <c r="N182" s="389">
        <v>0</v>
      </c>
      <c r="O182" s="389">
        <v>0</v>
      </c>
      <c r="P182" s="389">
        <v>0</v>
      </c>
      <c r="Q182" s="389">
        <v>0</v>
      </c>
      <c r="R182" s="389">
        <v>0</v>
      </c>
      <c r="S182" s="389">
        <v>0</v>
      </c>
      <c r="T182" s="389">
        <v>0</v>
      </c>
      <c r="U182" s="389">
        <v>0</v>
      </c>
      <c r="V182" s="389">
        <v>0</v>
      </c>
      <c r="W182" s="389">
        <v>0</v>
      </c>
      <c r="X182" s="389">
        <v>0</v>
      </c>
      <c r="Y182" s="389">
        <v>0</v>
      </c>
      <c r="Z182" s="389">
        <v>0</v>
      </c>
      <c r="AA182" s="389">
        <f t="shared" ref="AA182:AI182" si="88">SUM($D182*$J182)/100</f>
        <v>1109.7325000000001</v>
      </c>
      <c r="AB182" s="389">
        <f t="shared" si="88"/>
        <v>1109.7325000000001</v>
      </c>
      <c r="AC182" s="389">
        <f t="shared" si="88"/>
        <v>1109.7325000000001</v>
      </c>
      <c r="AD182" s="389">
        <f t="shared" si="88"/>
        <v>1109.7325000000001</v>
      </c>
      <c r="AE182" s="389">
        <f t="shared" si="88"/>
        <v>1109.7325000000001</v>
      </c>
      <c r="AF182" s="389">
        <f t="shared" si="88"/>
        <v>1109.7325000000001</v>
      </c>
      <c r="AG182" s="389">
        <f t="shared" si="88"/>
        <v>1109.7325000000001</v>
      </c>
      <c r="AH182" s="389">
        <f t="shared" si="88"/>
        <v>1109.7325000000001</v>
      </c>
      <c r="AI182" s="389">
        <f t="shared" si="88"/>
        <v>1109.7325000000001</v>
      </c>
      <c r="AJ182" s="389">
        <f t="shared" si="84"/>
        <v>1109.7325000000001</v>
      </c>
      <c r="AK182" s="389">
        <f t="shared" si="85"/>
        <v>1109.7325000000001</v>
      </c>
    </row>
    <row r="183" spans="2:37" s="377" customFormat="1">
      <c r="B183" s="377" t="s">
        <v>902</v>
      </c>
      <c r="C183" s="386">
        <f>DATE(2005,6,1)</f>
        <v>38504</v>
      </c>
      <c r="D183" s="387">
        <v>248941.14</v>
      </c>
      <c r="E183" s="387"/>
      <c r="F183" s="387">
        <f t="shared" si="87"/>
        <v>99576.45600000002</v>
      </c>
      <c r="H183" s="377">
        <f t="shared" si="70"/>
        <v>99576.45600000002</v>
      </c>
      <c r="I183" s="388">
        <v>2</v>
      </c>
      <c r="J183" s="404">
        <v>5</v>
      </c>
      <c r="L183" s="389">
        <v>0</v>
      </c>
      <c r="M183" s="389">
        <v>0</v>
      </c>
      <c r="N183" s="389">
        <v>0</v>
      </c>
      <c r="O183" s="389">
        <v>0</v>
      </c>
      <c r="P183" s="389">
        <v>0</v>
      </c>
      <c r="Q183" s="389">
        <v>0</v>
      </c>
      <c r="R183" s="389">
        <v>0</v>
      </c>
      <c r="S183" s="389">
        <v>0</v>
      </c>
      <c r="T183" s="389">
        <v>0</v>
      </c>
      <c r="U183" s="389">
        <v>0</v>
      </c>
      <c r="V183" s="389">
        <v>0</v>
      </c>
      <c r="W183" s="389">
        <v>0</v>
      </c>
      <c r="X183" s="389">
        <v>0</v>
      </c>
      <c r="Y183" s="389">
        <v>0</v>
      </c>
      <c r="Z183" s="389">
        <v>0</v>
      </c>
      <c r="AA183" s="389">
        <v>0</v>
      </c>
      <c r="AB183" s="389">
        <f t="shared" ref="AB183:AI183" si="89">SUM($D183*$J183)/100</f>
        <v>12447.057000000003</v>
      </c>
      <c r="AC183" s="389">
        <f t="shared" si="89"/>
        <v>12447.057000000003</v>
      </c>
      <c r="AD183" s="389">
        <f t="shared" si="89"/>
        <v>12447.057000000003</v>
      </c>
      <c r="AE183" s="389">
        <f t="shared" si="89"/>
        <v>12447.057000000003</v>
      </c>
      <c r="AF183" s="389">
        <f t="shared" si="89"/>
        <v>12447.057000000003</v>
      </c>
      <c r="AG183" s="389">
        <f t="shared" si="89"/>
        <v>12447.057000000003</v>
      </c>
      <c r="AH183" s="389">
        <f t="shared" si="89"/>
        <v>12447.057000000003</v>
      </c>
      <c r="AI183" s="389">
        <f t="shared" si="89"/>
        <v>12447.057000000003</v>
      </c>
      <c r="AJ183" s="389">
        <f t="shared" si="84"/>
        <v>12447.057000000003</v>
      </c>
      <c r="AK183" s="389">
        <f t="shared" si="85"/>
        <v>12447.057000000003</v>
      </c>
    </row>
    <row r="184" spans="2:37" s="377" customFormat="1">
      <c r="B184" s="377" t="s">
        <v>902</v>
      </c>
      <c r="C184" s="386">
        <f>DATE(2006,6,1)</f>
        <v>38869</v>
      </c>
      <c r="D184" s="387">
        <v>3300</v>
      </c>
      <c r="E184" s="387"/>
      <c r="F184" s="387">
        <f t="shared" si="87"/>
        <v>1155</v>
      </c>
      <c r="H184" s="377">
        <f t="shared" si="70"/>
        <v>1155</v>
      </c>
      <c r="I184" s="388">
        <v>2</v>
      </c>
      <c r="J184" s="404">
        <v>5</v>
      </c>
      <c r="L184" s="389">
        <v>0</v>
      </c>
      <c r="M184" s="389">
        <v>0</v>
      </c>
      <c r="N184" s="389">
        <v>0</v>
      </c>
      <c r="O184" s="389">
        <v>0</v>
      </c>
      <c r="P184" s="389">
        <v>0</v>
      </c>
      <c r="Q184" s="389">
        <v>0</v>
      </c>
      <c r="R184" s="389">
        <v>0</v>
      </c>
      <c r="S184" s="389">
        <v>0</v>
      </c>
      <c r="T184" s="389">
        <v>0</v>
      </c>
      <c r="U184" s="389">
        <v>0</v>
      </c>
      <c r="V184" s="389">
        <v>0</v>
      </c>
      <c r="W184" s="389">
        <v>0</v>
      </c>
      <c r="X184" s="389">
        <v>0</v>
      </c>
      <c r="Y184" s="389">
        <v>0</v>
      </c>
      <c r="Z184" s="389">
        <v>0</v>
      </c>
      <c r="AA184" s="389">
        <v>0</v>
      </c>
      <c r="AB184" s="389">
        <v>0</v>
      </c>
      <c r="AC184" s="389">
        <f t="shared" ref="AC184:AI187" si="90">SUM($D184*$J184)/100</f>
        <v>165</v>
      </c>
      <c r="AD184" s="389">
        <f t="shared" si="90"/>
        <v>165</v>
      </c>
      <c r="AE184" s="389">
        <f t="shared" si="90"/>
        <v>165</v>
      </c>
      <c r="AF184" s="389">
        <f t="shared" si="90"/>
        <v>165</v>
      </c>
      <c r="AG184" s="389">
        <f t="shared" si="90"/>
        <v>165</v>
      </c>
      <c r="AH184" s="389">
        <f t="shared" si="90"/>
        <v>165</v>
      </c>
      <c r="AI184" s="389">
        <f t="shared" si="90"/>
        <v>165</v>
      </c>
      <c r="AJ184" s="389">
        <f t="shared" si="84"/>
        <v>165</v>
      </c>
      <c r="AK184" s="389">
        <f t="shared" si="85"/>
        <v>165</v>
      </c>
    </row>
    <row r="185" spans="2:37" s="377" customFormat="1">
      <c r="B185" s="377" t="s">
        <v>908</v>
      </c>
      <c r="C185" s="386">
        <f>DATE(2006,6,1)</f>
        <v>38869</v>
      </c>
      <c r="D185" s="387">
        <f>6053+6845.89</f>
        <v>12898.89</v>
      </c>
      <c r="E185" s="387"/>
      <c r="F185" s="387">
        <f t="shared" si="87"/>
        <v>4514.6115</v>
      </c>
      <c r="H185" s="377">
        <f t="shared" si="70"/>
        <v>4514.6115</v>
      </c>
      <c r="I185" s="388">
        <v>2</v>
      </c>
      <c r="J185" s="404">
        <v>5</v>
      </c>
      <c r="L185" s="389">
        <v>0</v>
      </c>
      <c r="M185" s="389">
        <v>0</v>
      </c>
      <c r="N185" s="389">
        <v>0</v>
      </c>
      <c r="O185" s="389">
        <v>0</v>
      </c>
      <c r="P185" s="389">
        <v>0</v>
      </c>
      <c r="Q185" s="389">
        <v>0</v>
      </c>
      <c r="R185" s="389">
        <v>0</v>
      </c>
      <c r="S185" s="389">
        <v>0</v>
      </c>
      <c r="T185" s="389">
        <v>0</v>
      </c>
      <c r="U185" s="389">
        <v>0</v>
      </c>
      <c r="V185" s="389">
        <v>0</v>
      </c>
      <c r="W185" s="389">
        <v>0</v>
      </c>
      <c r="X185" s="389">
        <v>0</v>
      </c>
      <c r="Y185" s="389">
        <v>0</v>
      </c>
      <c r="Z185" s="389">
        <v>0</v>
      </c>
      <c r="AA185" s="389">
        <v>0</v>
      </c>
      <c r="AB185" s="389">
        <v>0</v>
      </c>
      <c r="AC185" s="389">
        <f t="shared" si="90"/>
        <v>644.94449999999995</v>
      </c>
      <c r="AD185" s="389">
        <f t="shared" si="90"/>
        <v>644.94449999999995</v>
      </c>
      <c r="AE185" s="389">
        <f t="shared" si="90"/>
        <v>644.94449999999995</v>
      </c>
      <c r="AF185" s="389">
        <f t="shared" si="90"/>
        <v>644.94449999999995</v>
      </c>
      <c r="AG185" s="389">
        <f t="shared" si="90"/>
        <v>644.94449999999995</v>
      </c>
      <c r="AH185" s="389">
        <f t="shared" si="90"/>
        <v>644.94449999999995</v>
      </c>
      <c r="AI185" s="389">
        <f t="shared" si="90"/>
        <v>644.94449999999995</v>
      </c>
      <c r="AJ185" s="389">
        <f t="shared" si="84"/>
        <v>644.94449999999995</v>
      </c>
      <c r="AK185" s="389">
        <f t="shared" si="85"/>
        <v>644.94449999999995</v>
      </c>
    </row>
    <row r="186" spans="2:37" s="377" customFormat="1">
      <c r="B186" s="377" t="s">
        <v>906</v>
      </c>
      <c r="C186" s="386">
        <f>DATE(2006,6,1)</f>
        <v>38869</v>
      </c>
      <c r="D186" s="387">
        <f>10572.65+4455.97+914.63+755.71</f>
        <v>16698.96</v>
      </c>
      <c r="E186" s="387"/>
      <c r="F186" s="387">
        <f t="shared" si="87"/>
        <v>5844.6360000000004</v>
      </c>
      <c r="H186" s="377">
        <f t="shared" si="70"/>
        <v>5844.6360000000004</v>
      </c>
      <c r="I186" s="388">
        <v>2</v>
      </c>
      <c r="J186" s="404">
        <v>5</v>
      </c>
      <c r="L186" s="389">
        <v>0</v>
      </c>
      <c r="M186" s="389">
        <v>0</v>
      </c>
      <c r="N186" s="389">
        <v>0</v>
      </c>
      <c r="O186" s="389">
        <v>0</v>
      </c>
      <c r="P186" s="389">
        <v>0</v>
      </c>
      <c r="Q186" s="389">
        <v>0</v>
      </c>
      <c r="R186" s="389">
        <v>0</v>
      </c>
      <c r="S186" s="389">
        <v>0</v>
      </c>
      <c r="T186" s="389">
        <v>0</v>
      </c>
      <c r="U186" s="389">
        <v>0</v>
      </c>
      <c r="V186" s="389">
        <v>0</v>
      </c>
      <c r="W186" s="389">
        <v>0</v>
      </c>
      <c r="X186" s="389">
        <v>0</v>
      </c>
      <c r="Y186" s="389">
        <v>0</v>
      </c>
      <c r="Z186" s="389">
        <v>0</v>
      </c>
      <c r="AA186" s="389">
        <v>0</v>
      </c>
      <c r="AB186" s="389">
        <v>0</v>
      </c>
      <c r="AC186" s="389">
        <f t="shared" si="90"/>
        <v>834.94799999999987</v>
      </c>
      <c r="AD186" s="389">
        <f t="shared" si="90"/>
        <v>834.94799999999987</v>
      </c>
      <c r="AE186" s="389">
        <f t="shared" si="90"/>
        <v>834.94799999999987</v>
      </c>
      <c r="AF186" s="389">
        <f t="shared" si="90"/>
        <v>834.94799999999987</v>
      </c>
      <c r="AG186" s="389">
        <f t="shared" si="90"/>
        <v>834.94799999999987</v>
      </c>
      <c r="AH186" s="389">
        <f t="shared" si="90"/>
        <v>834.94799999999987</v>
      </c>
      <c r="AI186" s="389">
        <f t="shared" si="90"/>
        <v>834.94799999999987</v>
      </c>
      <c r="AJ186" s="389">
        <f t="shared" si="84"/>
        <v>834.94799999999987</v>
      </c>
      <c r="AK186" s="389">
        <f t="shared" si="85"/>
        <v>834.94799999999987</v>
      </c>
    </row>
    <row r="187" spans="2:37" s="377" customFormat="1">
      <c r="B187" s="377" t="s">
        <v>907</v>
      </c>
      <c r="C187" s="386">
        <f>DATE(2006,6,1)</f>
        <v>38869</v>
      </c>
      <c r="D187" s="387">
        <f>10941+3759.79+221.1+4200+449.87+274.18+2654.06</f>
        <v>22500</v>
      </c>
      <c r="E187" s="387"/>
      <c r="F187" s="387">
        <f t="shared" si="87"/>
        <v>7875</v>
      </c>
      <c r="H187" s="377">
        <f t="shared" si="70"/>
        <v>7875</v>
      </c>
      <c r="I187" s="388">
        <v>2</v>
      </c>
      <c r="J187" s="404">
        <v>5</v>
      </c>
      <c r="L187" s="389">
        <v>0</v>
      </c>
      <c r="M187" s="389">
        <v>0</v>
      </c>
      <c r="N187" s="389">
        <v>0</v>
      </c>
      <c r="O187" s="389">
        <v>0</v>
      </c>
      <c r="P187" s="389">
        <v>0</v>
      </c>
      <c r="Q187" s="389">
        <v>0</v>
      </c>
      <c r="R187" s="389">
        <v>0</v>
      </c>
      <c r="S187" s="389">
        <v>0</v>
      </c>
      <c r="T187" s="389">
        <v>0</v>
      </c>
      <c r="U187" s="389">
        <v>0</v>
      </c>
      <c r="V187" s="389">
        <v>0</v>
      </c>
      <c r="W187" s="389">
        <v>0</v>
      </c>
      <c r="X187" s="389">
        <v>0</v>
      </c>
      <c r="Y187" s="389">
        <v>0</v>
      </c>
      <c r="Z187" s="389">
        <v>0</v>
      </c>
      <c r="AA187" s="389">
        <v>0</v>
      </c>
      <c r="AB187" s="389">
        <v>0</v>
      </c>
      <c r="AC187" s="389">
        <f t="shared" si="90"/>
        <v>1125</v>
      </c>
      <c r="AD187" s="389">
        <f t="shared" si="90"/>
        <v>1125</v>
      </c>
      <c r="AE187" s="389">
        <f t="shared" si="90"/>
        <v>1125</v>
      </c>
      <c r="AF187" s="389">
        <f t="shared" si="90"/>
        <v>1125</v>
      </c>
      <c r="AG187" s="389">
        <f t="shared" si="90"/>
        <v>1125</v>
      </c>
      <c r="AH187" s="389">
        <f t="shared" si="90"/>
        <v>1125</v>
      </c>
      <c r="AI187" s="389">
        <f t="shared" si="90"/>
        <v>1125</v>
      </c>
      <c r="AJ187" s="389">
        <f t="shared" si="84"/>
        <v>1125</v>
      </c>
      <c r="AK187" s="389">
        <f t="shared" si="85"/>
        <v>1125</v>
      </c>
    </row>
    <row r="188" spans="2:37" s="377" customFormat="1">
      <c r="B188" s="377" t="s">
        <v>906</v>
      </c>
      <c r="C188" s="386">
        <f>DATE(2007,1,1)</f>
        <v>39083</v>
      </c>
      <c r="D188" s="387">
        <v>14776.04</v>
      </c>
      <c r="E188" s="387"/>
      <c r="F188" s="387">
        <f t="shared" si="87"/>
        <v>4432.8120000000008</v>
      </c>
      <c r="H188" s="377">
        <f t="shared" si="70"/>
        <v>4432.8120000000008</v>
      </c>
      <c r="I188" s="388">
        <v>2</v>
      </c>
      <c r="J188" s="404">
        <v>5</v>
      </c>
      <c r="L188" s="389">
        <v>0</v>
      </c>
      <c r="M188" s="389">
        <v>0</v>
      </c>
      <c r="N188" s="389">
        <v>0</v>
      </c>
      <c r="O188" s="389">
        <v>0</v>
      </c>
      <c r="P188" s="389">
        <v>0</v>
      </c>
      <c r="Q188" s="389">
        <v>0</v>
      </c>
      <c r="R188" s="389">
        <v>0</v>
      </c>
      <c r="S188" s="389">
        <v>0</v>
      </c>
      <c r="T188" s="389">
        <v>0</v>
      </c>
      <c r="U188" s="389">
        <v>0</v>
      </c>
      <c r="V188" s="389">
        <v>0</v>
      </c>
      <c r="W188" s="389">
        <v>0</v>
      </c>
      <c r="X188" s="389">
        <v>0</v>
      </c>
      <c r="Y188" s="389">
        <v>0</v>
      </c>
      <c r="Z188" s="389">
        <v>0</v>
      </c>
      <c r="AA188" s="389">
        <v>0</v>
      </c>
      <c r="AB188" s="389">
        <v>0</v>
      </c>
      <c r="AC188" s="389">
        <v>0</v>
      </c>
      <c r="AD188" s="389">
        <f t="shared" ref="AD188:AI189" si="91">SUM($D188*$J188)/100</f>
        <v>738.80200000000013</v>
      </c>
      <c r="AE188" s="389">
        <f t="shared" si="91"/>
        <v>738.80200000000013</v>
      </c>
      <c r="AF188" s="389">
        <f t="shared" si="91"/>
        <v>738.80200000000013</v>
      </c>
      <c r="AG188" s="389">
        <f t="shared" si="91"/>
        <v>738.80200000000013</v>
      </c>
      <c r="AH188" s="389">
        <f t="shared" si="91"/>
        <v>738.80200000000013</v>
      </c>
      <c r="AI188" s="389">
        <f t="shared" si="91"/>
        <v>738.80200000000013</v>
      </c>
      <c r="AJ188" s="389">
        <f t="shared" si="84"/>
        <v>738.80200000000013</v>
      </c>
      <c r="AK188" s="389">
        <f t="shared" si="85"/>
        <v>738.80200000000013</v>
      </c>
    </row>
    <row r="189" spans="2:37" s="377" customFormat="1">
      <c r="B189" s="377" t="s">
        <v>905</v>
      </c>
      <c r="C189" s="386">
        <f>DATE(2007,6,1)</f>
        <v>39234</v>
      </c>
      <c r="D189" s="387">
        <v>18359.41</v>
      </c>
      <c r="E189" s="387"/>
      <c r="F189" s="387">
        <f t="shared" si="87"/>
        <v>5507.8230000000003</v>
      </c>
      <c r="H189" s="377">
        <f t="shared" si="70"/>
        <v>5507.8230000000003</v>
      </c>
      <c r="I189" s="388">
        <v>2</v>
      </c>
      <c r="J189" s="404">
        <v>5</v>
      </c>
      <c r="L189" s="389">
        <v>0</v>
      </c>
      <c r="M189" s="389">
        <v>0</v>
      </c>
      <c r="N189" s="389">
        <v>0</v>
      </c>
      <c r="O189" s="389">
        <v>0</v>
      </c>
      <c r="P189" s="389">
        <v>0</v>
      </c>
      <c r="Q189" s="389">
        <v>0</v>
      </c>
      <c r="R189" s="389">
        <v>0</v>
      </c>
      <c r="S189" s="389">
        <v>0</v>
      </c>
      <c r="T189" s="389">
        <v>0</v>
      </c>
      <c r="U189" s="389">
        <v>0</v>
      </c>
      <c r="V189" s="389">
        <v>0</v>
      </c>
      <c r="W189" s="389">
        <v>0</v>
      </c>
      <c r="X189" s="389">
        <v>0</v>
      </c>
      <c r="Y189" s="389">
        <v>0</v>
      </c>
      <c r="Z189" s="389">
        <v>0</v>
      </c>
      <c r="AA189" s="389">
        <v>0</v>
      </c>
      <c r="AB189" s="389">
        <v>0</v>
      </c>
      <c r="AC189" s="389">
        <v>0</v>
      </c>
      <c r="AD189" s="389">
        <f t="shared" si="91"/>
        <v>917.97050000000002</v>
      </c>
      <c r="AE189" s="389">
        <f t="shared" si="91"/>
        <v>917.97050000000002</v>
      </c>
      <c r="AF189" s="389">
        <f t="shared" si="91"/>
        <v>917.97050000000002</v>
      </c>
      <c r="AG189" s="389">
        <f t="shared" si="91"/>
        <v>917.97050000000002</v>
      </c>
      <c r="AH189" s="389">
        <f t="shared" si="91"/>
        <v>917.97050000000002</v>
      </c>
      <c r="AI189" s="389">
        <f t="shared" si="91"/>
        <v>917.97050000000002</v>
      </c>
      <c r="AJ189" s="389">
        <f t="shared" si="84"/>
        <v>917.97050000000002</v>
      </c>
      <c r="AK189" s="389">
        <f t="shared" si="85"/>
        <v>917.97050000000002</v>
      </c>
    </row>
    <row r="190" spans="2:37" s="377" customFormat="1">
      <c r="B190" s="377" t="s">
        <v>904</v>
      </c>
      <c r="C190" s="386">
        <f>DATE(2009,6,1)</f>
        <v>39965</v>
      </c>
      <c r="D190" s="387">
        <v>318395.76</v>
      </c>
      <c r="E190" s="387"/>
      <c r="F190" s="387">
        <f t="shared" si="87"/>
        <v>63679.152000000002</v>
      </c>
      <c r="H190" s="377">
        <f t="shared" si="70"/>
        <v>63679.152000000002</v>
      </c>
      <c r="I190" s="388"/>
      <c r="J190" s="404">
        <v>5</v>
      </c>
      <c r="L190" s="389">
        <v>0</v>
      </c>
      <c r="M190" s="389">
        <v>0</v>
      </c>
      <c r="N190" s="389">
        <v>0</v>
      </c>
      <c r="O190" s="389">
        <v>0</v>
      </c>
      <c r="P190" s="389">
        <v>0</v>
      </c>
      <c r="Q190" s="389">
        <v>0</v>
      </c>
      <c r="R190" s="389">
        <v>0</v>
      </c>
      <c r="S190" s="389">
        <v>0</v>
      </c>
      <c r="T190" s="389">
        <v>0</v>
      </c>
      <c r="U190" s="389">
        <v>0</v>
      </c>
      <c r="V190" s="389">
        <v>0</v>
      </c>
      <c r="W190" s="389">
        <v>0</v>
      </c>
      <c r="X190" s="389">
        <v>0</v>
      </c>
      <c r="Y190" s="389">
        <v>0</v>
      </c>
      <c r="Z190" s="389">
        <v>0</v>
      </c>
      <c r="AA190" s="389">
        <v>0</v>
      </c>
      <c r="AB190" s="389">
        <v>0</v>
      </c>
      <c r="AC190" s="389">
        <v>0</v>
      </c>
      <c r="AD190" s="389">
        <v>0</v>
      </c>
      <c r="AE190" s="389">
        <v>0</v>
      </c>
      <c r="AF190" s="389">
        <f t="shared" ref="AF190:AI195" si="92">SUM($D190*$J190)/100</f>
        <v>15919.788</v>
      </c>
      <c r="AG190" s="389">
        <f t="shared" si="92"/>
        <v>15919.788</v>
      </c>
      <c r="AH190" s="389">
        <f t="shared" si="92"/>
        <v>15919.788</v>
      </c>
      <c r="AI190" s="389">
        <f t="shared" si="92"/>
        <v>15919.788</v>
      </c>
      <c r="AJ190" s="389">
        <f t="shared" si="84"/>
        <v>15919.788</v>
      </c>
      <c r="AK190" s="389">
        <f t="shared" si="85"/>
        <v>15919.788</v>
      </c>
    </row>
    <row r="191" spans="2:37" s="377" customFormat="1">
      <c r="B191" s="377" t="s">
        <v>903</v>
      </c>
      <c r="C191" s="386">
        <f>DATE(2009,6,1)</f>
        <v>39965</v>
      </c>
      <c r="D191" s="387">
        <v>118209.88</v>
      </c>
      <c r="E191" s="387"/>
      <c r="F191" s="387">
        <f t="shared" si="87"/>
        <v>23641.976000000002</v>
      </c>
      <c r="H191" s="377">
        <f t="shared" si="70"/>
        <v>23641.976000000002</v>
      </c>
      <c r="I191" s="388"/>
      <c r="J191" s="404">
        <v>5</v>
      </c>
      <c r="L191" s="389">
        <v>0</v>
      </c>
      <c r="M191" s="389">
        <v>0</v>
      </c>
      <c r="N191" s="389">
        <v>0</v>
      </c>
      <c r="O191" s="389">
        <v>0</v>
      </c>
      <c r="P191" s="389">
        <v>0</v>
      </c>
      <c r="Q191" s="389">
        <v>0</v>
      </c>
      <c r="R191" s="389">
        <v>0</v>
      </c>
      <c r="S191" s="389">
        <v>0</v>
      </c>
      <c r="T191" s="389">
        <v>0</v>
      </c>
      <c r="U191" s="389">
        <v>0</v>
      </c>
      <c r="V191" s="389">
        <v>0</v>
      </c>
      <c r="W191" s="389">
        <v>0</v>
      </c>
      <c r="X191" s="389">
        <v>0</v>
      </c>
      <c r="Y191" s="389">
        <v>0</v>
      </c>
      <c r="Z191" s="389">
        <v>0</v>
      </c>
      <c r="AA191" s="389">
        <v>0</v>
      </c>
      <c r="AB191" s="389">
        <v>0</v>
      </c>
      <c r="AC191" s="389">
        <v>0</v>
      </c>
      <c r="AD191" s="389">
        <v>0</v>
      </c>
      <c r="AE191" s="389">
        <v>0</v>
      </c>
      <c r="AF191" s="389">
        <f t="shared" si="92"/>
        <v>5910.4940000000006</v>
      </c>
      <c r="AG191" s="389">
        <f t="shared" si="92"/>
        <v>5910.4940000000006</v>
      </c>
      <c r="AH191" s="389">
        <f t="shared" si="92"/>
        <v>5910.4940000000006</v>
      </c>
      <c r="AI191" s="389">
        <f t="shared" si="92"/>
        <v>5910.4940000000006</v>
      </c>
      <c r="AJ191" s="389">
        <f t="shared" si="84"/>
        <v>5910.4940000000006</v>
      </c>
      <c r="AK191" s="389">
        <f t="shared" si="85"/>
        <v>5910.4940000000006</v>
      </c>
    </row>
    <row r="192" spans="2:37" s="377" customFormat="1">
      <c r="B192" s="377" t="s">
        <v>902</v>
      </c>
      <c r="C192" s="386">
        <f>DATE(2009,6,1)</f>
        <v>39965</v>
      </c>
      <c r="D192" s="387">
        <v>20336.12</v>
      </c>
      <c r="E192" s="387"/>
      <c r="F192" s="387">
        <f t="shared" si="87"/>
        <v>4067.2239999999997</v>
      </c>
      <c r="H192" s="377">
        <f t="shared" si="70"/>
        <v>4067.2239999999997</v>
      </c>
      <c r="I192" s="388"/>
      <c r="J192" s="404">
        <v>5</v>
      </c>
      <c r="L192" s="389">
        <v>0</v>
      </c>
      <c r="M192" s="389">
        <v>0</v>
      </c>
      <c r="N192" s="389">
        <v>0</v>
      </c>
      <c r="O192" s="389">
        <v>0</v>
      </c>
      <c r="P192" s="389">
        <v>0</v>
      </c>
      <c r="Q192" s="389">
        <v>0</v>
      </c>
      <c r="R192" s="389">
        <v>0</v>
      </c>
      <c r="S192" s="389">
        <v>0</v>
      </c>
      <c r="T192" s="389">
        <v>0</v>
      </c>
      <c r="U192" s="389">
        <v>0</v>
      </c>
      <c r="V192" s="389">
        <v>0</v>
      </c>
      <c r="W192" s="389">
        <v>0</v>
      </c>
      <c r="X192" s="389">
        <v>0</v>
      </c>
      <c r="Y192" s="389">
        <v>0</v>
      </c>
      <c r="Z192" s="389">
        <v>0</v>
      </c>
      <c r="AA192" s="389">
        <v>0</v>
      </c>
      <c r="AB192" s="389">
        <v>0</v>
      </c>
      <c r="AC192" s="389">
        <v>0</v>
      </c>
      <c r="AD192" s="389">
        <v>0</v>
      </c>
      <c r="AE192" s="389">
        <v>0</v>
      </c>
      <c r="AF192" s="389">
        <f t="shared" si="92"/>
        <v>1016.8059999999999</v>
      </c>
      <c r="AG192" s="389">
        <f t="shared" si="92"/>
        <v>1016.8059999999999</v>
      </c>
      <c r="AH192" s="389">
        <f t="shared" si="92"/>
        <v>1016.8059999999999</v>
      </c>
      <c r="AI192" s="389">
        <f t="shared" si="92"/>
        <v>1016.8059999999999</v>
      </c>
      <c r="AJ192" s="389">
        <f t="shared" si="84"/>
        <v>1016.8059999999999</v>
      </c>
      <c r="AK192" s="389">
        <f t="shared" si="85"/>
        <v>1016.8059999999999</v>
      </c>
    </row>
    <row r="193" spans="1:37" s="377" customFormat="1">
      <c r="B193" s="377" t="s">
        <v>901</v>
      </c>
      <c r="C193" s="386">
        <f>DATE(2009,6,1)</f>
        <v>39965</v>
      </c>
      <c r="D193" s="387">
        <v>26124</v>
      </c>
      <c r="E193" s="387"/>
      <c r="F193" s="387">
        <f t="shared" si="87"/>
        <v>5224.8</v>
      </c>
      <c r="H193" s="377">
        <f t="shared" si="70"/>
        <v>5224.8</v>
      </c>
      <c r="I193" s="388"/>
      <c r="J193" s="404">
        <v>5</v>
      </c>
      <c r="L193" s="389">
        <v>0</v>
      </c>
      <c r="M193" s="389">
        <v>0</v>
      </c>
      <c r="N193" s="389">
        <v>0</v>
      </c>
      <c r="O193" s="389">
        <v>0</v>
      </c>
      <c r="P193" s="389">
        <v>0</v>
      </c>
      <c r="Q193" s="389">
        <v>0</v>
      </c>
      <c r="R193" s="389">
        <v>0</v>
      </c>
      <c r="S193" s="389">
        <v>0</v>
      </c>
      <c r="T193" s="389">
        <v>0</v>
      </c>
      <c r="U193" s="389">
        <v>0</v>
      </c>
      <c r="V193" s="389">
        <v>0</v>
      </c>
      <c r="W193" s="389">
        <v>0</v>
      </c>
      <c r="X193" s="389">
        <v>0</v>
      </c>
      <c r="Y193" s="389">
        <v>0</v>
      </c>
      <c r="Z193" s="389">
        <v>0</v>
      </c>
      <c r="AA193" s="389">
        <v>0</v>
      </c>
      <c r="AB193" s="389">
        <v>0</v>
      </c>
      <c r="AC193" s="389">
        <v>0</v>
      </c>
      <c r="AD193" s="389">
        <v>0</v>
      </c>
      <c r="AE193" s="389">
        <v>0</v>
      </c>
      <c r="AF193" s="389">
        <f t="shared" si="92"/>
        <v>1306.2</v>
      </c>
      <c r="AG193" s="389">
        <f t="shared" si="92"/>
        <v>1306.2</v>
      </c>
      <c r="AH193" s="389">
        <f t="shared" si="92"/>
        <v>1306.2</v>
      </c>
      <c r="AI193" s="389">
        <f t="shared" si="92"/>
        <v>1306.2</v>
      </c>
      <c r="AJ193" s="389">
        <f t="shared" si="84"/>
        <v>1306.2</v>
      </c>
      <c r="AK193" s="389">
        <f t="shared" si="85"/>
        <v>1306.2</v>
      </c>
    </row>
    <row r="194" spans="1:37" s="377" customFormat="1">
      <c r="B194" s="377" t="s">
        <v>900</v>
      </c>
      <c r="C194" s="386">
        <f>DATE(2008,1,1)</f>
        <v>39448</v>
      </c>
      <c r="D194" s="387">
        <v>22500</v>
      </c>
      <c r="E194" s="387"/>
      <c r="F194" s="387">
        <f t="shared" si="87"/>
        <v>11250</v>
      </c>
      <c r="H194" s="377">
        <f t="shared" si="70"/>
        <v>11250</v>
      </c>
      <c r="I194" s="388">
        <v>0</v>
      </c>
      <c r="J194" s="404">
        <v>10</v>
      </c>
      <c r="L194" s="389">
        <v>0</v>
      </c>
      <c r="M194" s="389">
        <v>0</v>
      </c>
      <c r="N194" s="389">
        <v>0</v>
      </c>
      <c r="O194" s="389">
        <v>0</v>
      </c>
      <c r="P194" s="389">
        <v>0</v>
      </c>
      <c r="Q194" s="389">
        <v>0</v>
      </c>
      <c r="R194" s="389">
        <v>0</v>
      </c>
      <c r="S194" s="389">
        <v>0</v>
      </c>
      <c r="T194" s="389">
        <v>0</v>
      </c>
      <c r="U194" s="389">
        <v>0</v>
      </c>
      <c r="V194" s="389">
        <v>0</v>
      </c>
      <c r="W194" s="389">
        <v>0</v>
      </c>
      <c r="X194" s="389">
        <v>0</v>
      </c>
      <c r="Y194" s="389">
        <v>0</v>
      </c>
      <c r="Z194" s="389">
        <v>0</v>
      </c>
      <c r="AA194" s="389">
        <v>0</v>
      </c>
      <c r="AB194" s="389">
        <v>0</v>
      </c>
      <c r="AC194" s="389">
        <v>0</v>
      </c>
      <c r="AD194" s="389">
        <v>0</v>
      </c>
      <c r="AE194" s="389">
        <f>SUM($D194*$J194)/100</f>
        <v>2250</v>
      </c>
      <c r="AF194" s="389">
        <f t="shared" si="92"/>
        <v>2250</v>
      </c>
      <c r="AG194" s="389">
        <f t="shared" si="92"/>
        <v>2250</v>
      </c>
      <c r="AH194" s="389">
        <f t="shared" si="92"/>
        <v>2250</v>
      </c>
      <c r="AI194" s="389">
        <f t="shared" si="92"/>
        <v>2250</v>
      </c>
      <c r="AJ194" s="389">
        <f t="shared" si="84"/>
        <v>2250</v>
      </c>
      <c r="AK194" s="389">
        <f t="shared" si="85"/>
        <v>2250</v>
      </c>
    </row>
    <row r="195" spans="1:37" s="377" customFormat="1">
      <c r="B195" s="377" t="s">
        <v>899</v>
      </c>
      <c r="C195" s="386">
        <f>DATE(2008,6,1)</f>
        <v>39600</v>
      </c>
      <c r="D195" s="387">
        <v>26246.93</v>
      </c>
      <c r="E195" s="387"/>
      <c r="F195" s="387">
        <f t="shared" si="87"/>
        <v>6561.7324999999992</v>
      </c>
      <c r="H195" s="377">
        <f t="shared" si="70"/>
        <v>6561.7324999999992</v>
      </c>
      <c r="I195" s="388">
        <v>0</v>
      </c>
      <c r="J195" s="404">
        <v>5</v>
      </c>
      <c r="L195" s="389">
        <v>0</v>
      </c>
      <c r="M195" s="389">
        <v>0</v>
      </c>
      <c r="N195" s="389">
        <v>0</v>
      </c>
      <c r="O195" s="389">
        <v>0</v>
      </c>
      <c r="P195" s="389">
        <v>0</v>
      </c>
      <c r="Q195" s="389">
        <v>0</v>
      </c>
      <c r="R195" s="389">
        <v>0</v>
      </c>
      <c r="S195" s="389">
        <v>0</v>
      </c>
      <c r="T195" s="389">
        <v>0</v>
      </c>
      <c r="U195" s="389">
        <v>0</v>
      </c>
      <c r="V195" s="389">
        <v>0</v>
      </c>
      <c r="W195" s="389">
        <v>0</v>
      </c>
      <c r="X195" s="389">
        <v>0</v>
      </c>
      <c r="Y195" s="389">
        <v>0</v>
      </c>
      <c r="Z195" s="389">
        <v>0</v>
      </c>
      <c r="AA195" s="389">
        <v>0</v>
      </c>
      <c r="AB195" s="389">
        <v>0</v>
      </c>
      <c r="AC195" s="389">
        <v>0</v>
      </c>
      <c r="AD195" s="389">
        <v>0</v>
      </c>
      <c r="AE195" s="389">
        <f>SUM($D195*$J195)/100</f>
        <v>1312.3464999999999</v>
      </c>
      <c r="AF195" s="389">
        <f t="shared" si="92"/>
        <v>1312.3464999999999</v>
      </c>
      <c r="AG195" s="389">
        <f t="shared" si="92"/>
        <v>1312.3464999999999</v>
      </c>
      <c r="AH195" s="389">
        <f t="shared" si="92"/>
        <v>1312.3464999999999</v>
      </c>
      <c r="AI195" s="389">
        <f t="shared" si="92"/>
        <v>1312.3464999999999</v>
      </c>
      <c r="AJ195" s="389">
        <f t="shared" si="84"/>
        <v>1312.3464999999999</v>
      </c>
      <c r="AK195" s="389">
        <f t="shared" si="85"/>
        <v>1312.3464999999999</v>
      </c>
    </row>
    <row r="196" spans="1:37" s="377" customFormat="1">
      <c r="B196" s="377" t="s">
        <v>898</v>
      </c>
      <c r="C196" s="386">
        <f>DATE(2010,7,31)</f>
        <v>40390</v>
      </c>
      <c r="D196" s="387">
        <v>4371.1899999999996</v>
      </c>
      <c r="E196" s="387"/>
      <c r="F196" s="387">
        <f t="shared" si="87"/>
        <v>655.67849999999987</v>
      </c>
      <c r="H196" s="377">
        <f t="shared" si="70"/>
        <v>655.67849999999987</v>
      </c>
      <c r="I196" s="388">
        <v>0</v>
      </c>
      <c r="J196" s="404">
        <v>5</v>
      </c>
      <c r="L196" s="389">
        <v>0</v>
      </c>
      <c r="M196" s="389">
        <v>0</v>
      </c>
      <c r="N196" s="389">
        <v>0</v>
      </c>
      <c r="O196" s="389">
        <v>0</v>
      </c>
      <c r="P196" s="389">
        <v>0</v>
      </c>
      <c r="Q196" s="389">
        <v>0</v>
      </c>
      <c r="R196" s="389">
        <v>0</v>
      </c>
      <c r="S196" s="389">
        <v>0</v>
      </c>
      <c r="T196" s="389">
        <v>0</v>
      </c>
      <c r="U196" s="389">
        <v>0</v>
      </c>
      <c r="V196" s="389">
        <v>0</v>
      </c>
      <c r="W196" s="389">
        <v>0</v>
      </c>
      <c r="X196" s="389">
        <v>0</v>
      </c>
      <c r="Y196" s="389">
        <v>0</v>
      </c>
      <c r="Z196" s="389">
        <v>0</v>
      </c>
      <c r="AA196" s="389">
        <v>0</v>
      </c>
      <c r="AB196" s="389">
        <v>0</v>
      </c>
      <c r="AC196" s="389">
        <v>0</v>
      </c>
      <c r="AD196" s="389">
        <v>0</v>
      </c>
      <c r="AE196" s="389">
        <v>0</v>
      </c>
      <c r="AF196" s="389">
        <v>0</v>
      </c>
      <c r="AG196" s="389">
        <f t="shared" ref="AG196:AI197" si="93">SUM($D196*$J196)/100</f>
        <v>218.55949999999996</v>
      </c>
      <c r="AH196" s="389">
        <f t="shared" si="93"/>
        <v>218.55949999999996</v>
      </c>
      <c r="AI196" s="389">
        <f t="shared" si="93"/>
        <v>218.55949999999996</v>
      </c>
      <c r="AJ196" s="389">
        <f t="shared" si="84"/>
        <v>218.55949999999996</v>
      </c>
      <c r="AK196" s="389">
        <f t="shared" si="85"/>
        <v>218.55949999999996</v>
      </c>
    </row>
    <row r="197" spans="1:37" s="377" customFormat="1">
      <c r="B197" s="377" t="s">
        <v>897</v>
      </c>
      <c r="C197" s="386">
        <f>DATE(2010,7,31)</f>
        <v>40390</v>
      </c>
      <c r="D197" s="387">
        <v>5840.65</v>
      </c>
      <c r="E197" s="387"/>
      <c r="F197" s="387">
        <f t="shared" si="87"/>
        <v>876.09750000000008</v>
      </c>
      <c r="H197" s="377">
        <f t="shared" si="70"/>
        <v>876.09750000000008</v>
      </c>
      <c r="I197" s="388">
        <v>0</v>
      </c>
      <c r="J197" s="404">
        <v>5</v>
      </c>
      <c r="L197" s="389">
        <v>0</v>
      </c>
      <c r="M197" s="389">
        <v>0</v>
      </c>
      <c r="N197" s="389">
        <v>0</v>
      </c>
      <c r="O197" s="389">
        <v>0</v>
      </c>
      <c r="P197" s="389">
        <v>0</v>
      </c>
      <c r="Q197" s="389">
        <v>0</v>
      </c>
      <c r="R197" s="389">
        <v>0</v>
      </c>
      <c r="S197" s="389">
        <v>0</v>
      </c>
      <c r="T197" s="389">
        <v>0</v>
      </c>
      <c r="U197" s="389">
        <v>0</v>
      </c>
      <c r="V197" s="389">
        <v>0</v>
      </c>
      <c r="W197" s="389">
        <v>0</v>
      </c>
      <c r="X197" s="389">
        <v>0</v>
      </c>
      <c r="Y197" s="389">
        <v>0</v>
      </c>
      <c r="Z197" s="389">
        <v>0</v>
      </c>
      <c r="AA197" s="389">
        <v>0</v>
      </c>
      <c r="AB197" s="389">
        <v>0</v>
      </c>
      <c r="AC197" s="389">
        <v>0</v>
      </c>
      <c r="AD197" s="389">
        <v>0</v>
      </c>
      <c r="AE197" s="389">
        <v>0</v>
      </c>
      <c r="AF197" s="389">
        <v>0</v>
      </c>
      <c r="AG197" s="389">
        <f t="shared" si="93"/>
        <v>292.03250000000003</v>
      </c>
      <c r="AH197" s="389">
        <f t="shared" si="93"/>
        <v>292.03250000000003</v>
      </c>
      <c r="AI197" s="389">
        <f t="shared" si="93"/>
        <v>292.03250000000003</v>
      </c>
      <c r="AJ197" s="389">
        <f t="shared" si="84"/>
        <v>292.03250000000003</v>
      </c>
      <c r="AK197" s="389">
        <f t="shared" si="85"/>
        <v>292.03250000000003</v>
      </c>
    </row>
    <row r="198" spans="1:37" s="377" customFormat="1">
      <c r="B198" s="403" t="s">
        <v>896</v>
      </c>
      <c r="C198" s="386">
        <f>DATE(2011,7,31)</f>
        <v>40755</v>
      </c>
      <c r="D198" s="387">
        <v>63750.37</v>
      </c>
      <c r="E198" s="387"/>
      <c r="F198" s="387">
        <f t="shared" si="87"/>
        <v>6375.0370000000003</v>
      </c>
      <c r="H198" s="377">
        <f t="shared" si="70"/>
        <v>6375.0370000000003</v>
      </c>
      <c r="I198" s="388"/>
      <c r="J198" s="404">
        <v>5</v>
      </c>
      <c r="L198" s="389"/>
      <c r="M198" s="389"/>
      <c r="N198" s="389"/>
      <c r="O198" s="389"/>
      <c r="P198" s="389"/>
      <c r="Q198" s="389"/>
      <c r="R198" s="389"/>
      <c r="S198" s="389"/>
      <c r="T198" s="389"/>
      <c r="U198" s="389"/>
      <c r="V198" s="389"/>
      <c r="W198" s="389"/>
      <c r="X198" s="389"/>
      <c r="Y198" s="389"/>
      <c r="Z198" s="389"/>
      <c r="AA198" s="389"/>
      <c r="AB198" s="389"/>
      <c r="AC198" s="389"/>
      <c r="AD198" s="389"/>
      <c r="AE198" s="389"/>
      <c r="AF198" s="389"/>
      <c r="AG198" s="389"/>
      <c r="AH198" s="389">
        <f>SUM($D198*$J198)/100</f>
        <v>3187.5185000000001</v>
      </c>
      <c r="AI198" s="389">
        <f>SUM($D198*$J198)/100</f>
        <v>3187.5185000000001</v>
      </c>
      <c r="AJ198" s="389">
        <f t="shared" si="84"/>
        <v>3187.5185000000001</v>
      </c>
      <c r="AK198" s="389">
        <f t="shared" si="85"/>
        <v>3187.5185000000001</v>
      </c>
    </row>
    <row r="199" spans="1:37" s="377" customFormat="1">
      <c r="B199" s="377" t="s">
        <v>895</v>
      </c>
      <c r="C199" s="386">
        <f>DATE(2011,7,31)</f>
        <v>40755</v>
      </c>
      <c r="D199" s="387">
        <v>13787.31</v>
      </c>
      <c r="E199" s="387"/>
      <c r="F199" s="387">
        <f t="shared" si="87"/>
        <v>1378.731</v>
      </c>
      <c r="H199" s="377">
        <f t="shared" si="70"/>
        <v>1378.731</v>
      </c>
      <c r="I199" s="388"/>
      <c r="J199" s="404">
        <v>5</v>
      </c>
      <c r="L199" s="389"/>
      <c r="M199" s="389"/>
      <c r="N199" s="389"/>
      <c r="O199" s="389"/>
      <c r="P199" s="389"/>
      <c r="Q199" s="389"/>
      <c r="R199" s="389"/>
      <c r="S199" s="389"/>
      <c r="T199" s="389"/>
      <c r="U199" s="389"/>
      <c r="V199" s="389"/>
      <c r="W199" s="389"/>
      <c r="X199" s="389"/>
      <c r="Y199" s="389"/>
      <c r="Z199" s="389"/>
      <c r="AA199" s="389"/>
      <c r="AB199" s="389"/>
      <c r="AC199" s="389"/>
      <c r="AD199" s="389"/>
      <c r="AE199" s="389"/>
      <c r="AF199" s="389"/>
      <c r="AG199" s="389"/>
      <c r="AH199" s="389">
        <f>SUM($D199*$J199)/100</f>
        <v>689.3655</v>
      </c>
      <c r="AI199" s="389">
        <f>SUM($D199*$J199)/100</f>
        <v>689.3655</v>
      </c>
      <c r="AJ199" s="389">
        <f t="shared" si="84"/>
        <v>689.3655</v>
      </c>
      <c r="AK199" s="389">
        <f t="shared" si="85"/>
        <v>689.3655</v>
      </c>
    </row>
    <row r="200" spans="1:37" s="377" customFormat="1">
      <c r="B200" s="377" t="s">
        <v>894</v>
      </c>
      <c r="C200" s="386">
        <f>DATE(2012,12,1)</f>
        <v>41244</v>
      </c>
      <c r="D200" s="387">
        <v>298161.73</v>
      </c>
      <c r="E200" s="387"/>
      <c r="F200" s="387">
        <f t="shared" si="87"/>
        <v>14908.086499999999</v>
      </c>
      <c r="H200" s="377">
        <f t="shared" si="70"/>
        <v>14908.086499999999</v>
      </c>
      <c r="I200" s="388"/>
      <c r="J200" s="404">
        <v>5</v>
      </c>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389">
        <f>SUM($D200*$J200)/100</f>
        <v>14908.086499999999</v>
      </c>
      <c r="AJ200" s="389">
        <f t="shared" si="84"/>
        <v>14908.086499999999</v>
      </c>
      <c r="AK200" s="389">
        <f t="shared" si="85"/>
        <v>14908.086499999999</v>
      </c>
    </row>
    <row r="201" spans="1:37" s="377" customFormat="1">
      <c r="B201" s="377" t="s">
        <v>893</v>
      </c>
      <c r="C201" s="378">
        <f>DATE(2000,8,1)</f>
        <v>36739</v>
      </c>
      <c r="D201" s="380">
        <v>4510</v>
      </c>
      <c r="E201" s="380"/>
      <c r="F201" s="380">
        <f t="shared" si="87"/>
        <v>4510</v>
      </c>
      <c r="G201" s="379"/>
      <c r="H201" s="377">
        <f t="shared" si="70"/>
        <v>4510</v>
      </c>
      <c r="I201" s="381">
        <v>2</v>
      </c>
      <c r="J201" s="406">
        <v>10</v>
      </c>
      <c r="K201" s="379"/>
      <c r="L201" s="382">
        <v>0</v>
      </c>
      <c r="M201" s="382">
        <v>0</v>
      </c>
      <c r="N201" s="382">
        <v>0</v>
      </c>
      <c r="O201" s="382">
        <v>0</v>
      </c>
      <c r="P201" s="382">
        <v>0</v>
      </c>
      <c r="Q201" s="382">
        <v>0</v>
      </c>
      <c r="R201" s="382">
        <v>0</v>
      </c>
      <c r="S201" s="382">
        <v>0</v>
      </c>
      <c r="T201" s="382">
        <v>0</v>
      </c>
      <c r="U201" s="382">
        <v>0</v>
      </c>
      <c r="V201" s="382">
        <v>0</v>
      </c>
      <c r="W201" s="382">
        <f>SUM($D201*$J201)/100</f>
        <v>451</v>
      </c>
      <c r="X201" s="382">
        <v>451</v>
      </c>
      <c r="Y201" s="382">
        <v>451</v>
      </c>
      <c r="Z201" s="382">
        <f t="shared" ref="Z201:AF201" si="94">SUM($D201*$J201)/100</f>
        <v>451</v>
      </c>
      <c r="AA201" s="382">
        <f t="shared" si="94"/>
        <v>451</v>
      </c>
      <c r="AB201" s="382">
        <f t="shared" si="94"/>
        <v>451</v>
      </c>
      <c r="AC201" s="382">
        <f t="shared" si="94"/>
        <v>451</v>
      </c>
      <c r="AD201" s="382">
        <f t="shared" si="94"/>
        <v>451</v>
      </c>
      <c r="AE201" s="382">
        <f t="shared" si="94"/>
        <v>451</v>
      </c>
      <c r="AF201" s="382">
        <f t="shared" si="94"/>
        <v>451</v>
      </c>
      <c r="AG201" s="382">
        <v>0</v>
      </c>
      <c r="AH201" s="382">
        <v>0</v>
      </c>
      <c r="AI201" s="382">
        <v>0</v>
      </c>
      <c r="AJ201" s="382">
        <v>0</v>
      </c>
      <c r="AK201" s="382">
        <v>1</v>
      </c>
    </row>
    <row r="202" spans="1:37" s="377" customFormat="1">
      <c r="D202" s="377">
        <f>SUM(D162:D201)</f>
        <v>2286605.91</v>
      </c>
      <c r="E202" s="387">
        <f>F202+AJ202</f>
        <v>1073401.5793500002</v>
      </c>
      <c r="F202" s="377">
        <f>SUM(F162:F201)</f>
        <v>970894.13685000024</v>
      </c>
      <c r="G202" s="377">
        <f>SUM(G162:G201)</f>
        <v>333.31</v>
      </c>
      <c r="H202" s="377">
        <f t="shared" si="70"/>
        <v>971635.47289999994</v>
      </c>
      <c r="I202" s="388">
        <f>SUM(I162:I201)</f>
        <v>92</v>
      </c>
      <c r="J202" s="388"/>
      <c r="K202" s="377">
        <v>803.88</v>
      </c>
      <c r="L202" s="377">
        <v>5621.56</v>
      </c>
      <c r="M202" s="377">
        <v>10841.15</v>
      </c>
      <c r="N202" s="377">
        <f t="shared" ref="N202:AK202" si="95">SUM(N162:N201)</f>
        <v>11867.899399999998</v>
      </c>
      <c r="O202" s="377">
        <f t="shared" si="95"/>
        <v>12055.508599999999</v>
      </c>
      <c r="P202" s="377">
        <f t="shared" si="95"/>
        <v>12657.241099999999</v>
      </c>
      <c r="Q202" s="377">
        <f t="shared" si="95"/>
        <v>13376.5697</v>
      </c>
      <c r="R202" s="377">
        <f t="shared" si="95"/>
        <v>13860.209699999999</v>
      </c>
      <c r="S202" s="377">
        <f t="shared" si="95"/>
        <v>16870.064400000003</v>
      </c>
      <c r="T202" s="377">
        <f t="shared" si="95"/>
        <v>26603.882000000001</v>
      </c>
      <c r="U202" s="377">
        <f t="shared" si="95"/>
        <v>29490.034500000002</v>
      </c>
      <c r="V202" s="377">
        <f t="shared" si="95"/>
        <v>30666.332500000004</v>
      </c>
      <c r="W202" s="377">
        <f t="shared" si="95"/>
        <v>32370.164500000003</v>
      </c>
      <c r="X202" s="377">
        <f t="shared" si="95"/>
        <v>32620.080000000002</v>
      </c>
      <c r="Y202" s="377">
        <f t="shared" si="95"/>
        <v>39253.08</v>
      </c>
      <c r="Z202" s="377">
        <f t="shared" si="95"/>
        <v>41534.286999999997</v>
      </c>
      <c r="AA202" s="377">
        <f t="shared" si="95"/>
        <v>42644.019499999995</v>
      </c>
      <c r="AB202" s="377">
        <f t="shared" si="95"/>
        <v>55091.076499999996</v>
      </c>
      <c r="AC202" s="377">
        <f t="shared" si="95"/>
        <v>56862.96899999999</v>
      </c>
      <c r="AD202" s="377">
        <f t="shared" si="95"/>
        <v>58519.741499999996</v>
      </c>
      <c r="AE202" s="377">
        <f t="shared" si="95"/>
        <v>62082.087999999996</v>
      </c>
      <c r="AF202" s="377">
        <f t="shared" si="95"/>
        <v>86235.376000000004</v>
      </c>
      <c r="AG202" s="377">
        <f t="shared" si="95"/>
        <v>86294.968000000008</v>
      </c>
      <c r="AH202" s="377">
        <f t="shared" si="95"/>
        <v>89394.129000000001</v>
      </c>
      <c r="AI202" s="377">
        <f t="shared" si="95"/>
        <v>104019.16200000001</v>
      </c>
      <c r="AJ202" s="377">
        <f t="shared" si="95"/>
        <v>102507.4425</v>
      </c>
      <c r="AK202" s="377">
        <f t="shared" si="95"/>
        <v>101414.685</v>
      </c>
    </row>
    <row r="203" spans="1:37" s="377" customFormat="1">
      <c r="E203" s="387"/>
      <c r="I203" s="388"/>
      <c r="J203" s="388"/>
    </row>
    <row r="204" spans="1:37" s="377" customFormat="1">
      <c r="A204" s="377" t="s">
        <v>892</v>
      </c>
      <c r="D204" s="387"/>
      <c r="E204" s="387"/>
      <c r="G204" s="387"/>
      <c r="I204" s="388"/>
      <c r="J204" s="388"/>
      <c r="K204" s="389"/>
      <c r="L204" s="389"/>
      <c r="M204" s="389"/>
      <c r="N204" s="389"/>
      <c r="O204" s="389"/>
      <c r="P204" s="389"/>
    </row>
    <row r="205" spans="1:37" s="377" customFormat="1">
      <c r="B205" s="377" t="s">
        <v>891</v>
      </c>
      <c r="C205" s="386">
        <f>DATE(2002,4,1)</f>
        <v>37347</v>
      </c>
      <c r="D205" s="387">
        <v>453.64</v>
      </c>
      <c r="E205" s="387"/>
      <c r="F205" s="387">
        <f>H205</f>
        <v>453.64399999999995</v>
      </c>
      <c r="H205" s="377">
        <f>SUM(K205:AI205)</f>
        <v>453.64399999999995</v>
      </c>
      <c r="I205" s="388">
        <v>2</v>
      </c>
      <c r="J205" s="404">
        <v>20</v>
      </c>
      <c r="L205" s="389">
        <v>0</v>
      </c>
      <c r="M205" s="389">
        <v>0</v>
      </c>
      <c r="N205" s="389">
        <v>0</v>
      </c>
      <c r="O205" s="389">
        <v>0</v>
      </c>
      <c r="P205" s="389">
        <v>0</v>
      </c>
      <c r="Q205" s="389">
        <v>0</v>
      </c>
      <c r="R205" s="389">
        <v>0</v>
      </c>
      <c r="S205" s="389">
        <v>0</v>
      </c>
      <c r="T205" s="389">
        <v>0</v>
      </c>
      <c r="U205" s="389">
        <v>0</v>
      </c>
      <c r="V205" s="389">
        <v>0</v>
      </c>
      <c r="W205" s="389">
        <v>0</v>
      </c>
      <c r="X205" s="389">
        <v>0</v>
      </c>
      <c r="Y205" s="389">
        <v>90.73</v>
      </c>
      <c r="Z205" s="389">
        <f t="shared" ref="Z205:AB206" si="96">SUM($D205*$J205)/100</f>
        <v>90.727999999999994</v>
      </c>
      <c r="AA205" s="389">
        <f t="shared" si="96"/>
        <v>90.727999999999994</v>
      </c>
      <c r="AB205" s="389">
        <f t="shared" si="96"/>
        <v>90.727999999999994</v>
      </c>
      <c r="AC205" s="389">
        <f>453.64-362.91</f>
        <v>90.729999999999961</v>
      </c>
      <c r="AD205" s="389">
        <v>0</v>
      </c>
      <c r="AE205" s="389">
        <v>0</v>
      </c>
      <c r="AF205" s="389">
        <v>0</v>
      </c>
      <c r="AG205" s="389">
        <v>0</v>
      </c>
      <c r="AH205" s="389">
        <v>0</v>
      </c>
      <c r="AI205" s="389">
        <v>0</v>
      </c>
      <c r="AJ205" s="389">
        <v>0</v>
      </c>
      <c r="AK205" s="389">
        <v>0</v>
      </c>
    </row>
    <row r="206" spans="1:37" s="377" customFormat="1">
      <c r="B206" s="377" t="s">
        <v>890</v>
      </c>
      <c r="C206" s="386">
        <f>DATE(2002,4,1)</f>
        <v>37347</v>
      </c>
      <c r="D206" s="387">
        <v>813.1</v>
      </c>
      <c r="E206" s="387"/>
      <c r="F206" s="387">
        <f>H206</f>
        <v>813.1</v>
      </c>
      <c r="H206" s="377">
        <f>SUM(K206:AI206)</f>
        <v>813.1</v>
      </c>
      <c r="I206" s="388">
        <v>2</v>
      </c>
      <c r="J206" s="404">
        <v>20</v>
      </c>
      <c r="L206" s="389">
        <v>0</v>
      </c>
      <c r="M206" s="389">
        <v>0</v>
      </c>
      <c r="N206" s="389">
        <v>0</v>
      </c>
      <c r="O206" s="389">
        <v>0</v>
      </c>
      <c r="P206" s="389">
        <v>0</v>
      </c>
      <c r="Q206" s="389">
        <v>0</v>
      </c>
      <c r="R206" s="389">
        <v>0</v>
      </c>
      <c r="S206" s="389">
        <v>0</v>
      </c>
      <c r="T206" s="389">
        <v>0</v>
      </c>
      <c r="U206" s="389">
        <v>0</v>
      </c>
      <c r="V206" s="389">
        <v>0</v>
      </c>
      <c r="W206" s="389">
        <v>0</v>
      </c>
      <c r="X206" s="389">
        <v>0</v>
      </c>
      <c r="Y206" s="389">
        <v>162.62</v>
      </c>
      <c r="Z206" s="389">
        <f t="shared" si="96"/>
        <v>162.62</v>
      </c>
      <c r="AA206" s="389">
        <f t="shared" si="96"/>
        <v>162.62</v>
      </c>
      <c r="AB206" s="389">
        <f t="shared" si="96"/>
        <v>162.62</v>
      </c>
      <c r="AC206" s="389">
        <f>813.1-650.48</f>
        <v>162.62</v>
      </c>
      <c r="AD206" s="389">
        <v>0</v>
      </c>
      <c r="AE206" s="389">
        <v>0</v>
      </c>
      <c r="AF206" s="389">
        <v>0</v>
      </c>
      <c r="AG206" s="389">
        <v>0</v>
      </c>
      <c r="AH206" s="389">
        <v>0</v>
      </c>
      <c r="AI206" s="389">
        <v>0</v>
      </c>
      <c r="AJ206" s="389">
        <v>0</v>
      </c>
      <c r="AK206" s="389">
        <v>0</v>
      </c>
    </row>
    <row r="207" spans="1:37" s="377" customFormat="1">
      <c r="B207" s="377" t="s">
        <v>834</v>
      </c>
      <c r="C207" s="386">
        <f>DATE(2006,5,1)</f>
        <v>38838</v>
      </c>
      <c r="D207" s="377">
        <v>9665.77</v>
      </c>
      <c r="E207" s="377">
        <v>0</v>
      </c>
      <c r="F207" s="387">
        <f>H207</f>
        <v>9665.7720000000008</v>
      </c>
      <c r="H207" s="377">
        <f>SUM(K207:AI207)</f>
        <v>9665.7720000000008</v>
      </c>
      <c r="I207" s="388">
        <v>20</v>
      </c>
      <c r="AC207" s="389">
        <v>1932.97</v>
      </c>
      <c r="AD207" s="389">
        <f>SUM($D207*$I207)/100</f>
        <v>1933.1540000000002</v>
      </c>
      <c r="AE207" s="389">
        <f>SUM($D207*$I207)/100</f>
        <v>1933.1540000000002</v>
      </c>
      <c r="AF207" s="389">
        <f>SUM($D207*$I207)/100</f>
        <v>1933.1540000000002</v>
      </c>
      <c r="AG207" s="389">
        <v>1933.34</v>
      </c>
      <c r="AH207" s="389">
        <v>0</v>
      </c>
      <c r="AI207" s="389">
        <v>0</v>
      </c>
      <c r="AJ207" s="389">
        <v>0</v>
      </c>
      <c r="AK207" s="389">
        <v>0</v>
      </c>
    </row>
    <row r="208" spans="1:37" s="377" customFormat="1">
      <c r="B208" s="377" t="s">
        <v>889</v>
      </c>
      <c r="C208" s="378">
        <f>DATE(2001,4,1)</f>
        <v>36982</v>
      </c>
      <c r="D208" s="380">
        <v>0</v>
      </c>
      <c r="E208" s="380"/>
      <c r="F208" s="380">
        <v>0</v>
      </c>
      <c r="G208" s="379"/>
      <c r="H208" s="377">
        <f>SUM(K208:AI208)</f>
        <v>347.35</v>
      </c>
      <c r="I208" s="381">
        <v>20</v>
      </c>
      <c r="J208" s="381"/>
      <c r="K208" s="379"/>
      <c r="L208" s="382"/>
      <c r="M208" s="382"/>
      <c r="N208" s="382"/>
      <c r="O208" s="382"/>
      <c r="P208" s="382"/>
      <c r="Q208" s="382"/>
      <c r="R208" s="382"/>
      <c r="S208" s="382"/>
      <c r="T208" s="382"/>
      <c r="U208" s="382"/>
      <c r="V208" s="379"/>
      <c r="W208" s="379">
        <v>0</v>
      </c>
      <c r="X208" s="382">
        <v>115.79</v>
      </c>
      <c r="Y208" s="382">
        <v>115.79</v>
      </c>
      <c r="Z208" s="382">
        <f>SUM($D208*$I208)/100</f>
        <v>0</v>
      </c>
      <c r="AA208" s="382">
        <f>SUM($D208*$I208)/100</f>
        <v>0</v>
      </c>
      <c r="AB208" s="382">
        <v>115.77</v>
      </c>
      <c r="AC208" s="382">
        <v>0</v>
      </c>
      <c r="AD208" s="382">
        <v>0</v>
      </c>
      <c r="AE208" s="382">
        <v>0</v>
      </c>
      <c r="AF208" s="382">
        <v>0</v>
      </c>
      <c r="AG208" s="382">
        <v>0</v>
      </c>
      <c r="AH208" s="382">
        <v>0</v>
      </c>
      <c r="AI208" s="382">
        <v>0</v>
      </c>
      <c r="AJ208" s="382">
        <v>0</v>
      </c>
      <c r="AK208" s="382">
        <v>0</v>
      </c>
    </row>
    <row r="209" spans="1:37" s="377" customFormat="1">
      <c r="D209" s="387">
        <f>SUM(D205:D208)</f>
        <v>10932.51</v>
      </c>
      <c r="E209" s="387">
        <f>F209+AJ209</f>
        <v>10932.516000000001</v>
      </c>
      <c r="F209" s="377">
        <f>SUM(F205:F208)</f>
        <v>10932.516000000001</v>
      </c>
      <c r="G209" s="387"/>
      <c r="H209" s="377">
        <f>SUM(K209:AI209)</f>
        <v>11279.866000000002</v>
      </c>
      <c r="I209" s="388"/>
      <c r="J209" s="388"/>
      <c r="K209" s="389"/>
      <c r="L209" s="389"/>
      <c r="M209" s="389"/>
      <c r="N209" s="389"/>
      <c r="O209" s="389"/>
      <c r="P209" s="389"/>
      <c r="S209" s="377">
        <f t="shared" ref="S209:X209" si="97">SUM(S208)</f>
        <v>0</v>
      </c>
      <c r="T209" s="377">
        <f t="shared" si="97"/>
        <v>0</v>
      </c>
      <c r="U209" s="377">
        <f t="shared" si="97"/>
        <v>0</v>
      </c>
      <c r="V209" s="377">
        <f t="shared" si="97"/>
        <v>0</v>
      </c>
      <c r="W209" s="377">
        <f t="shared" si="97"/>
        <v>0</v>
      </c>
      <c r="X209" s="377">
        <f t="shared" si="97"/>
        <v>115.79</v>
      </c>
      <c r="Y209" s="377">
        <f t="shared" ref="Y209:AK209" si="98">SUM(Y205:Y208)</f>
        <v>369.14000000000004</v>
      </c>
      <c r="Z209" s="377">
        <f t="shared" si="98"/>
        <v>253.34800000000001</v>
      </c>
      <c r="AA209" s="377">
        <f t="shared" si="98"/>
        <v>253.34800000000001</v>
      </c>
      <c r="AB209" s="377">
        <f t="shared" si="98"/>
        <v>369.11799999999999</v>
      </c>
      <c r="AC209" s="377">
        <f t="shared" si="98"/>
        <v>2186.3200000000002</v>
      </c>
      <c r="AD209" s="377">
        <f t="shared" si="98"/>
        <v>1933.1540000000002</v>
      </c>
      <c r="AE209" s="377">
        <f t="shared" si="98"/>
        <v>1933.1540000000002</v>
      </c>
      <c r="AF209" s="377">
        <f t="shared" si="98"/>
        <v>1933.1540000000002</v>
      </c>
      <c r="AG209" s="377">
        <f t="shared" si="98"/>
        <v>1933.34</v>
      </c>
      <c r="AH209" s="377">
        <f t="shared" si="98"/>
        <v>0</v>
      </c>
      <c r="AI209" s="377">
        <f t="shared" si="98"/>
        <v>0</v>
      </c>
      <c r="AJ209" s="377">
        <f t="shared" si="98"/>
        <v>0</v>
      </c>
      <c r="AK209" s="377">
        <f t="shared" si="98"/>
        <v>0</v>
      </c>
    </row>
    <row r="210" spans="1:37" s="377" customFormat="1">
      <c r="A210" s="377" t="s">
        <v>888</v>
      </c>
      <c r="D210" s="387"/>
      <c r="E210" s="387"/>
      <c r="G210" s="387"/>
      <c r="I210" s="388"/>
      <c r="J210" s="388"/>
      <c r="K210" s="389"/>
      <c r="L210" s="389"/>
      <c r="M210" s="389"/>
      <c r="N210" s="389"/>
      <c r="O210" s="389"/>
      <c r="P210" s="389"/>
    </row>
    <row r="211" spans="1:37" s="377" customFormat="1">
      <c r="B211" s="377" t="s">
        <v>887</v>
      </c>
      <c r="C211" s="386">
        <f>DATE(87,3,1)</f>
        <v>31837</v>
      </c>
      <c r="D211" s="387">
        <v>1982.9</v>
      </c>
      <c r="E211" s="387"/>
      <c r="F211" s="377">
        <f t="shared" ref="F211:F218" si="99">G211+H211</f>
        <v>1982.9</v>
      </c>
      <c r="G211" s="387">
        <v>99.15</v>
      </c>
      <c r="H211" s="377">
        <f t="shared" ref="H211:H232" si="100">SUM(K211:AI211)</f>
        <v>1883.75</v>
      </c>
      <c r="I211" s="388">
        <v>10</v>
      </c>
      <c r="J211" s="388"/>
      <c r="K211" s="389">
        <f t="shared" ref="K211:S211" si="101">SUM($D211*$I211)/100</f>
        <v>198.29</v>
      </c>
      <c r="L211" s="389">
        <f t="shared" si="101"/>
        <v>198.29</v>
      </c>
      <c r="M211" s="389">
        <f t="shared" si="101"/>
        <v>198.29</v>
      </c>
      <c r="N211" s="389">
        <f t="shared" si="101"/>
        <v>198.29</v>
      </c>
      <c r="O211" s="389">
        <f t="shared" si="101"/>
        <v>198.29</v>
      </c>
      <c r="P211" s="389">
        <f t="shared" si="101"/>
        <v>198.29</v>
      </c>
      <c r="Q211" s="389">
        <f t="shared" si="101"/>
        <v>198.29</v>
      </c>
      <c r="R211" s="389">
        <f t="shared" si="101"/>
        <v>198.29</v>
      </c>
      <c r="S211" s="389">
        <f t="shared" si="101"/>
        <v>198.29</v>
      </c>
      <c r="T211" s="389">
        <v>99.14</v>
      </c>
      <c r="U211" s="377">
        <v>0</v>
      </c>
      <c r="V211" s="377">
        <v>0</v>
      </c>
      <c r="W211" s="377">
        <v>0</v>
      </c>
      <c r="X211" s="377">
        <v>0</v>
      </c>
      <c r="Y211" s="377">
        <v>0</v>
      </c>
      <c r="Z211" s="377">
        <v>0</v>
      </c>
      <c r="AA211" s="377">
        <v>0</v>
      </c>
      <c r="AB211" s="377">
        <v>0</v>
      </c>
      <c r="AC211" s="377">
        <v>0</v>
      </c>
      <c r="AD211" s="377">
        <v>0</v>
      </c>
      <c r="AE211" s="377">
        <v>0</v>
      </c>
      <c r="AF211" s="377">
        <v>0</v>
      </c>
      <c r="AG211" s="377">
        <v>0</v>
      </c>
      <c r="AH211" s="377">
        <v>0</v>
      </c>
      <c r="AI211" s="377">
        <v>0</v>
      </c>
      <c r="AJ211" s="377">
        <v>0</v>
      </c>
      <c r="AK211" s="377">
        <v>0</v>
      </c>
    </row>
    <row r="212" spans="1:37" s="377" customFormat="1">
      <c r="B212" s="377" t="s">
        <v>886</v>
      </c>
      <c r="C212" s="386">
        <f>DATE(88,4,1)</f>
        <v>32234</v>
      </c>
      <c r="D212" s="387">
        <v>2435.75</v>
      </c>
      <c r="E212" s="387"/>
      <c r="F212" s="377">
        <f t="shared" si="99"/>
        <v>2435.7525000000001</v>
      </c>
      <c r="G212" s="387"/>
      <c r="H212" s="377">
        <f t="shared" si="100"/>
        <v>2435.7525000000001</v>
      </c>
      <c r="I212" s="388">
        <v>10</v>
      </c>
      <c r="J212" s="388"/>
      <c r="K212" s="389">
        <f>SUM($D212*$I212)/100/2</f>
        <v>121.78749999999999</v>
      </c>
      <c r="L212" s="389">
        <f t="shared" ref="L212:T212" si="102">SUM($D212*$I212)/100</f>
        <v>243.57499999999999</v>
      </c>
      <c r="M212" s="389">
        <f t="shared" si="102"/>
        <v>243.57499999999999</v>
      </c>
      <c r="N212" s="389">
        <f t="shared" si="102"/>
        <v>243.57499999999999</v>
      </c>
      <c r="O212" s="389">
        <f t="shared" si="102"/>
        <v>243.57499999999999</v>
      </c>
      <c r="P212" s="389">
        <f t="shared" si="102"/>
        <v>243.57499999999999</v>
      </c>
      <c r="Q212" s="389">
        <f t="shared" si="102"/>
        <v>243.57499999999999</v>
      </c>
      <c r="R212" s="389">
        <f t="shared" si="102"/>
        <v>243.57499999999999</v>
      </c>
      <c r="S212" s="389">
        <f t="shared" si="102"/>
        <v>243.57499999999999</v>
      </c>
      <c r="T212" s="389">
        <f t="shared" si="102"/>
        <v>243.57499999999999</v>
      </c>
      <c r="U212" s="389">
        <f>2435.75-2313.96</f>
        <v>121.78999999999996</v>
      </c>
      <c r="V212" s="389">
        <v>0</v>
      </c>
      <c r="W212" s="389">
        <v>0</v>
      </c>
      <c r="X212" s="389">
        <v>0</v>
      </c>
      <c r="Y212" s="389">
        <v>0</v>
      </c>
      <c r="Z212" s="389">
        <v>0</v>
      </c>
      <c r="AA212" s="389">
        <v>0</v>
      </c>
      <c r="AB212" s="389">
        <v>0</v>
      </c>
      <c r="AC212" s="389">
        <v>0</v>
      </c>
      <c r="AD212" s="389">
        <v>0</v>
      </c>
      <c r="AE212" s="389">
        <v>0</v>
      </c>
      <c r="AF212" s="389">
        <v>0</v>
      </c>
      <c r="AG212" s="389">
        <v>0</v>
      </c>
      <c r="AH212" s="389">
        <v>0</v>
      </c>
      <c r="AI212" s="389">
        <v>0</v>
      </c>
      <c r="AJ212" s="389">
        <v>0</v>
      </c>
      <c r="AK212" s="389">
        <v>0</v>
      </c>
    </row>
    <row r="213" spans="1:37" s="377" customFormat="1">
      <c r="B213" s="377" t="s">
        <v>885</v>
      </c>
      <c r="C213" s="386">
        <f>DATE(89,4,1)</f>
        <v>32599</v>
      </c>
      <c r="D213" s="387">
        <v>1017</v>
      </c>
      <c r="E213" s="387"/>
      <c r="F213" s="377">
        <f t="shared" si="99"/>
        <v>1017.0000000000001</v>
      </c>
      <c r="G213" s="387"/>
      <c r="H213" s="377">
        <f t="shared" si="100"/>
        <v>1017.0000000000001</v>
      </c>
      <c r="I213" s="388">
        <v>10</v>
      </c>
      <c r="J213" s="388"/>
      <c r="K213" s="389">
        <v>0</v>
      </c>
      <c r="L213" s="389">
        <f>SUM($D213*$I213)/100/2</f>
        <v>50.85</v>
      </c>
      <c r="M213" s="389">
        <f t="shared" ref="M213:U214" si="103">SUM($D213*$I213)/100</f>
        <v>101.7</v>
      </c>
      <c r="N213" s="389">
        <f t="shared" si="103"/>
        <v>101.7</v>
      </c>
      <c r="O213" s="389">
        <f t="shared" si="103"/>
        <v>101.7</v>
      </c>
      <c r="P213" s="389">
        <f t="shared" si="103"/>
        <v>101.7</v>
      </c>
      <c r="Q213" s="389">
        <f t="shared" si="103"/>
        <v>101.7</v>
      </c>
      <c r="R213" s="389">
        <f t="shared" si="103"/>
        <v>101.7</v>
      </c>
      <c r="S213" s="389">
        <f t="shared" si="103"/>
        <v>101.7</v>
      </c>
      <c r="T213" s="389">
        <f t="shared" si="103"/>
        <v>101.7</v>
      </c>
      <c r="U213" s="389">
        <f t="shared" si="103"/>
        <v>101.7</v>
      </c>
      <c r="V213" s="389">
        <f>1017-864.45-101.7</f>
        <v>50.849999999999952</v>
      </c>
      <c r="W213" s="389">
        <v>0</v>
      </c>
      <c r="X213" s="389">
        <v>0</v>
      </c>
      <c r="Y213" s="389">
        <v>0</v>
      </c>
      <c r="Z213" s="389">
        <v>0</v>
      </c>
      <c r="AA213" s="389">
        <v>0</v>
      </c>
      <c r="AB213" s="389">
        <v>0</v>
      </c>
      <c r="AC213" s="389">
        <v>0</v>
      </c>
      <c r="AD213" s="389">
        <v>0</v>
      </c>
      <c r="AE213" s="389">
        <v>0</v>
      </c>
      <c r="AF213" s="389">
        <v>0</v>
      </c>
      <c r="AG213" s="389">
        <v>0</v>
      </c>
      <c r="AH213" s="389">
        <v>0</v>
      </c>
      <c r="AI213" s="389">
        <v>0</v>
      </c>
      <c r="AJ213" s="389">
        <v>0</v>
      </c>
      <c r="AK213" s="389">
        <v>0</v>
      </c>
    </row>
    <row r="214" spans="1:37" s="377" customFormat="1">
      <c r="B214" s="377" t="s">
        <v>884</v>
      </c>
      <c r="C214" s="386">
        <f>DATE(89,6,1)</f>
        <v>32660</v>
      </c>
      <c r="D214" s="377">
        <v>995.82</v>
      </c>
      <c r="F214" s="377">
        <f t="shared" si="99"/>
        <v>995.81899999999996</v>
      </c>
      <c r="H214" s="377">
        <f t="shared" si="100"/>
        <v>995.81899999999996</v>
      </c>
      <c r="I214" s="388">
        <v>10</v>
      </c>
      <c r="J214" s="388"/>
      <c r="K214" s="389">
        <v>0</v>
      </c>
      <c r="L214" s="389">
        <f>SUM($D214*$I214)/100/2</f>
        <v>49.791000000000004</v>
      </c>
      <c r="M214" s="389">
        <f t="shared" si="103"/>
        <v>99.582000000000008</v>
      </c>
      <c r="N214" s="389">
        <f t="shared" si="103"/>
        <v>99.582000000000008</v>
      </c>
      <c r="O214" s="389">
        <f t="shared" si="103"/>
        <v>99.582000000000008</v>
      </c>
      <c r="P214" s="389">
        <f t="shared" si="103"/>
        <v>99.582000000000008</v>
      </c>
      <c r="Q214" s="389">
        <f t="shared" si="103"/>
        <v>99.582000000000008</v>
      </c>
      <c r="R214" s="389">
        <f t="shared" si="103"/>
        <v>99.582000000000008</v>
      </c>
      <c r="S214" s="389">
        <f t="shared" si="103"/>
        <v>99.582000000000008</v>
      </c>
      <c r="T214" s="389">
        <f t="shared" si="103"/>
        <v>99.582000000000008</v>
      </c>
      <c r="U214" s="389">
        <f t="shared" si="103"/>
        <v>99.582000000000008</v>
      </c>
      <c r="V214" s="377">
        <f>995.82-846.45-99.58</f>
        <v>49.790000000000006</v>
      </c>
      <c r="W214" s="377">
        <v>0</v>
      </c>
      <c r="X214" s="377">
        <v>0</v>
      </c>
      <c r="Y214" s="377">
        <v>0</v>
      </c>
      <c r="Z214" s="377">
        <v>0</v>
      </c>
      <c r="AA214" s="377">
        <v>0</v>
      </c>
      <c r="AB214" s="377">
        <v>0</v>
      </c>
      <c r="AC214" s="377">
        <v>0</v>
      </c>
      <c r="AD214" s="377">
        <v>0</v>
      </c>
      <c r="AE214" s="377">
        <v>0</v>
      </c>
      <c r="AF214" s="377">
        <v>0</v>
      </c>
      <c r="AG214" s="377">
        <v>0</v>
      </c>
      <c r="AH214" s="377">
        <v>0</v>
      </c>
      <c r="AI214" s="377">
        <v>0</v>
      </c>
      <c r="AJ214" s="377">
        <v>0</v>
      </c>
      <c r="AK214" s="377">
        <v>0</v>
      </c>
    </row>
    <row r="215" spans="1:37" s="377" customFormat="1">
      <c r="B215" s="377" t="s">
        <v>883</v>
      </c>
      <c r="C215" s="386">
        <f>DATE(91,10,1)</f>
        <v>33512</v>
      </c>
      <c r="D215" s="377">
        <v>3700</v>
      </c>
      <c r="F215" s="377">
        <f t="shared" si="99"/>
        <v>3700</v>
      </c>
      <c r="H215" s="377">
        <f t="shared" si="100"/>
        <v>3700</v>
      </c>
      <c r="I215" s="388">
        <v>10</v>
      </c>
      <c r="J215" s="388"/>
      <c r="N215" s="389">
        <f t="shared" ref="N215:W215" si="104">SUM($D215*$I215)/100</f>
        <v>370</v>
      </c>
      <c r="O215" s="389">
        <f t="shared" si="104"/>
        <v>370</v>
      </c>
      <c r="P215" s="389">
        <f t="shared" si="104"/>
        <v>370</v>
      </c>
      <c r="Q215" s="389">
        <f t="shared" si="104"/>
        <v>370</v>
      </c>
      <c r="R215" s="389">
        <f t="shared" si="104"/>
        <v>370</v>
      </c>
      <c r="S215" s="389">
        <f t="shared" si="104"/>
        <v>370</v>
      </c>
      <c r="T215" s="389">
        <f t="shared" si="104"/>
        <v>370</v>
      </c>
      <c r="U215" s="389">
        <f t="shared" si="104"/>
        <v>370</v>
      </c>
      <c r="V215" s="389">
        <f t="shared" si="104"/>
        <v>370</v>
      </c>
      <c r="W215" s="389">
        <f t="shared" si="104"/>
        <v>370</v>
      </c>
      <c r="X215" s="389">
        <v>0</v>
      </c>
      <c r="Y215" s="389">
        <v>0</v>
      </c>
      <c r="Z215" s="389">
        <v>0</v>
      </c>
      <c r="AA215" s="389">
        <v>0</v>
      </c>
      <c r="AB215" s="389">
        <v>0</v>
      </c>
      <c r="AC215" s="389">
        <v>0</v>
      </c>
      <c r="AD215" s="389">
        <v>0</v>
      </c>
      <c r="AE215" s="389">
        <v>0</v>
      </c>
      <c r="AF215" s="389">
        <v>0</v>
      </c>
      <c r="AG215" s="389">
        <v>0</v>
      </c>
      <c r="AH215" s="389">
        <v>0</v>
      </c>
      <c r="AI215" s="389">
        <v>0</v>
      </c>
      <c r="AJ215" s="389">
        <v>0</v>
      </c>
      <c r="AK215" s="389">
        <v>0</v>
      </c>
    </row>
    <row r="216" spans="1:37" s="377" customFormat="1">
      <c r="B216" s="377" t="s">
        <v>882</v>
      </c>
      <c r="C216" s="386">
        <f>DATE(91,10,1)</f>
        <v>33512</v>
      </c>
      <c r="D216" s="377">
        <v>499.03</v>
      </c>
      <c r="F216" s="377">
        <f t="shared" si="99"/>
        <v>499.02699999999993</v>
      </c>
      <c r="H216" s="377">
        <f t="shared" si="100"/>
        <v>499.02699999999993</v>
      </c>
      <c r="I216" s="388">
        <v>10</v>
      </c>
      <c r="J216" s="388"/>
      <c r="N216" s="389">
        <f t="shared" ref="N216:V216" si="105">SUM($D216*$I216)/100</f>
        <v>49.902999999999992</v>
      </c>
      <c r="O216" s="389">
        <f t="shared" si="105"/>
        <v>49.902999999999992</v>
      </c>
      <c r="P216" s="389">
        <f t="shared" si="105"/>
        <v>49.902999999999992</v>
      </c>
      <c r="Q216" s="389">
        <f t="shared" si="105"/>
        <v>49.902999999999992</v>
      </c>
      <c r="R216" s="389">
        <f t="shared" si="105"/>
        <v>49.902999999999992</v>
      </c>
      <c r="S216" s="389">
        <f t="shared" si="105"/>
        <v>49.902999999999992</v>
      </c>
      <c r="T216" s="389">
        <f t="shared" si="105"/>
        <v>49.902999999999992</v>
      </c>
      <c r="U216" s="389">
        <f t="shared" si="105"/>
        <v>49.902999999999992</v>
      </c>
      <c r="V216" s="389">
        <f t="shared" si="105"/>
        <v>49.902999999999992</v>
      </c>
      <c r="W216" s="389">
        <v>49.91</v>
      </c>
      <c r="X216" s="389">
        <v>-0.01</v>
      </c>
      <c r="Y216" s="389">
        <v>0</v>
      </c>
      <c r="Z216" s="389">
        <v>0</v>
      </c>
      <c r="AA216" s="389">
        <v>0</v>
      </c>
      <c r="AB216" s="389">
        <v>0</v>
      </c>
      <c r="AC216" s="389">
        <v>0</v>
      </c>
      <c r="AD216" s="389">
        <v>0</v>
      </c>
      <c r="AE216" s="389">
        <v>0</v>
      </c>
      <c r="AF216" s="389">
        <v>0</v>
      </c>
      <c r="AG216" s="389">
        <v>0</v>
      </c>
      <c r="AH216" s="389">
        <v>0</v>
      </c>
      <c r="AI216" s="389">
        <v>0</v>
      </c>
      <c r="AJ216" s="389">
        <v>0</v>
      </c>
      <c r="AK216" s="389">
        <v>0</v>
      </c>
    </row>
    <row r="217" spans="1:37" s="377" customFormat="1">
      <c r="B217" s="377" t="s">
        <v>881</v>
      </c>
      <c r="C217" s="386">
        <f>DATE(97,5,1)</f>
        <v>35551</v>
      </c>
      <c r="D217" s="377">
        <v>1183.2</v>
      </c>
      <c r="F217" s="377">
        <f t="shared" si="99"/>
        <v>1183.1999999999996</v>
      </c>
      <c r="H217" s="377">
        <f t="shared" si="100"/>
        <v>1183.1999999999996</v>
      </c>
      <c r="I217" s="388">
        <v>10</v>
      </c>
      <c r="J217" s="388"/>
      <c r="L217" s="389"/>
      <c r="M217" s="389"/>
      <c r="N217" s="389"/>
      <c r="O217" s="389"/>
      <c r="P217" s="389"/>
      <c r="Q217" s="389"/>
      <c r="R217" s="389"/>
      <c r="S217" s="389"/>
      <c r="T217" s="389">
        <f t="shared" ref="T217:W218" si="106">SUM($D217*$I217)/100</f>
        <v>118.32</v>
      </c>
      <c r="U217" s="389">
        <f t="shared" si="106"/>
        <v>118.32</v>
      </c>
      <c r="V217" s="389">
        <f t="shared" si="106"/>
        <v>118.32</v>
      </c>
      <c r="W217" s="389">
        <f t="shared" si="106"/>
        <v>118.32</v>
      </c>
      <c r="X217" s="389">
        <v>118.32</v>
      </c>
      <c r="Y217" s="389">
        <v>118.32</v>
      </c>
      <c r="Z217" s="389">
        <f t="shared" ref="Z217:AB218" si="107">SUM($D217*$I217)/100</f>
        <v>118.32</v>
      </c>
      <c r="AA217" s="389">
        <f t="shared" si="107"/>
        <v>118.32</v>
      </c>
      <c r="AB217" s="389">
        <f t="shared" si="107"/>
        <v>118.32</v>
      </c>
      <c r="AC217" s="389">
        <f>1183.2-1064.88</f>
        <v>118.31999999999994</v>
      </c>
      <c r="AD217" s="389">
        <v>0</v>
      </c>
      <c r="AE217" s="389">
        <v>0</v>
      </c>
      <c r="AF217" s="389">
        <v>0</v>
      </c>
      <c r="AG217" s="389">
        <v>0</v>
      </c>
      <c r="AH217" s="389">
        <v>0</v>
      </c>
      <c r="AI217" s="389">
        <v>0</v>
      </c>
      <c r="AJ217" s="389">
        <v>0</v>
      </c>
      <c r="AK217" s="389">
        <v>0</v>
      </c>
    </row>
    <row r="218" spans="1:37" s="377" customFormat="1">
      <c r="B218" s="377" t="s">
        <v>880</v>
      </c>
      <c r="C218" s="386">
        <f>DATE(97,12,1)</f>
        <v>35765</v>
      </c>
      <c r="D218" s="377">
        <v>32478.12</v>
      </c>
      <c r="F218" s="377">
        <f t="shared" si="99"/>
        <v>32478.123999999996</v>
      </c>
      <c r="H218" s="377">
        <f t="shared" si="100"/>
        <v>32478.123999999996</v>
      </c>
      <c r="I218" s="388">
        <v>10</v>
      </c>
      <c r="J218" s="388"/>
      <c r="L218" s="389"/>
      <c r="M218" s="389"/>
      <c r="N218" s="389"/>
      <c r="O218" s="389"/>
      <c r="P218" s="389"/>
      <c r="Q218" s="389"/>
      <c r="R218" s="389"/>
      <c r="S218" s="389"/>
      <c r="T218" s="389">
        <f t="shared" si="106"/>
        <v>3247.8119999999999</v>
      </c>
      <c r="U218" s="389">
        <f t="shared" si="106"/>
        <v>3247.8119999999999</v>
      </c>
      <c r="V218" s="389">
        <f t="shared" si="106"/>
        <v>3247.8119999999999</v>
      </c>
      <c r="W218" s="389">
        <f t="shared" si="106"/>
        <v>3247.8119999999999</v>
      </c>
      <c r="X218" s="389">
        <v>3247.81</v>
      </c>
      <c r="Y218" s="389">
        <v>3247.81</v>
      </c>
      <c r="Z218" s="389">
        <f t="shared" si="107"/>
        <v>3247.8119999999999</v>
      </c>
      <c r="AA218" s="389">
        <f t="shared" si="107"/>
        <v>3247.8119999999999</v>
      </c>
      <c r="AB218" s="389">
        <f t="shared" si="107"/>
        <v>3247.8119999999999</v>
      </c>
      <c r="AC218" s="389">
        <f>32478.12-29230.3</f>
        <v>3247.8199999999997</v>
      </c>
      <c r="AD218" s="389">
        <v>0</v>
      </c>
      <c r="AE218" s="389">
        <v>0</v>
      </c>
      <c r="AF218" s="389">
        <v>0</v>
      </c>
      <c r="AG218" s="389">
        <v>0</v>
      </c>
      <c r="AH218" s="389">
        <v>0</v>
      </c>
      <c r="AI218" s="389">
        <v>0</v>
      </c>
      <c r="AJ218" s="389">
        <v>0</v>
      </c>
      <c r="AK218" s="389">
        <v>0</v>
      </c>
    </row>
    <row r="219" spans="1:37" s="377" customFormat="1">
      <c r="B219" s="377" t="s">
        <v>879</v>
      </c>
      <c r="C219" s="386">
        <f>DATE(98,5,1)</f>
        <v>35916</v>
      </c>
      <c r="D219" s="387">
        <v>2902.16</v>
      </c>
      <c r="E219" s="387"/>
      <c r="F219" s="387">
        <f t="shared" ref="F219:F229" si="108">H219</f>
        <v>2902.1619999999998</v>
      </c>
      <c r="H219" s="377">
        <f t="shared" si="100"/>
        <v>2902.1619999999998</v>
      </c>
      <c r="I219" s="388">
        <v>2</v>
      </c>
      <c r="J219" s="404">
        <v>10</v>
      </c>
      <c r="L219" s="389">
        <v>0</v>
      </c>
      <c r="M219" s="389">
        <v>0</v>
      </c>
      <c r="N219" s="389">
        <v>0</v>
      </c>
      <c r="O219" s="389">
        <v>0</v>
      </c>
      <c r="P219" s="389">
        <v>0</v>
      </c>
      <c r="Q219" s="389">
        <v>0</v>
      </c>
      <c r="R219" s="389">
        <v>0</v>
      </c>
      <c r="S219" s="389">
        <v>0</v>
      </c>
      <c r="T219" s="389">
        <v>0</v>
      </c>
      <c r="U219" s="389">
        <f t="shared" ref="U219:W220" si="109">SUM($D219*$J219)/100</f>
        <v>290.21600000000001</v>
      </c>
      <c r="V219" s="389">
        <f t="shared" si="109"/>
        <v>290.21600000000001</v>
      </c>
      <c r="W219" s="389">
        <f t="shared" si="109"/>
        <v>290.21600000000001</v>
      </c>
      <c r="X219" s="389">
        <v>290.22000000000003</v>
      </c>
      <c r="Y219" s="389">
        <v>290.22000000000003</v>
      </c>
      <c r="Z219" s="389">
        <f t="shared" ref="Z219:AC221" si="110">SUM($D219*$J219)/100</f>
        <v>290.21600000000001</v>
      </c>
      <c r="AA219" s="389">
        <f t="shared" si="110"/>
        <v>290.21600000000001</v>
      </c>
      <c r="AB219" s="389">
        <f t="shared" si="110"/>
        <v>290.21600000000001</v>
      </c>
      <c r="AC219" s="389">
        <f t="shared" si="110"/>
        <v>290.21600000000001</v>
      </c>
      <c r="AD219" s="389">
        <v>290.20999999999998</v>
      </c>
      <c r="AE219" s="389">
        <v>0</v>
      </c>
      <c r="AF219" s="389">
        <v>0</v>
      </c>
      <c r="AG219" s="389">
        <v>0</v>
      </c>
      <c r="AH219" s="389">
        <v>0</v>
      </c>
      <c r="AI219" s="389">
        <v>0</v>
      </c>
      <c r="AJ219" s="389">
        <v>0</v>
      </c>
      <c r="AK219" s="389">
        <v>0</v>
      </c>
    </row>
    <row r="220" spans="1:37" s="377" customFormat="1">
      <c r="B220" s="377" t="s">
        <v>878</v>
      </c>
      <c r="C220" s="386">
        <f>DATE(98,10,1)</f>
        <v>36069</v>
      </c>
      <c r="D220" s="387">
        <v>2073.56</v>
      </c>
      <c r="E220" s="387"/>
      <c r="F220" s="387">
        <f t="shared" si="108"/>
        <v>2073.5619999999999</v>
      </c>
      <c r="H220" s="377">
        <f t="shared" si="100"/>
        <v>2073.5619999999999</v>
      </c>
      <c r="I220" s="388">
        <v>2</v>
      </c>
      <c r="J220" s="404">
        <v>10</v>
      </c>
      <c r="L220" s="389">
        <v>0</v>
      </c>
      <c r="M220" s="389">
        <v>0</v>
      </c>
      <c r="N220" s="389">
        <v>0</v>
      </c>
      <c r="O220" s="389">
        <v>0</v>
      </c>
      <c r="P220" s="389">
        <v>0</v>
      </c>
      <c r="Q220" s="389">
        <v>0</v>
      </c>
      <c r="R220" s="389">
        <v>0</v>
      </c>
      <c r="S220" s="389">
        <v>0</v>
      </c>
      <c r="T220" s="389">
        <v>0</v>
      </c>
      <c r="U220" s="389">
        <f t="shared" si="109"/>
        <v>207.35599999999999</v>
      </c>
      <c r="V220" s="389">
        <f t="shared" si="109"/>
        <v>207.35599999999999</v>
      </c>
      <c r="W220" s="389">
        <f t="shared" si="109"/>
        <v>207.35599999999999</v>
      </c>
      <c r="X220" s="389">
        <v>207.36</v>
      </c>
      <c r="Y220" s="389">
        <v>207.36</v>
      </c>
      <c r="Z220" s="389">
        <f t="shared" si="110"/>
        <v>207.35599999999999</v>
      </c>
      <c r="AA220" s="389">
        <f t="shared" si="110"/>
        <v>207.35599999999999</v>
      </c>
      <c r="AB220" s="389">
        <f t="shared" si="110"/>
        <v>207.35599999999999</v>
      </c>
      <c r="AC220" s="389">
        <f t="shared" si="110"/>
        <v>207.35599999999999</v>
      </c>
      <c r="AD220" s="389">
        <v>207.35</v>
      </c>
      <c r="AE220" s="389">
        <v>0</v>
      </c>
      <c r="AF220" s="389">
        <v>0</v>
      </c>
      <c r="AG220" s="389">
        <v>0</v>
      </c>
      <c r="AH220" s="389">
        <v>0</v>
      </c>
      <c r="AI220" s="389">
        <v>0</v>
      </c>
      <c r="AJ220" s="389">
        <v>0</v>
      </c>
      <c r="AK220" s="389">
        <v>0</v>
      </c>
    </row>
    <row r="221" spans="1:37" s="377" customFormat="1">
      <c r="B221" s="377" t="s">
        <v>877</v>
      </c>
      <c r="C221" s="386">
        <f>DATE(99,10,1)</f>
        <v>36434</v>
      </c>
      <c r="D221" s="387">
        <v>7485.87</v>
      </c>
      <c r="E221" s="387"/>
      <c r="F221" s="387">
        <f t="shared" si="108"/>
        <v>7485.8689999999988</v>
      </c>
      <c r="H221" s="377">
        <f t="shared" si="100"/>
        <v>7485.8689999999988</v>
      </c>
      <c r="I221" s="388"/>
      <c r="J221" s="404">
        <v>10</v>
      </c>
      <c r="L221" s="389"/>
      <c r="M221" s="389"/>
      <c r="N221" s="389"/>
      <c r="O221" s="389"/>
      <c r="P221" s="389"/>
      <c r="Q221" s="389"/>
      <c r="R221" s="389"/>
      <c r="S221" s="389"/>
      <c r="T221" s="389"/>
      <c r="U221" s="389"/>
      <c r="V221" s="389">
        <f>SUM($D221*$J221)/100</f>
        <v>748.58699999999999</v>
      </c>
      <c r="W221" s="389">
        <f>SUM($D221*$J221)/100</f>
        <v>748.58699999999999</v>
      </c>
      <c r="X221" s="389">
        <v>748.59</v>
      </c>
      <c r="Y221" s="389">
        <v>748.59</v>
      </c>
      <c r="Z221" s="389">
        <f t="shared" si="110"/>
        <v>748.58699999999999</v>
      </c>
      <c r="AA221" s="389">
        <f t="shared" si="110"/>
        <v>748.58699999999999</v>
      </c>
      <c r="AB221" s="389">
        <f t="shared" si="110"/>
        <v>748.58699999999999</v>
      </c>
      <c r="AC221" s="389">
        <f t="shared" si="110"/>
        <v>748.58699999999999</v>
      </c>
      <c r="AD221" s="389">
        <f>SUM($D221*$J221)/100</f>
        <v>748.58699999999999</v>
      </c>
      <c r="AE221" s="389">
        <v>748.58</v>
      </c>
      <c r="AF221" s="389">
        <v>0</v>
      </c>
      <c r="AG221" s="389">
        <v>0</v>
      </c>
      <c r="AH221" s="389">
        <v>0</v>
      </c>
      <c r="AI221" s="389">
        <v>0</v>
      </c>
      <c r="AJ221" s="389">
        <v>0</v>
      </c>
      <c r="AK221" s="389">
        <v>0</v>
      </c>
    </row>
    <row r="222" spans="1:37" s="377" customFormat="1">
      <c r="B222" s="377" t="s">
        <v>876</v>
      </c>
      <c r="C222" s="386">
        <f>DATE(2000,1,1)</f>
        <v>36526</v>
      </c>
      <c r="D222" s="387">
        <v>1655.96</v>
      </c>
      <c r="E222" s="387"/>
      <c r="F222" s="387">
        <f t="shared" si="108"/>
        <v>1655.9639999999999</v>
      </c>
      <c r="H222" s="377">
        <f t="shared" si="100"/>
        <v>1655.9639999999999</v>
      </c>
      <c r="I222" s="388"/>
      <c r="J222" s="404">
        <v>20</v>
      </c>
      <c r="L222" s="389"/>
      <c r="M222" s="389"/>
      <c r="N222" s="389"/>
      <c r="O222" s="389"/>
      <c r="P222" s="389"/>
      <c r="Q222" s="389"/>
      <c r="R222" s="389"/>
      <c r="S222" s="389"/>
      <c r="T222" s="389"/>
      <c r="U222" s="389"/>
      <c r="V222" s="389">
        <v>0</v>
      </c>
      <c r="W222" s="389">
        <f>SUM($D222*$J222)/100</f>
        <v>331.19199999999995</v>
      </c>
      <c r="X222" s="389">
        <v>331.19</v>
      </c>
      <c r="Y222" s="389">
        <v>331.19</v>
      </c>
      <c r="Z222" s="389">
        <f t="shared" ref="Z222:Z227" si="111">SUM($D222*$J222)/100</f>
        <v>331.19199999999995</v>
      </c>
      <c r="AA222" s="389">
        <v>331.2</v>
      </c>
      <c r="AB222" s="389">
        <v>0</v>
      </c>
      <c r="AC222" s="389">
        <v>0</v>
      </c>
      <c r="AD222" s="389">
        <v>0</v>
      </c>
      <c r="AE222" s="389">
        <v>0</v>
      </c>
      <c r="AF222" s="389">
        <v>0</v>
      </c>
      <c r="AG222" s="389">
        <v>0</v>
      </c>
      <c r="AH222" s="389">
        <v>0</v>
      </c>
      <c r="AI222" s="389">
        <v>0</v>
      </c>
      <c r="AJ222" s="389">
        <v>0</v>
      </c>
      <c r="AK222" s="389">
        <v>0</v>
      </c>
    </row>
    <row r="223" spans="1:37" s="377" customFormat="1">
      <c r="B223" s="377" t="s">
        <v>875</v>
      </c>
      <c r="C223" s="386">
        <f>DATE(2001,1,1)</f>
        <v>36892</v>
      </c>
      <c r="D223" s="387">
        <v>7940.12</v>
      </c>
      <c r="E223" s="387"/>
      <c r="F223" s="387">
        <f t="shared" si="108"/>
        <v>7940.123999999998</v>
      </c>
      <c r="H223" s="377">
        <f t="shared" si="100"/>
        <v>7940.123999999998</v>
      </c>
      <c r="I223" s="388"/>
      <c r="J223" s="404">
        <v>10</v>
      </c>
      <c r="L223" s="389"/>
      <c r="M223" s="389"/>
      <c r="N223" s="389"/>
      <c r="O223" s="389"/>
      <c r="P223" s="389"/>
      <c r="Q223" s="389"/>
      <c r="R223" s="389"/>
      <c r="S223" s="389"/>
      <c r="T223" s="389"/>
      <c r="U223" s="389"/>
      <c r="V223" s="389">
        <v>0</v>
      </c>
      <c r="W223" s="389">
        <v>0</v>
      </c>
      <c r="X223" s="389">
        <v>794.01</v>
      </c>
      <c r="Y223" s="389">
        <v>794.01</v>
      </c>
      <c r="Z223" s="389">
        <f t="shared" si="111"/>
        <v>794.01199999999994</v>
      </c>
      <c r="AA223" s="389">
        <f t="shared" ref="AA223:AF227" si="112">SUM($D223*$J223)/100</f>
        <v>794.01199999999994</v>
      </c>
      <c r="AB223" s="389">
        <f t="shared" si="112"/>
        <v>794.01199999999994</v>
      </c>
      <c r="AC223" s="389">
        <f t="shared" si="112"/>
        <v>794.01199999999994</v>
      </c>
      <c r="AD223" s="389">
        <f t="shared" si="112"/>
        <v>794.01199999999994</v>
      </c>
      <c r="AE223" s="389">
        <f t="shared" si="112"/>
        <v>794.01199999999994</v>
      </c>
      <c r="AF223" s="389">
        <f t="shared" si="112"/>
        <v>794.01199999999994</v>
      </c>
      <c r="AG223" s="389">
        <v>794.02</v>
      </c>
      <c r="AH223" s="389">
        <v>0</v>
      </c>
      <c r="AI223" s="389">
        <v>0</v>
      </c>
      <c r="AJ223" s="389">
        <v>0</v>
      </c>
      <c r="AK223" s="389">
        <v>0</v>
      </c>
    </row>
    <row r="224" spans="1:37" s="377" customFormat="1">
      <c r="B224" s="377" t="s">
        <v>874</v>
      </c>
      <c r="C224" s="386">
        <f>DATE(2001,10,1)</f>
        <v>37165</v>
      </c>
      <c r="D224" s="387">
        <f>99650+5683</f>
        <v>105333</v>
      </c>
      <c r="E224" s="387"/>
      <c r="F224" s="387">
        <f t="shared" si="108"/>
        <v>105333.00000000001</v>
      </c>
      <c r="H224" s="377">
        <f t="shared" si="100"/>
        <v>105333.00000000001</v>
      </c>
      <c r="I224" s="388"/>
      <c r="J224" s="404">
        <v>10</v>
      </c>
      <c r="L224" s="389"/>
      <c r="M224" s="389"/>
      <c r="N224" s="389"/>
      <c r="O224" s="389"/>
      <c r="P224" s="389"/>
      <c r="Q224" s="389"/>
      <c r="R224" s="389"/>
      <c r="S224" s="389"/>
      <c r="T224" s="389"/>
      <c r="U224" s="389"/>
      <c r="V224" s="389">
        <v>0</v>
      </c>
      <c r="W224" s="389">
        <v>0</v>
      </c>
      <c r="X224" s="389">
        <v>10533.3</v>
      </c>
      <c r="Y224" s="389">
        <v>10533.3</v>
      </c>
      <c r="Z224" s="389">
        <f t="shared" si="111"/>
        <v>10533.3</v>
      </c>
      <c r="AA224" s="389">
        <f t="shared" si="112"/>
        <v>10533.3</v>
      </c>
      <c r="AB224" s="389">
        <f t="shared" si="112"/>
        <v>10533.3</v>
      </c>
      <c r="AC224" s="389">
        <f t="shared" si="112"/>
        <v>10533.3</v>
      </c>
      <c r="AD224" s="389">
        <f t="shared" si="112"/>
        <v>10533.3</v>
      </c>
      <c r="AE224" s="389">
        <f t="shared" si="112"/>
        <v>10533.3</v>
      </c>
      <c r="AF224" s="389">
        <f t="shared" si="112"/>
        <v>10533.3</v>
      </c>
      <c r="AG224" s="389">
        <f>SUM($D224*$J224)/100</f>
        <v>10533.3</v>
      </c>
      <c r="AH224" s="389">
        <v>0</v>
      </c>
      <c r="AI224" s="389">
        <v>0</v>
      </c>
      <c r="AJ224" s="389">
        <v>0</v>
      </c>
      <c r="AK224" s="389">
        <v>0</v>
      </c>
    </row>
    <row r="225" spans="1:37" s="377" customFormat="1">
      <c r="B225" s="377" t="s">
        <v>873</v>
      </c>
      <c r="C225" s="386">
        <f>DATE(2002,1,1)</f>
        <v>37257</v>
      </c>
      <c r="D225" s="387">
        <v>3963.54</v>
      </c>
      <c r="E225" s="387"/>
      <c r="F225" s="387">
        <f t="shared" si="108"/>
        <v>3963.5420000000008</v>
      </c>
      <c r="H225" s="377">
        <f t="shared" si="100"/>
        <v>3963.5420000000008</v>
      </c>
      <c r="I225" s="388"/>
      <c r="J225" s="404">
        <v>10</v>
      </c>
      <c r="L225" s="389"/>
      <c r="M225" s="389"/>
      <c r="N225" s="389"/>
      <c r="O225" s="389"/>
      <c r="P225" s="389"/>
      <c r="Q225" s="389"/>
      <c r="R225" s="389"/>
      <c r="S225" s="389"/>
      <c r="T225" s="389"/>
      <c r="U225" s="389"/>
      <c r="V225" s="389">
        <v>0</v>
      </c>
      <c r="W225" s="389">
        <v>0</v>
      </c>
      <c r="X225" s="389">
        <v>0</v>
      </c>
      <c r="Y225" s="389">
        <v>396.35</v>
      </c>
      <c r="Z225" s="389">
        <f t="shared" si="111"/>
        <v>396.35400000000004</v>
      </c>
      <c r="AA225" s="389">
        <f t="shared" si="112"/>
        <v>396.35400000000004</v>
      </c>
      <c r="AB225" s="389">
        <f t="shared" si="112"/>
        <v>396.35400000000004</v>
      </c>
      <c r="AC225" s="389">
        <f t="shared" si="112"/>
        <v>396.35400000000004</v>
      </c>
      <c r="AD225" s="389">
        <f t="shared" si="112"/>
        <v>396.35400000000004</v>
      </c>
      <c r="AE225" s="389">
        <f t="shared" si="112"/>
        <v>396.35400000000004</v>
      </c>
      <c r="AF225" s="389">
        <f t="shared" si="112"/>
        <v>396.35400000000004</v>
      </c>
      <c r="AG225" s="389">
        <f>SUM($D225*$J225)/100</f>
        <v>396.35400000000004</v>
      </c>
      <c r="AH225" s="389">
        <v>396.36</v>
      </c>
      <c r="AI225" s="389">
        <v>0</v>
      </c>
      <c r="AJ225" s="389">
        <v>0</v>
      </c>
      <c r="AK225" s="389">
        <v>0</v>
      </c>
    </row>
    <row r="226" spans="1:37" s="377" customFormat="1">
      <c r="B226" s="377" t="s">
        <v>872</v>
      </c>
      <c r="C226" s="386">
        <f>DATE(2002,6,1)</f>
        <v>37408</v>
      </c>
      <c r="D226" s="387">
        <v>1094.73</v>
      </c>
      <c r="E226" s="387"/>
      <c r="F226" s="387">
        <f t="shared" si="108"/>
        <v>1094.7339999999997</v>
      </c>
      <c r="H226" s="377">
        <f t="shared" si="100"/>
        <v>1094.7339999999997</v>
      </c>
      <c r="I226" s="388"/>
      <c r="J226" s="404">
        <v>10</v>
      </c>
      <c r="L226" s="389"/>
      <c r="M226" s="389"/>
      <c r="N226" s="389"/>
      <c r="O226" s="389"/>
      <c r="P226" s="389"/>
      <c r="Q226" s="389"/>
      <c r="R226" s="389"/>
      <c r="S226" s="389"/>
      <c r="T226" s="389"/>
      <c r="U226" s="389"/>
      <c r="V226" s="389">
        <v>0</v>
      </c>
      <c r="W226" s="389">
        <v>0</v>
      </c>
      <c r="X226" s="389">
        <v>0</v>
      </c>
      <c r="Y226" s="389">
        <v>109.47</v>
      </c>
      <c r="Z226" s="389">
        <f t="shared" si="111"/>
        <v>109.473</v>
      </c>
      <c r="AA226" s="389">
        <f t="shared" si="112"/>
        <v>109.473</v>
      </c>
      <c r="AB226" s="389">
        <f t="shared" si="112"/>
        <v>109.473</v>
      </c>
      <c r="AC226" s="389">
        <f t="shared" si="112"/>
        <v>109.473</v>
      </c>
      <c r="AD226" s="389">
        <f t="shared" si="112"/>
        <v>109.473</v>
      </c>
      <c r="AE226" s="389">
        <f t="shared" si="112"/>
        <v>109.473</v>
      </c>
      <c r="AF226" s="389">
        <f t="shared" si="112"/>
        <v>109.473</v>
      </c>
      <c r="AG226" s="389">
        <f>SUM($D226*$J226)/100</f>
        <v>109.473</v>
      </c>
      <c r="AH226" s="389">
        <v>109.48</v>
      </c>
      <c r="AI226" s="389">
        <v>0</v>
      </c>
      <c r="AJ226" s="389">
        <v>0</v>
      </c>
      <c r="AK226" s="389">
        <v>0</v>
      </c>
    </row>
    <row r="227" spans="1:37" s="377" customFormat="1">
      <c r="B227" s="403" t="s">
        <v>871</v>
      </c>
      <c r="C227" s="386">
        <f>DATE(2003,2,1)</f>
        <v>37653</v>
      </c>
      <c r="D227" s="387">
        <v>1030.99</v>
      </c>
      <c r="E227" s="387"/>
      <c r="F227" s="387">
        <f t="shared" si="108"/>
        <v>1030.9899999999996</v>
      </c>
      <c r="H227" s="377">
        <f t="shared" si="100"/>
        <v>1030.9899999999996</v>
      </c>
      <c r="I227" s="388"/>
      <c r="J227" s="404">
        <v>10</v>
      </c>
      <c r="L227" s="389"/>
      <c r="M227" s="389"/>
      <c r="N227" s="389"/>
      <c r="O227" s="389"/>
      <c r="P227" s="389"/>
      <c r="Q227" s="389"/>
      <c r="R227" s="389"/>
      <c r="S227" s="389"/>
      <c r="T227" s="389"/>
      <c r="U227" s="389"/>
      <c r="V227" s="389">
        <v>0</v>
      </c>
      <c r="W227" s="389">
        <v>0</v>
      </c>
      <c r="X227" s="389">
        <v>0</v>
      </c>
      <c r="Y227" s="389">
        <v>0</v>
      </c>
      <c r="Z227" s="389">
        <f t="shared" si="111"/>
        <v>103.09899999999999</v>
      </c>
      <c r="AA227" s="389">
        <f t="shared" si="112"/>
        <v>103.09899999999999</v>
      </c>
      <c r="AB227" s="389">
        <f t="shared" si="112"/>
        <v>103.09899999999999</v>
      </c>
      <c r="AC227" s="389">
        <f t="shared" si="112"/>
        <v>103.09899999999999</v>
      </c>
      <c r="AD227" s="389">
        <f t="shared" si="112"/>
        <v>103.09899999999999</v>
      </c>
      <c r="AE227" s="389">
        <f t="shared" si="112"/>
        <v>103.09899999999999</v>
      </c>
      <c r="AF227" s="389">
        <f t="shared" si="112"/>
        <v>103.09899999999999</v>
      </c>
      <c r="AG227" s="389">
        <f>SUM($D227*$J227)/100</f>
        <v>103.09899999999999</v>
      </c>
      <c r="AH227" s="389">
        <f>SUM($D227*$J227)/100</f>
        <v>103.09899999999999</v>
      </c>
      <c r="AI227" s="389">
        <f>SUM($D227*$J227)/100</f>
        <v>103.09899999999999</v>
      </c>
      <c r="AJ227" s="389">
        <v>0</v>
      </c>
      <c r="AK227" s="389">
        <v>0</v>
      </c>
    </row>
    <row r="228" spans="1:37" s="377" customFormat="1">
      <c r="B228" s="390" t="s">
        <v>870</v>
      </c>
      <c r="C228" s="391">
        <f>DATE(2013,9,23)</f>
        <v>41540</v>
      </c>
      <c r="D228" s="392">
        <v>5238.75</v>
      </c>
      <c r="E228" s="392"/>
      <c r="F228" s="392">
        <f t="shared" si="108"/>
        <v>0</v>
      </c>
      <c r="G228" s="390"/>
      <c r="H228" s="390">
        <f t="shared" si="100"/>
        <v>0</v>
      </c>
      <c r="I228" s="393"/>
      <c r="J228" s="407">
        <v>5</v>
      </c>
      <c r="K228" s="390"/>
      <c r="L228" s="394"/>
      <c r="M228" s="394"/>
      <c r="N228" s="394"/>
      <c r="O228" s="394"/>
      <c r="P228" s="394"/>
      <c r="Q228" s="394"/>
      <c r="R228" s="394"/>
      <c r="S228" s="394"/>
      <c r="T228" s="394"/>
      <c r="U228" s="394"/>
      <c r="V228" s="394">
        <v>0</v>
      </c>
      <c r="W228" s="394">
        <v>0</v>
      </c>
      <c r="X228" s="394">
        <v>0</v>
      </c>
      <c r="Y228" s="394">
        <v>0</v>
      </c>
      <c r="Z228" s="394">
        <v>0</v>
      </c>
      <c r="AA228" s="394">
        <v>0</v>
      </c>
      <c r="AB228" s="394">
        <v>0</v>
      </c>
      <c r="AC228" s="394">
        <v>0</v>
      </c>
      <c r="AD228" s="394">
        <v>0</v>
      </c>
      <c r="AE228" s="394">
        <v>0</v>
      </c>
      <c r="AF228" s="394">
        <v>0</v>
      </c>
      <c r="AG228" s="394">
        <v>0</v>
      </c>
      <c r="AH228" s="394">
        <v>0</v>
      </c>
      <c r="AI228" s="394">
        <v>0</v>
      </c>
      <c r="AJ228" s="394">
        <f>SUM($D228*$J228)/100</f>
        <v>261.9375</v>
      </c>
      <c r="AK228" s="394">
        <f>SUM($D228*$J228)/100</f>
        <v>261.9375</v>
      </c>
    </row>
    <row r="229" spans="1:37" s="377" customFormat="1">
      <c r="B229" s="377" t="s">
        <v>869</v>
      </c>
      <c r="C229" s="386">
        <f>DATE(2005,11,18)</f>
        <v>38674</v>
      </c>
      <c r="D229" s="387">
        <v>12410.77</v>
      </c>
      <c r="E229" s="387"/>
      <c r="F229" s="387">
        <f t="shared" si="108"/>
        <v>9928.6160000000018</v>
      </c>
      <c r="H229" s="377">
        <f t="shared" si="100"/>
        <v>9928.6160000000018</v>
      </c>
      <c r="I229" s="388">
        <v>10</v>
      </c>
      <c r="J229" s="388"/>
      <c r="L229" s="389">
        <v>0</v>
      </c>
      <c r="M229" s="389"/>
      <c r="N229" s="389"/>
      <c r="O229" s="389"/>
      <c r="P229" s="389"/>
      <c r="AB229" s="389">
        <f t="shared" ref="AB229:AJ229" si="113">SUM($D229*$I229)/100</f>
        <v>1241.0770000000002</v>
      </c>
      <c r="AC229" s="389">
        <f t="shared" si="113"/>
        <v>1241.0770000000002</v>
      </c>
      <c r="AD229" s="389">
        <f t="shared" si="113"/>
        <v>1241.0770000000002</v>
      </c>
      <c r="AE229" s="389">
        <f t="shared" si="113"/>
        <v>1241.0770000000002</v>
      </c>
      <c r="AF229" s="389">
        <f t="shared" si="113"/>
        <v>1241.0770000000002</v>
      </c>
      <c r="AG229" s="389">
        <f t="shared" si="113"/>
        <v>1241.0770000000002</v>
      </c>
      <c r="AH229" s="389">
        <f t="shared" si="113"/>
        <v>1241.0770000000002</v>
      </c>
      <c r="AI229" s="389">
        <f t="shared" si="113"/>
        <v>1241.0770000000002</v>
      </c>
      <c r="AJ229" s="389">
        <f t="shared" si="113"/>
        <v>1241.0770000000002</v>
      </c>
      <c r="AK229" s="389">
        <v>1241.07</v>
      </c>
    </row>
    <row r="230" spans="1:37" s="377" customFormat="1">
      <c r="B230" s="377" t="s">
        <v>868</v>
      </c>
      <c r="C230" s="386">
        <f>DATE(92,4,1)</f>
        <v>33695</v>
      </c>
      <c r="D230" s="377">
        <v>1855</v>
      </c>
      <c r="F230" s="377">
        <f>G230+H230</f>
        <v>1855</v>
      </c>
      <c r="H230" s="377">
        <f t="shared" si="100"/>
        <v>1855</v>
      </c>
      <c r="I230" s="388">
        <v>20</v>
      </c>
      <c r="O230" s="389">
        <f>SUM($D230*$I230)/100</f>
        <v>371</v>
      </c>
      <c r="P230" s="389">
        <f>SUM($D230*$I230)/100</f>
        <v>371</v>
      </c>
      <c r="Q230" s="389">
        <f>SUM($D230*$I230)/100</f>
        <v>371</v>
      </c>
      <c r="R230" s="389">
        <f>SUM($D230*$I230)/100</f>
        <v>371</v>
      </c>
      <c r="S230" s="389">
        <f>1855-1484</f>
        <v>371</v>
      </c>
      <c r="T230" s="389">
        <v>0</v>
      </c>
      <c r="U230" s="389">
        <v>0</v>
      </c>
      <c r="V230" s="389">
        <v>0</v>
      </c>
      <c r="W230" s="389">
        <v>0</v>
      </c>
      <c r="X230" s="389">
        <v>0</v>
      </c>
      <c r="Y230" s="389">
        <v>0</v>
      </c>
      <c r="Z230" s="389">
        <v>0</v>
      </c>
      <c r="AA230" s="389">
        <v>0</v>
      </c>
      <c r="AB230" s="389">
        <v>0</v>
      </c>
      <c r="AC230" s="389">
        <v>0</v>
      </c>
      <c r="AD230" s="389">
        <v>0</v>
      </c>
      <c r="AE230" s="389">
        <v>0</v>
      </c>
      <c r="AF230" s="389">
        <v>0</v>
      </c>
      <c r="AG230" s="389">
        <v>0</v>
      </c>
      <c r="AH230" s="389">
        <v>0</v>
      </c>
      <c r="AI230" s="389">
        <v>0</v>
      </c>
      <c r="AJ230" s="389">
        <v>0</v>
      </c>
      <c r="AK230" s="389">
        <v>0</v>
      </c>
    </row>
    <row r="231" spans="1:37" s="377" customFormat="1">
      <c r="B231" s="377" t="s">
        <v>867</v>
      </c>
      <c r="C231" s="378">
        <f>DATE(94,6,1)</f>
        <v>34486</v>
      </c>
      <c r="D231" s="379">
        <v>2076.75</v>
      </c>
      <c r="E231" s="379"/>
      <c r="F231" s="379">
        <f>G231+H231</f>
        <v>2076.7449999999999</v>
      </c>
      <c r="G231" s="379"/>
      <c r="H231" s="377">
        <f t="shared" si="100"/>
        <v>2076.7449999999999</v>
      </c>
      <c r="I231" s="381">
        <v>10</v>
      </c>
      <c r="J231" s="379"/>
      <c r="K231" s="379"/>
      <c r="L231" s="379"/>
      <c r="M231" s="379"/>
      <c r="N231" s="379"/>
      <c r="O231" s="379"/>
      <c r="P231" s="379"/>
      <c r="Q231" s="382">
        <f t="shared" ref="Q231:W231" si="114">SUM($D231*$I231)/100</f>
        <v>207.67500000000001</v>
      </c>
      <c r="R231" s="382">
        <f t="shared" si="114"/>
        <v>207.67500000000001</v>
      </c>
      <c r="S231" s="382">
        <f t="shared" si="114"/>
        <v>207.67500000000001</v>
      </c>
      <c r="T231" s="382">
        <f t="shared" si="114"/>
        <v>207.67500000000001</v>
      </c>
      <c r="U231" s="382">
        <f t="shared" si="114"/>
        <v>207.67500000000001</v>
      </c>
      <c r="V231" s="382">
        <f t="shared" si="114"/>
        <v>207.67500000000001</v>
      </c>
      <c r="W231" s="382">
        <f t="shared" si="114"/>
        <v>207.67500000000001</v>
      </c>
      <c r="X231" s="382">
        <v>207.68</v>
      </c>
      <c r="Y231" s="382">
        <v>207.68</v>
      </c>
      <c r="Z231" s="382">
        <v>207.66</v>
      </c>
      <c r="AA231" s="382">
        <v>0</v>
      </c>
      <c r="AB231" s="382">
        <v>0</v>
      </c>
      <c r="AC231" s="382">
        <v>0</v>
      </c>
      <c r="AD231" s="382">
        <v>0</v>
      </c>
      <c r="AE231" s="382">
        <v>0</v>
      </c>
      <c r="AF231" s="382">
        <v>0</v>
      </c>
      <c r="AG231" s="382">
        <v>0</v>
      </c>
      <c r="AH231" s="382">
        <v>0</v>
      </c>
      <c r="AI231" s="382">
        <v>0</v>
      </c>
      <c r="AJ231" s="382">
        <v>0</v>
      </c>
      <c r="AK231" s="382">
        <v>0</v>
      </c>
    </row>
    <row r="232" spans="1:37" s="377" customFormat="1">
      <c r="D232" s="377">
        <f>SUM(D211:D231)</f>
        <v>199353.02</v>
      </c>
      <c r="E232" s="387">
        <f>F232+AJ232</f>
        <v>193135.14499999996</v>
      </c>
      <c r="F232" s="377">
        <f>SUM(F211:F231)</f>
        <v>191632.13049999997</v>
      </c>
      <c r="G232" s="377">
        <f>SUM(G211:G231)</f>
        <v>99.15</v>
      </c>
      <c r="H232" s="377">
        <f t="shared" si="100"/>
        <v>191532.98050000001</v>
      </c>
      <c r="I232" s="388"/>
      <c r="J232" s="388"/>
      <c r="K232" s="377">
        <f t="shared" ref="K232:AK232" si="115">SUM(K211:K231)</f>
        <v>320.07749999999999</v>
      </c>
      <c r="L232" s="377">
        <f t="shared" si="115"/>
        <v>542.50600000000009</v>
      </c>
      <c r="M232" s="377">
        <f t="shared" si="115"/>
        <v>643.14700000000005</v>
      </c>
      <c r="N232" s="377">
        <f t="shared" si="115"/>
        <v>1063.05</v>
      </c>
      <c r="O232" s="377">
        <f t="shared" si="115"/>
        <v>1434.05</v>
      </c>
      <c r="P232" s="377">
        <f t="shared" si="115"/>
        <v>1434.05</v>
      </c>
      <c r="Q232" s="377">
        <f t="shared" si="115"/>
        <v>1641.7249999999999</v>
      </c>
      <c r="R232" s="377">
        <f t="shared" si="115"/>
        <v>1641.7249999999999</v>
      </c>
      <c r="S232" s="377">
        <f t="shared" si="115"/>
        <v>1641.7249999999999</v>
      </c>
      <c r="T232" s="377">
        <f t="shared" si="115"/>
        <v>4537.7070000000003</v>
      </c>
      <c r="U232" s="377">
        <f t="shared" si="115"/>
        <v>4814.3540000000003</v>
      </c>
      <c r="V232" s="377">
        <f t="shared" si="115"/>
        <v>5340.5090000000009</v>
      </c>
      <c r="W232" s="377">
        <f t="shared" si="115"/>
        <v>5571.0679999999993</v>
      </c>
      <c r="X232" s="377">
        <f t="shared" si="115"/>
        <v>16478.469999999998</v>
      </c>
      <c r="Y232" s="377">
        <f t="shared" si="115"/>
        <v>16984.3</v>
      </c>
      <c r="Z232" s="377">
        <f t="shared" si="115"/>
        <v>17087.380999999998</v>
      </c>
      <c r="AA232" s="377">
        <f t="shared" si="115"/>
        <v>16879.728999999999</v>
      </c>
      <c r="AB232" s="377">
        <f t="shared" si="115"/>
        <v>17789.606</v>
      </c>
      <c r="AC232" s="377">
        <f t="shared" si="115"/>
        <v>17789.613999999998</v>
      </c>
      <c r="AD232" s="377">
        <f t="shared" si="115"/>
        <v>14423.462</v>
      </c>
      <c r="AE232" s="377">
        <f t="shared" si="115"/>
        <v>13925.895</v>
      </c>
      <c r="AF232" s="377">
        <f t="shared" si="115"/>
        <v>13177.314999999999</v>
      </c>
      <c r="AG232" s="377">
        <f t="shared" si="115"/>
        <v>13177.323</v>
      </c>
      <c r="AH232" s="377">
        <f t="shared" si="115"/>
        <v>1850.0160000000003</v>
      </c>
      <c r="AI232" s="377">
        <f t="shared" si="115"/>
        <v>1344.1760000000002</v>
      </c>
      <c r="AJ232" s="377">
        <f t="shared" si="115"/>
        <v>1503.0145000000002</v>
      </c>
      <c r="AK232" s="377">
        <f t="shared" si="115"/>
        <v>1503.0074999999999</v>
      </c>
    </row>
    <row r="233" spans="1:37" s="377" customFormat="1">
      <c r="E233" s="387"/>
      <c r="I233" s="388"/>
      <c r="J233" s="388"/>
    </row>
    <row r="234" spans="1:37" s="377" customFormat="1">
      <c r="A234" s="408" t="s">
        <v>866</v>
      </c>
      <c r="B234" s="408"/>
      <c r="E234" s="387"/>
      <c r="I234" s="388"/>
      <c r="J234" s="388"/>
    </row>
    <row r="235" spans="1:37" s="377" customFormat="1">
      <c r="A235" s="409" t="s">
        <v>865</v>
      </c>
      <c r="B235" s="409"/>
      <c r="E235" s="387"/>
      <c r="I235" s="388"/>
      <c r="J235" s="388"/>
    </row>
    <row r="236" spans="1:37" s="377" customFormat="1">
      <c r="A236" s="410" t="s">
        <v>864</v>
      </c>
      <c r="B236" s="410"/>
      <c r="E236" s="387"/>
      <c r="I236" s="388"/>
      <c r="J236" s="388"/>
    </row>
    <row r="237" spans="1:37" s="377" customFormat="1">
      <c r="A237" s="390" t="s">
        <v>863</v>
      </c>
      <c r="B237" s="390"/>
      <c r="E237" s="387"/>
      <c r="I237" s="388"/>
      <c r="J237" s="388"/>
    </row>
    <row r="238" spans="1:37" s="377" customFormat="1">
      <c r="E238" s="387"/>
      <c r="I238" s="388"/>
      <c r="J238" s="388"/>
    </row>
    <row r="239" spans="1:37" s="377" customFormat="1">
      <c r="E239" s="387"/>
      <c r="I239" s="388"/>
      <c r="J239" s="388"/>
    </row>
    <row r="240" spans="1:37" s="377" customFormat="1">
      <c r="I240" s="388"/>
      <c r="J240" s="388"/>
    </row>
    <row r="241" spans="1:37" s="377" customFormat="1">
      <c r="B241" s="402" t="s">
        <v>862</v>
      </c>
      <c r="D241" s="387"/>
      <c r="E241" s="387"/>
      <c r="G241" s="387"/>
      <c r="I241" s="388"/>
      <c r="J241" s="388"/>
      <c r="K241" s="389"/>
      <c r="L241" s="389"/>
      <c r="M241" s="389"/>
      <c r="N241" s="389"/>
      <c r="O241" s="389"/>
      <c r="P241" s="389"/>
    </row>
    <row r="242" spans="1:37" s="377" customFormat="1">
      <c r="A242" s="411" t="s">
        <v>861</v>
      </c>
      <c r="B242" s="408"/>
      <c r="D242" s="387">
        <v>29020.42</v>
      </c>
      <c r="E242" s="387"/>
      <c r="G242" s="387"/>
      <c r="H242" s="377">
        <f>SUM(K242:AE242)</f>
        <v>0</v>
      </c>
      <c r="I242" s="388"/>
      <c r="J242" s="388"/>
      <c r="K242" s="389"/>
      <c r="L242" s="389"/>
      <c r="M242" s="389"/>
      <c r="N242" s="389"/>
      <c r="O242" s="389"/>
      <c r="P242" s="389"/>
    </row>
    <row r="243" spans="1:37" s="377" customFormat="1">
      <c r="D243" s="387"/>
      <c r="E243" s="387"/>
      <c r="G243" s="387"/>
      <c r="I243" s="388"/>
      <c r="J243" s="388"/>
      <c r="K243" s="389"/>
      <c r="L243" s="389"/>
      <c r="M243" s="389"/>
      <c r="N243" s="389"/>
      <c r="O243" s="389"/>
      <c r="P243" s="389"/>
    </row>
    <row r="244" spans="1:37" s="377" customFormat="1">
      <c r="A244" s="390" t="s">
        <v>860</v>
      </c>
      <c r="B244" s="390"/>
      <c r="C244" s="386" t="s">
        <v>859</v>
      </c>
      <c r="D244" s="387" t="s">
        <v>858</v>
      </c>
      <c r="E244" s="387"/>
      <c r="G244" s="387"/>
      <c r="I244" s="388"/>
      <c r="J244" s="388"/>
      <c r="K244" s="389"/>
      <c r="L244" s="389"/>
      <c r="M244" s="389"/>
      <c r="N244" s="389"/>
      <c r="O244" s="389"/>
      <c r="P244" s="389"/>
    </row>
    <row r="245" spans="1:37" s="377" customFormat="1">
      <c r="B245" s="377" t="s">
        <v>856</v>
      </c>
      <c r="C245" s="386">
        <f>DATE(79,1,1)</f>
        <v>28856</v>
      </c>
      <c r="D245" s="387">
        <v>38768.85</v>
      </c>
      <c r="E245" s="387"/>
      <c r="F245" s="377">
        <f>G245+H245</f>
        <v>38768.85</v>
      </c>
      <c r="G245" s="387">
        <v>8722.5300000000007</v>
      </c>
      <c r="H245" s="377">
        <f t="shared" ref="H245:H251" si="116">SUM(K245:AI245)</f>
        <v>30046.32</v>
      </c>
      <c r="I245" s="388">
        <v>3</v>
      </c>
      <c r="J245" s="404">
        <v>10</v>
      </c>
      <c r="K245" s="377">
        <v>1163</v>
      </c>
      <c r="L245" s="389">
        <v>1163</v>
      </c>
      <c r="M245" s="389">
        <v>1163</v>
      </c>
      <c r="N245" s="389">
        <v>1163</v>
      </c>
      <c r="O245" s="389">
        <v>1163</v>
      </c>
      <c r="P245" s="389">
        <v>1163</v>
      </c>
      <c r="Q245" s="389">
        <v>1163</v>
      </c>
      <c r="R245" s="389">
        <v>1163</v>
      </c>
      <c r="S245" s="389">
        <v>2326</v>
      </c>
      <c r="T245" s="389">
        <f t="shared" ref="T245:W248" si="117">SUM($D245*$J245)/100</f>
        <v>3876.8850000000002</v>
      </c>
      <c r="U245" s="389">
        <f t="shared" si="117"/>
        <v>3876.8850000000002</v>
      </c>
      <c r="V245" s="389">
        <f t="shared" si="117"/>
        <v>3876.8850000000002</v>
      </c>
      <c r="W245" s="389">
        <f t="shared" si="117"/>
        <v>3876.8850000000002</v>
      </c>
      <c r="X245" s="389">
        <f>38768.85-35860.07</f>
        <v>2908.7799999999988</v>
      </c>
      <c r="Y245" s="389">
        <v>0</v>
      </c>
      <c r="Z245" s="389">
        <v>0</v>
      </c>
      <c r="AA245" s="389">
        <v>0</v>
      </c>
      <c r="AB245" s="389">
        <v>0</v>
      </c>
      <c r="AC245" s="389">
        <v>0</v>
      </c>
      <c r="AD245" s="389">
        <v>0</v>
      </c>
      <c r="AE245" s="389">
        <v>0</v>
      </c>
      <c r="AF245" s="389">
        <v>0</v>
      </c>
      <c r="AG245" s="389">
        <v>0</v>
      </c>
      <c r="AH245" s="389">
        <v>0</v>
      </c>
      <c r="AI245" s="389">
        <v>0</v>
      </c>
      <c r="AJ245" s="389">
        <v>0</v>
      </c>
      <c r="AK245" s="389">
        <v>0</v>
      </c>
    </row>
    <row r="246" spans="1:37" s="377" customFormat="1">
      <c r="B246" s="377" t="s">
        <v>856</v>
      </c>
      <c r="C246" s="386">
        <f>DATE(80,1,1)</f>
        <v>29221</v>
      </c>
      <c r="D246" s="387">
        <v>7307.25</v>
      </c>
      <c r="E246" s="387"/>
      <c r="F246" s="377">
        <f>G246+H246</f>
        <v>7307.2500000000009</v>
      </c>
      <c r="G246" s="387">
        <v>1533</v>
      </c>
      <c r="H246" s="377">
        <f t="shared" si="116"/>
        <v>5774.2500000000009</v>
      </c>
      <c r="I246" s="388">
        <v>3</v>
      </c>
      <c r="J246" s="404">
        <v>10</v>
      </c>
      <c r="K246" s="377">
        <v>219</v>
      </c>
      <c r="L246" s="389">
        <v>219</v>
      </c>
      <c r="M246" s="389">
        <v>219</v>
      </c>
      <c r="N246" s="389">
        <v>219</v>
      </c>
      <c r="O246" s="389">
        <v>219</v>
      </c>
      <c r="P246" s="389">
        <v>219</v>
      </c>
      <c r="Q246" s="389">
        <v>219</v>
      </c>
      <c r="R246" s="389">
        <v>219</v>
      </c>
      <c r="S246" s="389">
        <v>438</v>
      </c>
      <c r="T246" s="389">
        <f t="shared" si="117"/>
        <v>730.72500000000002</v>
      </c>
      <c r="U246" s="389">
        <f t="shared" si="117"/>
        <v>730.72500000000002</v>
      </c>
      <c r="V246" s="389">
        <f t="shared" si="117"/>
        <v>730.72500000000002</v>
      </c>
      <c r="W246" s="389">
        <f t="shared" si="117"/>
        <v>730.72500000000002</v>
      </c>
      <c r="X246" s="389">
        <v>661.35</v>
      </c>
      <c r="Y246" s="389">
        <v>0</v>
      </c>
      <c r="Z246" s="389">
        <v>0</v>
      </c>
      <c r="AA246" s="389">
        <v>0</v>
      </c>
      <c r="AB246" s="389">
        <v>0</v>
      </c>
      <c r="AC246" s="389">
        <v>0</v>
      </c>
      <c r="AD246" s="389">
        <v>0</v>
      </c>
      <c r="AE246" s="389">
        <v>0</v>
      </c>
      <c r="AF246" s="389">
        <v>0</v>
      </c>
      <c r="AG246" s="389">
        <v>0</v>
      </c>
      <c r="AH246" s="389">
        <v>0</v>
      </c>
      <c r="AI246" s="389">
        <v>0</v>
      </c>
      <c r="AJ246" s="389">
        <v>0</v>
      </c>
      <c r="AK246" s="389">
        <v>0</v>
      </c>
    </row>
    <row r="247" spans="1:37" s="377" customFormat="1">
      <c r="B247" s="377" t="s">
        <v>857</v>
      </c>
      <c r="C247" s="386">
        <f>DATE(80,1,1)</f>
        <v>29221</v>
      </c>
      <c r="D247" s="387">
        <v>12243</v>
      </c>
      <c r="E247" s="387"/>
      <c r="F247" s="377">
        <f>G247+H247</f>
        <v>12243</v>
      </c>
      <c r="G247" s="387">
        <v>2569</v>
      </c>
      <c r="H247" s="377">
        <f t="shared" si="116"/>
        <v>9674</v>
      </c>
      <c r="I247" s="388">
        <v>3</v>
      </c>
      <c r="J247" s="404">
        <v>10</v>
      </c>
      <c r="K247" s="377">
        <v>367</v>
      </c>
      <c r="L247" s="389">
        <v>367</v>
      </c>
      <c r="M247" s="389">
        <v>367</v>
      </c>
      <c r="N247" s="389">
        <v>367</v>
      </c>
      <c r="O247" s="389">
        <v>367</v>
      </c>
      <c r="P247" s="389">
        <v>367</v>
      </c>
      <c r="Q247" s="389">
        <v>367</v>
      </c>
      <c r="R247" s="389">
        <v>367</v>
      </c>
      <c r="S247" s="389">
        <v>734</v>
      </c>
      <c r="T247" s="389">
        <f t="shared" si="117"/>
        <v>1224.3</v>
      </c>
      <c r="U247" s="389">
        <f t="shared" si="117"/>
        <v>1224.3</v>
      </c>
      <c r="V247" s="389">
        <f t="shared" si="117"/>
        <v>1224.3</v>
      </c>
      <c r="W247" s="389">
        <f t="shared" si="117"/>
        <v>1224.3</v>
      </c>
      <c r="X247" s="389">
        <v>1106.8</v>
      </c>
      <c r="Y247" s="389">
        <v>0</v>
      </c>
      <c r="Z247" s="389">
        <v>0</v>
      </c>
      <c r="AA247" s="389">
        <v>0</v>
      </c>
      <c r="AB247" s="389">
        <v>0</v>
      </c>
      <c r="AC247" s="389">
        <v>0</v>
      </c>
      <c r="AD247" s="389">
        <v>0</v>
      </c>
      <c r="AE247" s="389">
        <v>0</v>
      </c>
      <c r="AF247" s="389">
        <v>0</v>
      </c>
      <c r="AG247" s="389">
        <v>0</v>
      </c>
      <c r="AH247" s="389">
        <v>0</v>
      </c>
      <c r="AI247" s="389">
        <v>0</v>
      </c>
      <c r="AJ247" s="389">
        <v>0</v>
      </c>
      <c r="AK247" s="389">
        <v>0</v>
      </c>
    </row>
    <row r="248" spans="1:37" s="377" customFormat="1">
      <c r="B248" s="377" t="s">
        <v>856</v>
      </c>
      <c r="C248" s="386">
        <f>DATE(89,1,1)</f>
        <v>32509</v>
      </c>
      <c r="D248" s="387">
        <v>10380.16</v>
      </c>
      <c r="E248" s="387"/>
      <c r="F248" s="377">
        <f>G248+H248</f>
        <v>10380.1628</v>
      </c>
      <c r="G248" s="387"/>
      <c r="H248" s="377">
        <f t="shared" si="116"/>
        <v>10380.1628</v>
      </c>
      <c r="I248" s="388">
        <v>3</v>
      </c>
      <c r="J248" s="404">
        <v>10</v>
      </c>
      <c r="L248" s="389">
        <f>311.4/2</f>
        <v>155.69999999999999</v>
      </c>
      <c r="M248" s="389">
        <f t="shared" ref="M248:R248" si="118">SUM($D248*$I248)/100</f>
        <v>311.40480000000002</v>
      </c>
      <c r="N248" s="389">
        <f t="shared" si="118"/>
        <v>311.40480000000002</v>
      </c>
      <c r="O248" s="389">
        <f t="shared" si="118"/>
        <v>311.40480000000002</v>
      </c>
      <c r="P248" s="389">
        <f t="shared" si="118"/>
        <v>311.40480000000002</v>
      </c>
      <c r="Q248" s="389">
        <f t="shared" si="118"/>
        <v>311.40480000000002</v>
      </c>
      <c r="R248" s="389">
        <f t="shared" si="118"/>
        <v>311.40480000000002</v>
      </c>
      <c r="S248" s="389">
        <v>934.2</v>
      </c>
      <c r="T248" s="389">
        <f t="shared" si="117"/>
        <v>1038.0160000000001</v>
      </c>
      <c r="U248" s="389">
        <f t="shared" si="117"/>
        <v>1038.0160000000001</v>
      </c>
      <c r="V248" s="389">
        <f t="shared" si="117"/>
        <v>1038.0160000000001</v>
      </c>
      <c r="W248" s="389">
        <f t="shared" si="117"/>
        <v>1038.0160000000001</v>
      </c>
      <c r="X248" s="389">
        <v>1038.02</v>
      </c>
      <c r="Y248" s="389">
        <v>1038</v>
      </c>
      <c r="Z248" s="389">
        <v>1038</v>
      </c>
      <c r="AA248" s="389">
        <v>155.75</v>
      </c>
      <c r="AB248" s="389">
        <v>0</v>
      </c>
      <c r="AC248" s="389">
        <v>0</v>
      </c>
      <c r="AD248" s="389">
        <v>0</v>
      </c>
      <c r="AE248" s="389">
        <v>0</v>
      </c>
      <c r="AF248" s="389">
        <v>0</v>
      </c>
      <c r="AG248" s="389">
        <v>0</v>
      </c>
      <c r="AH248" s="389">
        <v>0</v>
      </c>
      <c r="AI248" s="389">
        <v>0</v>
      </c>
      <c r="AJ248" s="389">
        <v>0</v>
      </c>
      <c r="AK248" s="389">
        <v>0</v>
      </c>
    </row>
    <row r="249" spans="1:37" s="377" customFormat="1">
      <c r="B249" s="377" t="s">
        <v>855</v>
      </c>
      <c r="C249" s="386">
        <f>DATE(98,10,1)</f>
        <v>36069</v>
      </c>
      <c r="D249" s="387">
        <v>24348.400000000001</v>
      </c>
      <c r="E249" s="387"/>
      <c r="F249" s="387">
        <f>H249</f>
        <v>18261.079999999998</v>
      </c>
      <c r="H249" s="377">
        <f t="shared" si="116"/>
        <v>18261.079999999998</v>
      </c>
      <c r="I249" s="388">
        <v>2</v>
      </c>
      <c r="J249" s="404">
        <v>5</v>
      </c>
      <c r="L249" s="389">
        <v>0</v>
      </c>
      <c r="M249" s="389">
        <v>0</v>
      </c>
      <c r="N249" s="389">
        <v>0</v>
      </c>
      <c r="O249" s="389">
        <v>0</v>
      </c>
      <c r="P249" s="389">
        <v>0</v>
      </c>
      <c r="Q249" s="389">
        <v>0</v>
      </c>
      <c r="R249" s="389">
        <v>0</v>
      </c>
      <c r="S249" s="389">
        <v>0</v>
      </c>
      <c r="T249" s="389">
        <v>0</v>
      </c>
      <c r="U249" s="389">
        <f>SUM($D249*$J249)/100</f>
        <v>1217.42</v>
      </c>
      <c r="V249" s="389">
        <f>SUM($D249*$J249)/100</f>
        <v>1217.42</v>
      </c>
      <c r="W249" s="389">
        <f>SUM($D249*$J249)/100</f>
        <v>1217.42</v>
      </c>
      <c r="X249" s="389">
        <v>1217.42</v>
      </c>
      <c r="Y249" s="389">
        <v>1217.4000000000001</v>
      </c>
      <c r="Z249" s="389">
        <v>1217.4000000000001</v>
      </c>
      <c r="AA249" s="389">
        <v>1217.4000000000001</v>
      </c>
      <c r="AB249" s="389">
        <v>1217.4000000000001</v>
      </c>
      <c r="AC249" s="389">
        <v>1217.4000000000001</v>
      </c>
      <c r="AD249" s="389">
        <v>1217.4000000000001</v>
      </c>
      <c r="AE249" s="389">
        <v>1217.4000000000001</v>
      </c>
      <c r="AF249" s="389">
        <v>1217.4000000000001</v>
      </c>
      <c r="AG249" s="389">
        <v>1217.4000000000001</v>
      </c>
      <c r="AH249" s="389">
        <v>1217.4000000000001</v>
      </c>
      <c r="AI249" s="389">
        <v>1217.4000000000001</v>
      </c>
      <c r="AJ249" s="389">
        <v>1217.4000000000001</v>
      </c>
      <c r="AK249" s="389">
        <v>1217.4000000000001</v>
      </c>
    </row>
    <row r="250" spans="1:37" s="377" customFormat="1">
      <c r="B250" s="377" t="s">
        <v>854</v>
      </c>
      <c r="C250" s="378">
        <f>DATE(89,7,1)</f>
        <v>32690</v>
      </c>
      <c r="D250" s="380">
        <v>3025.23</v>
      </c>
      <c r="E250" s="380"/>
      <c r="F250" s="379">
        <f>G250+H250</f>
        <v>3025.2269999999999</v>
      </c>
      <c r="G250" s="380"/>
      <c r="H250" s="377">
        <f t="shared" si="116"/>
        <v>3025.2269999999999</v>
      </c>
      <c r="I250" s="381">
        <v>10</v>
      </c>
      <c r="J250" s="381"/>
      <c r="K250" s="382">
        <v>0</v>
      </c>
      <c r="L250" s="382">
        <v>151.26</v>
      </c>
      <c r="M250" s="382">
        <f t="shared" ref="M250:U250" si="119">SUM($D250*$I250)/100</f>
        <v>302.52299999999997</v>
      </c>
      <c r="N250" s="382">
        <f t="shared" si="119"/>
        <v>302.52299999999997</v>
      </c>
      <c r="O250" s="382">
        <f t="shared" si="119"/>
        <v>302.52299999999997</v>
      </c>
      <c r="P250" s="382">
        <f t="shared" si="119"/>
        <v>302.52299999999997</v>
      </c>
      <c r="Q250" s="382">
        <f t="shared" si="119"/>
        <v>302.52299999999997</v>
      </c>
      <c r="R250" s="382">
        <f t="shared" si="119"/>
        <v>302.52299999999997</v>
      </c>
      <c r="S250" s="382">
        <f t="shared" si="119"/>
        <v>302.52299999999997</v>
      </c>
      <c r="T250" s="382">
        <f t="shared" si="119"/>
        <v>302.52299999999997</v>
      </c>
      <c r="U250" s="382">
        <f t="shared" si="119"/>
        <v>302.52299999999997</v>
      </c>
      <c r="V250" s="382">
        <f>3025.23-2571.44-302.52</f>
        <v>151.26999999999998</v>
      </c>
      <c r="W250" s="382">
        <v>0</v>
      </c>
      <c r="X250" s="382">
        <v>-0.01</v>
      </c>
      <c r="Y250" s="382">
        <v>0</v>
      </c>
      <c r="Z250" s="382">
        <v>0</v>
      </c>
      <c r="AA250" s="382">
        <v>0</v>
      </c>
      <c r="AB250" s="382">
        <v>0</v>
      </c>
      <c r="AC250" s="382">
        <v>0</v>
      </c>
      <c r="AD250" s="382">
        <v>0</v>
      </c>
      <c r="AE250" s="382">
        <v>0</v>
      </c>
      <c r="AF250" s="382">
        <v>0</v>
      </c>
      <c r="AG250" s="382">
        <v>0</v>
      </c>
      <c r="AH250" s="382">
        <v>0</v>
      </c>
      <c r="AI250" s="382">
        <v>0</v>
      </c>
      <c r="AJ250" s="382">
        <v>0</v>
      </c>
      <c r="AK250" s="382">
        <v>0</v>
      </c>
    </row>
    <row r="251" spans="1:37" s="377" customFormat="1">
      <c r="D251" s="377">
        <f>SUM(D245:D250)</f>
        <v>96072.89</v>
      </c>
      <c r="E251" s="387">
        <f>F251+AJ251</f>
        <v>91202.969799999992</v>
      </c>
      <c r="F251" s="377">
        <f>SUM(F245:F250)</f>
        <v>89985.569799999997</v>
      </c>
      <c r="G251" s="377">
        <f>SUM(G245:G250)</f>
        <v>12824.53</v>
      </c>
      <c r="H251" s="377">
        <f t="shared" si="116"/>
        <v>77161.039799999955</v>
      </c>
      <c r="I251" s="388"/>
      <c r="J251" s="388"/>
      <c r="K251" s="377">
        <f t="shared" ref="K251:AK251" si="120">SUM(K245:K250)</f>
        <v>1749</v>
      </c>
      <c r="L251" s="377">
        <f t="shared" si="120"/>
        <v>2055.96</v>
      </c>
      <c r="M251" s="377">
        <f t="shared" si="120"/>
        <v>2362.9278000000004</v>
      </c>
      <c r="N251" s="377">
        <f t="shared" si="120"/>
        <v>2362.9278000000004</v>
      </c>
      <c r="O251" s="377">
        <f t="shared" si="120"/>
        <v>2362.9278000000004</v>
      </c>
      <c r="P251" s="377">
        <f t="shared" si="120"/>
        <v>2362.9278000000004</v>
      </c>
      <c r="Q251" s="377">
        <f t="shared" si="120"/>
        <v>2362.9278000000004</v>
      </c>
      <c r="R251" s="377">
        <f t="shared" si="120"/>
        <v>2362.9278000000004</v>
      </c>
      <c r="S251" s="377">
        <f t="shared" si="120"/>
        <v>4734.723</v>
      </c>
      <c r="T251" s="377">
        <f t="shared" si="120"/>
        <v>7172.4490000000014</v>
      </c>
      <c r="U251" s="377">
        <f t="shared" si="120"/>
        <v>8389.8690000000006</v>
      </c>
      <c r="V251" s="377">
        <f t="shared" si="120"/>
        <v>8238.6160000000018</v>
      </c>
      <c r="W251" s="377">
        <f t="shared" si="120"/>
        <v>8087.3460000000014</v>
      </c>
      <c r="X251" s="377">
        <f t="shared" si="120"/>
        <v>6932.3599999999988</v>
      </c>
      <c r="Y251" s="377">
        <f t="shared" si="120"/>
        <v>2255.4</v>
      </c>
      <c r="Z251" s="377">
        <f t="shared" si="120"/>
        <v>2255.4</v>
      </c>
      <c r="AA251" s="377">
        <f t="shared" si="120"/>
        <v>1373.15</v>
      </c>
      <c r="AB251" s="377">
        <f t="shared" si="120"/>
        <v>1217.4000000000001</v>
      </c>
      <c r="AC251" s="377">
        <f t="shared" si="120"/>
        <v>1217.4000000000001</v>
      </c>
      <c r="AD251" s="377">
        <f t="shared" si="120"/>
        <v>1217.4000000000001</v>
      </c>
      <c r="AE251" s="377">
        <f t="shared" si="120"/>
        <v>1217.4000000000001</v>
      </c>
      <c r="AF251" s="377">
        <f t="shared" si="120"/>
        <v>1217.4000000000001</v>
      </c>
      <c r="AG251" s="377">
        <f t="shared" si="120"/>
        <v>1217.4000000000001</v>
      </c>
      <c r="AH251" s="377">
        <f t="shared" si="120"/>
        <v>1217.4000000000001</v>
      </c>
      <c r="AI251" s="377">
        <f t="shared" si="120"/>
        <v>1217.4000000000001</v>
      </c>
      <c r="AJ251" s="377">
        <f t="shared" si="120"/>
        <v>1217.4000000000001</v>
      </c>
      <c r="AK251" s="377">
        <f t="shared" si="120"/>
        <v>1217.4000000000001</v>
      </c>
    </row>
    <row r="252" spans="1:37" s="377" customFormat="1">
      <c r="A252" s="390" t="s">
        <v>853</v>
      </c>
      <c r="B252" s="390"/>
      <c r="D252" s="387"/>
      <c r="E252" s="387"/>
      <c r="G252" s="387"/>
      <c r="I252" s="388"/>
      <c r="J252" s="388"/>
      <c r="K252" s="389"/>
      <c r="L252" s="389"/>
      <c r="M252" s="389"/>
      <c r="N252" s="389"/>
      <c r="O252" s="389"/>
      <c r="P252" s="389"/>
    </row>
    <row r="253" spans="1:37" s="377" customFormat="1">
      <c r="B253" s="377" t="s">
        <v>852</v>
      </c>
      <c r="C253" s="378">
        <f>DATE(79,1,1)</f>
        <v>28856</v>
      </c>
      <c r="D253" s="380">
        <v>4000</v>
      </c>
      <c r="E253" s="380"/>
      <c r="F253" s="379">
        <f>G253+H253</f>
        <v>4000</v>
      </c>
      <c r="G253" s="380">
        <v>3000</v>
      </c>
      <c r="H253" s="379">
        <f>SUM(K253:AI253)</f>
        <v>1000</v>
      </c>
      <c r="I253" s="381">
        <v>10</v>
      </c>
      <c r="J253" s="381"/>
      <c r="K253" s="382">
        <f>SUM($D253*$I253)/100</f>
        <v>400</v>
      </c>
      <c r="L253" s="382">
        <f>SUM($D253*$I253)/100</f>
        <v>400</v>
      </c>
      <c r="M253" s="382">
        <v>200</v>
      </c>
      <c r="N253" s="382">
        <v>0</v>
      </c>
      <c r="O253" s="382"/>
      <c r="P253" s="382"/>
      <c r="Q253" s="379"/>
      <c r="R253" s="379"/>
      <c r="S253" s="379"/>
      <c r="T253" s="379"/>
      <c r="U253" s="379"/>
      <c r="V253" s="379"/>
      <c r="W253" s="379"/>
      <c r="X253" s="379"/>
      <c r="Y253" s="379"/>
      <c r="Z253" s="379"/>
      <c r="AA253" s="379"/>
      <c r="AB253" s="379"/>
      <c r="AC253" s="379"/>
      <c r="AD253" s="379"/>
      <c r="AE253" s="379"/>
      <c r="AF253" s="379"/>
      <c r="AG253" s="379">
        <v>0</v>
      </c>
      <c r="AH253" s="379">
        <v>0</v>
      </c>
      <c r="AI253" s="379">
        <v>0</v>
      </c>
      <c r="AJ253" s="379">
        <v>0</v>
      </c>
      <c r="AK253" s="379">
        <v>0</v>
      </c>
    </row>
    <row r="254" spans="1:37" s="377" customFormat="1">
      <c r="C254" s="386"/>
      <c r="D254" s="387">
        <v>4000</v>
      </c>
      <c r="E254" s="387">
        <f>F254+AJ254</f>
        <v>4000</v>
      </c>
      <c r="F254" s="377">
        <f>G254+H254</f>
        <v>4000</v>
      </c>
      <c r="G254" s="387">
        <v>3000</v>
      </c>
      <c r="H254" s="379">
        <f>SUM(K254:AI254)</f>
        <v>1000</v>
      </c>
      <c r="I254" s="388"/>
      <c r="J254" s="388"/>
      <c r="K254" s="382">
        <v>400</v>
      </c>
      <c r="L254" s="382">
        <v>400</v>
      </c>
      <c r="M254" s="382">
        <v>200</v>
      </c>
      <c r="N254" s="382">
        <v>0</v>
      </c>
      <c r="O254" s="389"/>
      <c r="P254" s="389"/>
      <c r="AG254" s="377">
        <v>0</v>
      </c>
      <c r="AH254" s="377">
        <v>0</v>
      </c>
      <c r="AI254" s="377">
        <v>0</v>
      </c>
      <c r="AJ254" s="377">
        <v>0</v>
      </c>
      <c r="AK254" s="377">
        <v>0</v>
      </c>
    </row>
    <row r="255" spans="1:37" s="377" customFormat="1">
      <c r="D255" s="387"/>
      <c r="E255" s="387"/>
      <c r="G255" s="387"/>
      <c r="I255" s="388"/>
      <c r="J255" s="388"/>
      <c r="K255" s="389"/>
      <c r="L255" s="389"/>
      <c r="M255" s="389"/>
      <c r="N255" s="389"/>
      <c r="O255" s="389"/>
      <c r="P255" s="389"/>
    </row>
    <row r="256" spans="1:37" s="377" customFormat="1">
      <c r="A256" s="390" t="s">
        <v>851</v>
      </c>
      <c r="B256" s="390"/>
      <c r="D256" s="387"/>
      <c r="E256" s="387"/>
      <c r="G256" s="387"/>
      <c r="I256" s="388"/>
      <c r="J256" s="388"/>
      <c r="K256" s="389"/>
      <c r="L256" s="389"/>
      <c r="M256" s="389"/>
      <c r="N256" s="389"/>
      <c r="O256" s="389"/>
      <c r="P256" s="389"/>
    </row>
    <row r="257" spans="2:37" s="377" customFormat="1">
      <c r="B257" s="377" t="s">
        <v>850</v>
      </c>
      <c r="C257" s="386">
        <f>DATE(88,2,1)</f>
        <v>32174</v>
      </c>
      <c r="D257" s="387">
        <v>527.4</v>
      </c>
      <c r="E257" s="387"/>
      <c r="F257" s="377">
        <f>G257+H257</f>
        <v>527.40000000000009</v>
      </c>
      <c r="G257" s="387"/>
      <c r="H257" s="377">
        <f t="shared" ref="H257:H279" si="121">SUM(K257:AI257)</f>
        <v>527.40000000000009</v>
      </c>
      <c r="I257" s="388">
        <v>10</v>
      </c>
      <c r="J257" s="388"/>
      <c r="K257" s="389">
        <f>SUM($D257*$I257)/100/2</f>
        <v>26.37</v>
      </c>
      <c r="L257" s="389">
        <f t="shared" ref="L257:T257" si="122">SUM($D257*$I257)/100</f>
        <v>52.74</v>
      </c>
      <c r="M257" s="389">
        <f t="shared" si="122"/>
        <v>52.74</v>
      </c>
      <c r="N257" s="389">
        <f t="shared" si="122"/>
        <v>52.74</v>
      </c>
      <c r="O257" s="389">
        <f t="shared" si="122"/>
        <v>52.74</v>
      </c>
      <c r="P257" s="389">
        <f t="shared" si="122"/>
        <v>52.74</v>
      </c>
      <c r="Q257" s="389">
        <f t="shared" si="122"/>
        <v>52.74</v>
      </c>
      <c r="R257" s="389">
        <f t="shared" si="122"/>
        <v>52.74</v>
      </c>
      <c r="S257" s="389">
        <f t="shared" si="122"/>
        <v>52.74</v>
      </c>
      <c r="T257" s="389">
        <f t="shared" si="122"/>
        <v>52.74</v>
      </c>
      <c r="U257" s="389">
        <f>527.4-501.03</f>
        <v>26.370000000000005</v>
      </c>
      <c r="V257" s="377">
        <v>0</v>
      </c>
      <c r="W257" s="377">
        <v>0</v>
      </c>
      <c r="X257" s="377">
        <v>0</v>
      </c>
      <c r="Y257" s="377">
        <v>0</v>
      </c>
      <c r="Z257" s="377">
        <v>0</v>
      </c>
      <c r="AA257" s="377">
        <v>0</v>
      </c>
      <c r="AB257" s="377">
        <v>0</v>
      </c>
      <c r="AC257" s="377">
        <v>0</v>
      </c>
      <c r="AD257" s="377">
        <v>0</v>
      </c>
      <c r="AE257" s="377">
        <v>0</v>
      </c>
      <c r="AF257" s="377">
        <v>0</v>
      </c>
      <c r="AG257" s="377">
        <v>0</v>
      </c>
      <c r="AH257" s="377">
        <v>0</v>
      </c>
      <c r="AI257" s="377">
        <v>0</v>
      </c>
      <c r="AJ257" s="377">
        <v>0</v>
      </c>
      <c r="AK257" s="377">
        <v>0</v>
      </c>
    </row>
    <row r="258" spans="2:37" s="377" customFormat="1">
      <c r="B258" s="377" t="s">
        <v>849</v>
      </c>
      <c r="C258" s="386">
        <f>DATE(89,8,1)</f>
        <v>32721</v>
      </c>
      <c r="D258" s="377">
        <v>4821.95</v>
      </c>
      <c r="F258" s="377">
        <f>G258+H258</f>
        <v>4821.9525000000003</v>
      </c>
      <c r="H258" s="377">
        <f t="shared" si="121"/>
        <v>4821.9525000000003</v>
      </c>
      <c r="I258" s="388">
        <v>10</v>
      </c>
      <c r="J258" s="388"/>
      <c r="K258" s="389">
        <v>0</v>
      </c>
      <c r="L258" s="389">
        <f>SUM($D258*$I258)/100/2</f>
        <v>241.0975</v>
      </c>
      <c r="M258" s="389">
        <f t="shared" ref="M258:U258" si="123">SUM($D258*$I258)/100</f>
        <v>482.19499999999999</v>
      </c>
      <c r="N258" s="389">
        <f t="shared" si="123"/>
        <v>482.19499999999999</v>
      </c>
      <c r="O258" s="389">
        <f t="shared" si="123"/>
        <v>482.19499999999999</v>
      </c>
      <c r="P258" s="389">
        <f t="shared" si="123"/>
        <v>482.19499999999999</v>
      </c>
      <c r="Q258" s="389">
        <f t="shared" si="123"/>
        <v>482.19499999999999</v>
      </c>
      <c r="R258" s="389">
        <f t="shared" si="123"/>
        <v>482.19499999999999</v>
      </c>
      <c r="S258" s="389">
        <f t="shared" si="123"/>
        <v>482.19499999999999</v>
      </c>
      <c r="T258" s="389">
        <f t="shared" si="123"/>
        <v>482.19499999999999</v>
      </c>
      <c r="U258" s="389">
        <f t="shared" si="123"/>
        <v>482.19499999999999</v>
      </c>
      <c r="V258" s="389">
        <f>4821.95-4098.66-482.2</f>
        <v>241.08999999999997</v>
      </c>
      <c r="W258" s="389">
        <v>0</v>
      </c>
      <c r="X258" s="389">
        <v>0.01</v>
      </c>
      <c r="Y258" s="389">
        <v>0</v>
      </c>
      <c r="Z258" s="389">
        <v>0</v>
      </c>
      <c r="AA258" s="389">
        <v>0</v>
      </c>
      <c r="AB258" s="389">
        <v>0</v>
      </c>
      <c r="AC258" s="389">
        <v>0</v>
      </c>
      <c r="AD258" s="389">
        <v>0</v>
      </c>
      <c r="AE258" s="389">
        <v>0</v>
      </c>
      <c r="AF258" s="389">
        <v>0</v>
      </c>
      <c r="AG258" s="389">
        <v>0</v>
      </c>
      <c r="AH258" s="389">
        <v>0</v>
      </c>
      <c r="AI258" s="389">
        <v>0</v>
      </c>
      <c r="AJ258" s="389">
        <v>0</v>
      </c>
      <c r="AK258" s="389">
        <v>0</v>
      </c>
    </row>
    <row r="259" spans="2:37" s="377" customFormat="1">
      <c r="B259" s="377" t="s">
        <v>848</v>
      </c>
      <c r="C259" s="386">
        <f>DATE(96,6,1)</f>
        <v>35217</v>
      </c>
      <c r="D259" s="377">
        <v>516.53</v>
      </c>
      <c r="F259" s="377">
        <f>G259+H259</f>
        <v>516.53399999999988</v>
      </c>
      <c r="H259" s="377">
        <f t="shared" si="121"/>
        <v>516.53399999999988</v>
      </c>
      <c r="I259" s="388">
        <v>20</v>
      </c>
      <c r="J259" s="388"/>
      <c r="N259" s="389">
        <v>0</v>
      </c>
      <c r="O259" s="389">
        <v>0</v>
      </c>
      <c r="P259" s="389">
        <v>0</v>
      </c>
      <c r="Q259" s="389">
        <v>0</v>
      </c>
      <c r="R259" s="389">
        <v>0</v>
      </c>
      <c r="S259" s="389">
        <f>SUM($D259*$I259)/100</f>
        <v>103.30599999999998</v>
      </c>
      <c r="T259" s="389">
        <f>SUM($D259*$I259)/100</f>
        <v>103.30599999999998</v>
      </c>
      <c r="U259" s="389">
        <f>SUM($D259*$I259)/100</f>
        <v>103.30599999999998</v>
      </c>
      <c r="V259" s="389">
        <f>SUM($D259*$I259)/100</f>
        <v>103.30599999999998</v>
      </c>
      <c r="W259" s="389">
        <v>103.3</v>
      </c>
      <c r="X259" s="389">
        <v>0.01</v>
      </c>
      <c r="Y259" s="389">
        <v>0</v>
      </c>
      <c r="Z259" s="389">
        <v>0</v>
      </c>
      <c r="AA259" s="389">
        <v>0</v>
      </c>
      <c r="AB259" s="389">
        <v>0</v>
      </c>
      <c r="AC259" s="389">
        <v>0</v>
      </c>
      <c r="AD259" s="389">
        <v>0</v>
      </c>
      <c r="AE259" s="389">
        <v>0</v>
      </c>
      <c r="AF259" s="389">
        <v>0</v>
      </c>
      <c r="AG259" s="389">
        <v>0</v>
      </c>
      <c r="AH259" s="389">
        <v>0</v>
      </c>
      <c r="AI259" s="389">
        <v>0</v>
      </c>
      <c r="AJ259" s="389">
        <v>0</v>
      </c>
      <c r="AK259" s="389">
        <v>0</v>
      </c>
    </row>
    <row r="260" spans="2:37" s="377" customFormat="1">
      <c r="B260" s="377" t="s">
        <v>847</v>
      </c>
      <c r="C260" s="386">
        <f>DATE(98,3,1)</f>
        <v>35855</v>
      </c>
      <c r="D260" s="387">
        <v>6993.52</v>
      </c>
      <c r="E260" s="387"/>
      <c r="F260" s="387">
        <f t="shared" ref="F260:F277" si="124">H260</f>
        <v>6993.5020000000004</v>
      </c>
      <c r="H260" s="377">
        <f t="shared" si="121"/>
        <v>6993.5020000000004</v>
      </c>
      <c r="I260" s="388">
        <v>2</v>
      </c>
      <c r="J260" s="404">
        <v>20</v>
      </c>
      <c r="L260" s="389">
        <v>0</v>
      </c>
      <c r="M260" s="389">
        <v>0</v>
      </c>
      <c r="N260" s="389">
        <v>0</v>
      </c>
      <c r="O260" s="389">
        <v>0</v>
      </c>
      <c r="P260" s="389">
        <v>0</v>
      </c>
      <c r="Q260" s="389">
        <v>0</v>
      </c>
      <c r="R260" s="389">
        <v>0</v>
      </c>
      <c r="S260" s="389">
        <v>0</v>
      </c>
      <c r="T260" s="389">
        <v>0</v>
      </c>
      <c r="U260" s="389">
        <f t="shared" ref="U260:W261" si="125">SUM($D260*$J260)/100</f>
        <v>1398.7040000000002</v>
      </c>
      <c r="V260" s="389">
        <f t="shared" si="125"/>
        <v>1398.7040000000002</v>
      </c>
      <c r="W260" s="389">
        <f t="shared" si="125"/>
        <v>1398.7040000000002</v>
      </c>
      <c r="X260" s="389">
        <v>1398.7</v>
      </c>
      <c r="Y260" s="389">
        <v>1398.69</v>
      </c>
      <c r="Z260" s="389">
        <v>0</v>
      </c>
      <c r="AA260" s="389">
        <v>0</v>
      </c>
      <c r="AB260" s="389">
        <v>0</v>
      </c>
      <c r="AC260" s="389">
        <v>0</v>
      </c>
      <c r="AD260" s="389">
        <v>0</v>
      </c>
      <c r="AE260" s="389">
        <v>0</v>
      </c>
      <c r="AF260" s="389">
        <v>0</v>
      </c>
      <c r="AG260" s="389">
        <v>0</v>
      </c>
      <c r="AH260" s="389">
        <v>0</v>
      </c>
      <c r="AI260" s="389">
        <v>0</v>
      </c>
      <c r="AJ260" s="389">
        <v>0</v>
      </c>
      <c r="AK260" s="389">
        <v>0</v>
      </c>
    </row>
    <row r="261" spans="2:37" s="377" customFormat="1">
      <c r="B261" s="377" t="s">
        <v>846</v>
      </c>
      <c r="C261" s="386">
        <f>DATE(98,5,1)</f>
        <v>35916</v>
      </c>
      <c r="D261" s="387">
        <v>1233.93</v>
      </c>
      <c r="E261" s="387"/>
      <c r="F261" s="387">
        <f t="shared" si="124"/>
        <v>1233.9280000000001</v>
      </c>
      <c r="H261" s="377">
        <f t="shared" si="121"/>
        <v>1233.9280000000001</v>
      </c>
      <c r="I261" s="388">
        <v>2</v>
      </c>
      <c r="J261" s="404">
        <v>20</v>
      </c>
      <c r="L261" s="389">
        <v>0</v>
      </c>
      <c r="M261" s="389">
        <v>0</v>
      </c>
      <c r="N261" s="389">
        <v>0</v>
      </c>
      <c r="O261" s="389">
        <v>0</v>
      </c>
      <c r="P261" s="389">
        <v>0</v>
      </c>
      <c r="Q261" s="389">
        <v>0</v>
      </c>
      <c r="R261" s="389">
        <v>0</v>
      </c>
      <c r="S261" s="389">
        <v>0</v>
      </c>
      <c r="T261" s="389">
        <v>0</v>
      </c>
      <c r="U261" s="389">
        <f t="shared" si="125"/>
        <v>246.78600000000003</v>
      </c>
      <c r="V261" s="389">
        <f t="shared" si="125"/>
        <v>246.78600000000003</v>
      </c>
      <c r="W261" s="389">
        <f t="shared" si="125"/>
        <v>246.78600000000003</v>
      </c>
      <c r="X261" s="389">
        <v>246.79</v>
      </c>
      <c r="Y261" s="389">
        <v>246.78</v>
      </c>
      <c r="Z261" s="389">
        <v>0</v>
      </c>
      <c r="AA261" s="389">
        <v>0</v>
      </c>
      <c r="AB261" s="389">
        <v>0</v>
      </c>
      <c r="AC261" s="389">
        <v>0</v>
      </c>
      <c r="AD261" s="389">
        <v>0</v>
      </c>
      <c r="AE261" s="389">
        <v>0</v>
      </c>
      <c r="AF261" s="389">
        <v>0</v>
      </c>
      <c r="AG261" s="389">
        <v>0</v>
      </c>
      <c r="AH261" s="389">
        <v>0</v>
      </c>
      <c r="AI261" s="389">
        <v>0</v>
      </c>
      <c r="AJ261" s="389">
        <v>0</v>
      </c>
      <c r="AK261" s="389">
        <v>0</v>
      </c>
    </row>
    <row r="262" spans="2:37" s="377" customFormat="1">
      <c r="B262" s="377" t="s">
        <v>845</v>
      </c>
      <c r="C262" s="386">
        <f>DATE(99,7,1)</f>
        <v>36342</v>
      </c>
      <c r="D262" s="387">
        <v>14758.86</v>
      </c>
      <c r="E262" s="387"/>
      <c r="F262" s="387">
        <f t="shared" si="124"/>
        <v>14758.862000000003</v>
      </c>
      <c r="H262" s="377">
        <f t="shared" si="121"/>
        <v>14758.862000000003</v>
      </c>
      <c r="I262" s="388">
        <v>10</v>
      </c>
      <c r="L262" s="389"/>
      <c r="M262" s="389"/>
      <c r="N262" s="389"/>
      <c r="O262" s="389"/>
      <c r="P262" s="389"/>
      <c r="Q262" s="389"/>
      <c r="R262" s="389"/>
      <c r="S262" s="389"/>
      <c r="T262" s="389"/>
      <c r="U262" s="389"/>
      <c r="V262" s="389">
        <f>SUM($D262*$I262)/100</f>
        <v>1475.886</v>
      </c>
      <c r="W262" s="389">
        <f>SUM($D262*$I262)/100</f>
        <v>1475.886</v>
      </c>
      <c r="X262" s="389">
        <v>1475.89</v>
      </c>
      <c r="Y262" s="389">
        <v>1475.89</v>
      </c>
      <c r="Z262" s="389">
        <f>SUM($D262*$I262)/100</f>
        <v>1475.886</v>
      </c>
      <c r="AA262" s="389">
        <f>SUM($D262*$I262)/100</f>
        <v>1475.886</v>
      </c>
      <c r="AB262" s="389">
        <f>SUM($D262*$I262)/100</f>
        <v>1475.886</v>
      </c>
      <c r="AC262" s="389">
        <f>SUM($D262*$I262)/100</f>
        <v>1475.886</v>
      </c>
      <c r="AD262" s="389">
        <f>SUM($D262*$I262)/100</f>
        <v>1475.886</v>
      </c>
      <c r="AE262" s="389">
        <v>1475.87</v>
      </c>
      <c r="AF262" s="389">
        <v>0.01</v>
      </c>
      <c r="AG262" s="389">
        <v>0</v>
      </c>
      <c r="AH262" s="389">
        <v>0</v>
      </c>
      <c r="AI262" s="389">
        <v>0</v>
      </c>
      <c r="AJ262" s="389">
        <v>0</v>
      </c>
      <c r="AK262" s="389">
        <v>0</v>
      </c>
    </row>
    <row r="263" spans="2:37" s="377" customFormat="1">
      <c r="B263" s="377" t="s">
        <v>844</v>
      </c>
      <c r="C263" s="386">
        <f>DATE(2001,4,1)</f>
        <v>36982</v>
      </c>
      <c r="D263" s="387">
        <v>2381.65</v>
      </c>
      <c r="E263" s="387"/>
      <c r="F263" s="387">
        <f t="shared" si="124"/>
        <v>2381.65</v>
      </c>
      <c r="H263" s="377">
        <f t="shared" si="121"/>
        <v>2381.65</v>
      </c>
      <c r="I263" s="388"/>
      <c r="J263" s="404">
        <v>20</v>
      </c>
      <c r="L263" s="389"/>
      <c r="M263" s="389"/>
      <c r="N263" s="389"/>
      <c r="O263" s="389"/>
      <c r="P263" s="389"/>
      <c r="Q263" s="389"/>
      <c r="R263" s="389"/>
      <c r="S263" s="389"/>
      <c r="T263" s="389"/>
      <c r="U263" s="389"/>
      <c r="V263" s="389">
        <v>0</v>
      </c>
      <c r="W263" s="389">
        <v>0</v>
      </c>
      <c r="X263" s="389">
        <v>476.33</v>
      </c>
      <c r="Y263" s="389">
        <v>476.33</v>
      </c>
      <c r="Z263" s="389">
        <f t="shared" ref="Z263:AA270" si="126">SUM($D263*$J263)/100</f>
        <v>476.33</v>
      </c>
      <c r="AA263" s="389">
        <f t="shared" si="126"/>
        <v>476.33</v>
      </c>
      <c r="AB263" s="389">
        <v>476.33</v>
      </c>
      <c r="AC263" s="389">
        <v>0</v>
      </c>
      <c r="AD263" s="389">
        <v>0</v>
      </c>
      <c r="AE263" s="389">
        <v>0</v>
      </c>
      <c r="AF263" s="389">
        <v>0</v>
      </c>
      <c r="AG263" s="389">
        <v>0</v>
      </c>
      <c r="AH263" s="389">
        <v>0</v>
      </c>
      <c r="AI263" s="389">
        <v>0</v>
      </c>
      <c r="AJ263" s="389">
        <v>0</v>
      </c>
      <c r="AK263" s="389">
        <v>0</v>
      </c>
    </row>
    <row r="264" spans="2:37" s="377" customFormat="1">
      <c r="B264" s="377" t="s">
        <v>843</v>
      </c>
      <c r="C264" s="386">
        <f>DATE(2001,6,1)</f>
        <v>37043</v>
      </c>
      <c r="D264" s="387">
        <v>9445.4599999999991</v>
      </c>
      <c r="E264" s="387"/>
      <c r="F264" s="387">
        <f t="shared" si="124"/>
        <v>9445.4639999999999</v>
      </c>
      <c r="H264" s="377">
        <f t="shared" si="121"/>
        <v>9445.4639999999999</v>
      </c>
      <c r="I264" s="388"/>
      <c r="J264" s="404">
        <v>20</v>
      </c>
      <c r="L264" s="389"/>
      <c r="M264" s="389"/>
      <c r="N264" s="389"/>
      <c r="O264" s="389"/>
      <c r="P264" s="389"/>
      <c r="Q264" s="389"/>
      <c r="R264" s="389"/>
      <c r="S264" s="389"/>
      <c r="T264" s="389"/>
      <c r="U264" s="389"/>
      <c r="V264" s="389">
        <v>0</v>
      </c>
      <c r="W264" s="389">
        <v>0</v>
      </c>
      <c r="X264" s="389">
        <v>1889.09</v>
      </c>
      <c r="Y264" s="389">
        <v>1889.09</v>
      </c>
      <c r="Z264" s="389">
        <f t="shared" si="126"/>
        <v>1889.0919999999999</v>
      </c>
      <c r="AA264" s="389">
        <f t="shared" si="126"/>
        <v>1889.0919999999999</v>
      </c>
      <c r="AB264" s="389">
        <v>1889.1</v>
      </c>
      <c r="AC264" s="389">
        <v>0</v>
      </c>
      <c r="AD264" s="389">
        <v>0</v>
      </c>
      <c r="AE264" s="389">
        <v>0</v>
      </c>
      <c r="AF264" s="389">
        <v>0</v>
      </c>
      <c r="AG264" s="389">
        <v>0</v>
      </c>
      <c r="AH264" s="389">
        <v>0</v>
      </c>
      <c r="AI264" s="389">
        <v>0</v>
      </c>
      <c r="AJ264" s="389">
        <v>0</v>
      </c>
      <c r="AK264" s="389">
        <v>0</v>
      </c>
    </row>
    <row r="265" spans="2:37" s="377" customFormat="1">
      <c r="B265" s="377" t="s">
        <v>842</v>
      </c>
      <c r="C265" s="386">
        <f>DATE(2001,9,1)</f>
        <v>37135</v>
      </c>
      <c r="D265" s="387">
        <v>1222.6199999999999</v>
      </c>
      <c r="E265" s="387"/>
      <c r="F265" s="387">
        <f t="shared" si="124"/>
        <v>1222.6179999999999</v>
      </c>
      <c r="H265" s="377">
        <f t="shared" si="121"/>
        <v>1222.6179999999999</v>
      </c>
      <c r="I265" s="388"/>
      <c r="J265" s="404">
        <v>20</v>
      </c>
      <c r="L265" s="389"/>
      <c r="M265" s="389"/>
      <c r="N265" s="389"/>
      <c r="O265" s="389"/>
      <c r="P265" s="389"/>
      <c r="Q265" s="389"/>
      <c r="R265" s="389"/>
      <c r="S265" s="389"/>
      <c r="T265" s="389"/>
      <c r="U265" s="389"/>
      <c r="V265" s="389">
        <v>0</v>
      </c>
      <c r="W265" s="389">
        <v>0</v>
      </c>
      <c r="X265" s="389">
        <v>244.52</v>
      </c>
      <c r="Y265" s="389">
        <v>244.52</v>
      </c>
      <c r="Z265" s="389">
        <f t="shared" si="126"/>
        <v>244.52399999999997</v>
      </c>
      <c r="AA265" s="389">
        <f t="shared" si="126"/>
        <v>244.52399999999997</v>
      </c>
      <c r="AB265" s="389">
        <v>244.53</v>
      </c>
      <c r="AC265" s="389">
        <v>0</v>
      </c>
      <c r="AD265" s="389">
        <v>0</v>
      </c>
      <c r="AE265" s="389">
        <v>0</v>
      </c>
      <c r="AF265" s="389">
        <v>0</v>
      </c>
      <c r="AG265" s="389">
        <v>0</v>
      </c>
      <c r="AH265" s="389">
        <v>0</v>
      </c>
      <c r="AI265" s="389">
        <v>0</v>
      </c>
      <c r="AJ265" s="389">
        <v>0</v>
      </c>
      <c r="AK265" s="389">
        <v>0</v>
      </c>
    </row>
    <row r="266" spans="2:37" s="377" customFormat="1">
      <c r="B266" s="377" t="s">
        <v>841</v>
      </c>
      <c r="C266" s="386">
        <f>DATE(2002,10,1)</f>
        <v>37530</v>
      </c>
      <c r="D266" s="387">
        <v>3248.5</v>
      </c>
      <c r="E266" s="387"/>
      <c r="F266" s="387">
        <f t="shared" si="124"/>
        <v>3248.5</v>
      </c>
      <c r="H266" s="377">
        <f t="shared" si="121"/>
        <v>3248.5</v>
      </c>
      <c r="I266" s="388"/>
      <c r="J266" s="404">
        <v>20</v>
      </c>
      <c r="L266" s="389"/>
      <c r="M266" s="389"/>
      <c r="N266" s="389"/>
      <c r="O266" s="389"/>
      <c r="P266" s="389"/>
      <c r="Q266" s="389"/>
      <c r="R266" s="389"/>
      <c r="S266" s="389"/>
      <c r="T266" s="389"/>
      <c r="U266" s="389"/>
      <c r="V266" s="389">
        <v>0</v>
      </c>
      <c r="W266" s="389">
        <v>0</v>
      </c>
      <c r="X266" s="389">
        <v>0</v>
      </c>
      <c r="Y266" s="389">
        <v>649.70000000000005</v>
      </c>
      <c r="Z266" s="389">
        <f t="shared" si="126"/>
        <v>649.70000000000005</v>
      </c>
      <c r="AA266" s="389">
        <f t="shared" si="126"/>
        <v>649.70000000000005</v>
      </c>
      <c r="AB266" s="389">
        <f t="shared" ref="AB266:AB272" si="127">SUM($D266*$J266)/100</f>
        <v>649.70000000000005</v>
      </c>
      <c r="AC266" s="389">
        <f>3248.5-2598.8</f>
        <v>649.69999999999982</v>
      </c>
      <c r="AD266" s="389">
        <v>0</v>
      </c>
      <c r="AE266" s="389">
        <v>0</v>
      </c>
      <c r="AF266" s="389">
        <v>0</v>
      </c>
      <c r="AG266" s="389">
        <v>0</v>
      </c>
      <c r="AH266" s="389">
        <v>0</v>
      </c>
      <c r="AI266" s="389">
        <v>0</v>
      </c>
      <c r="AJ266" s="389">
        <v>0</v>
      </c>
      <c r="AK266" s="389">
        <v>0</v>
      </c>
    </row>
    <row r="267" spans="2:37" s="377" customFormat="1">
      <c r="B267" s="377" t="s">
        <v>840</v>
      </c>
      <c r="C267" s="386">
        <f>DATE(2002,11,1)</f>
        <v>37561</v>
      </c>
      <c r="D267" s="387">
        <v>3418.48</v>
      </c>
      <c r="E267" s="387"/>
      <c r="F267" s="387">
        <f t="shared" si="124"/>
        <v>3418.4780000000001</v>
      </c>
      <c r="H267" s="377">
        <f t="shared" si="121"/>
        <v>3418.4780000000001</v>
      </c>
      <c r="I267" s="388"/>
      <c r="J267" s="404">
        <v>20</v>
      </c>
      <c r="L267" s="389"/>
      <c r="M267" s="389"/>
      <c r="N267" s="389"/>
      <c r="O267" s="389"/>
      <c r="P267" s="389"/>
      <c r="Q267" s="389"/>
      <c r="R267" s="389"/>
      <c r="S267" s="389"/>
      <c r="T267" s="389"/>
      <c r="U267" s="389"/>
      <c r="V267" s="389">
        <v>0</v>
      </c>
      <c r="W267" s="389">
        <v>0</v>
      </c>
      <c r="X267" s="389">
        <v>0</v>
      </c>
      <c r="Y267" s="389">
        <v>683.7</v>
      </c>
      <c r="Z267" s="389">
        <f t="shared" si="126"/>
        <v>683.69600000000003</v>
      </c>
      <c r="AA267" s="389">
        <f t="shared" si="126"/>
        <v>683.69600000000003</v>
      </c>
      <c r="AB267" s="389">
        <f t="shared" si="127"/>
        <v>683.69600000000003</v>
      </c>
      <c r="AC267" s="389">
        <f>3418.48-2734.79</f>
        <v>683.69</v>
      </c>
      <c r="AD267" s="389">
        <v>0</v>
      </c>
      <c r="AE267" s="389">
        <v>0</v>
      </c>
      <c r="AF267" s="389">
        <v>0</v>
      </c>
      <c r="AG267" s="389">
        <v>0</v>
      </c>
      <c r="AH267" s="389">
        <v>0</v>
      </c>
      <c r="AI267" s="389">
        <v>0</v>
      </c>
      <c r="AJ267" s="389">
        <v>0</v>
      </c>
      <c r="AK267" s="389">
        <v>0</v>
      </c>
    </row>
    <row r="268" spans="2:37" s="377" customFormat="1">
      <c r="B268" s="377" t="s">
        <v>839</v>
      </c>
      <c r="C268" s="386">
        <f>DATE(2002,12,1)</f>
        <v>37591</v>
      </c>
      <c r="D268" s="387">
        <v>958.5</v>
      </c>
      <c r="E268" s="387"/>
      <c r="F268" s="387">
        <f t="shared" si="124"/>
        <v>958.5</v>
      </c>
      <c r="H268" s="377">
        <f t="shared" si="121"/>
        <v>958.5</v>
      </c>
      <c r="I268" s="388"/>
      <c r="J268" s="404">
        <v>20</v>
      </c>
      <c r="L268" s="389"/>
      <c r="M268" s="389"/>
      <c r="N268" s="389"/>
      <c r="O268" s="389"/>
      <c r="P268" s="389"/>
      <c r="Q268" s="389"/>
      <c r="R268" s="389"/>
      <c r="S268" s="389"/>
      <c r="T268" s="389"/>
      <c r="U268" s="389"/>
      <c r="V268" s="389">
        <v>0</v>
      </c>
      <c r="W268" s="389">
        <v>0</v>
      </c>
      <c r="X268" s="389">
        <v>0</v>
      </c>
      <c r="Y268" s="389">
        <v>191.7</v>
      </c>
      <c r="Z268" s="389">
        <f t="shared" si="126"/>
        <v>191.7</v>
      </c>
      <c r="AA268" s="389">
        <f t="shared" si="126"/>
        <v>191.7</v>
      </c>
      <c r="AB268" s="389">
        <f t="shared" si="127"/>
        <v>191.7</v>
      </c>
      <c r="AC268" s="389">
        <f>958.5-766.8</f>
        <v>191.70000000000005</v>
      </c>
      <c r="AD268" s="389">
        <v>0</v>
      </c>
      <c r="AE268" s="389">
        <v>0</v>
      </c>
      <c r="AF268" s="389">
        <v>0</v>
      </c>
      <c r="AG268" s="389">
        <v>0</v>
      </c>
      <c r="AH268" s="389">
        <v>0</v>
      </c>
      <c r="AI268" s="389">
        <v>0</v>
      </c>
      <c r="AJ268" s="389">
        <v>0</v>
      </c>
      <c r="AK268" s="389">
        <v>0</v>
      </c>
    </row>
    <row r="269" spans="2:37" s="377" customFormat="1">
      <c r="B269" s="377" t="s">
        <v>837</v>
      </c>
      <c r="C269" s="386">
        <f>DATE(2003,4,1)</f>
        <v>37712</v>
      </c>
      <c r="D269" s="387">
        <v>4792.5</v>
      </c>
      <c r="E269" s="387"/>
      <c r="F269" s="387">
        <f t="shared" si="124"/>
        <v>4792.5</v>
      </c>
      <c r="H269" s="377">
        <f t="shared" si="121"/>
        <v>4792.5</v>
      </c>
      <c r="I269" s="388"/>
      <c r="J269" s="404">
        <v>20</v>
      </c>
      <c r="L269" s="389"/>
      <c r="M269" s="389"/>
      <c r="N269" s="389"/>
      <c r="O269" s="389"/>
      <c r="P269" s="389"/>
      <c r="Q269" s="389"/>
      <c r="R269" s="389"/>
      <c r="S269" s="389"/>
      <c r="T269" s="389"/>
      <c r="U269" s="389"/>
      <c r="V269" s="389">
        <v>0</v>
      </c>
      <c r="W269" s="389">
        <v>0</v>
      </c>
      <c r="X269" s="389">
        <v>0</v>
      </c>
      <c r="Y269" s="389">
        <v>0</v>
      </c>
      <c r="Z269" s="389">
        <f t="shared" si="126"/>
        <v>958.5</v>
      </c>
      <c r="AA269" s="389">
        <f t="shared" si="126"/>
        <v>958.5</v>
      </c>
      <c r="AB269" s="389">
        <f t="shared" si="127"/>
        <v>958.5</v>
      </c>
      <c r="AC269" s="389">
        <f t="shared" ref="AC269:AD272" si="128">SUM($D269*$J269)/100</f>
        <v>958.5</v>
      </c>
      <c r="AD269" s="389">
        <f t="shared" si="128"/>
        <v>958.5</v>
      </c>
      <c r="AE269" s="389">
        <v>0</v>
      </c>
      <c r="AF269" s="389">
        <v>0</v>
      </c>
      <c r="AG269" s="389">
        <v>0</v>
      </c>
      <c r="AH269" s="389">
        <v>0</v>
      </c>
      <c r="AI269" s="389">
        <v>0</v>
      </c>
      <c r="AJ269" s="389">
        <v>0</v>
      </c>
      <c r="AK269" s="389">
        <v>0</v>
      </c>
    </row>
    <row r="270" spans="2:37" s="377" customFormat="1">
      <c r="B270" s="403" t="s">
        <v>838</v>
      </c>
      <c r="C270" s="386">
        <f>DATE(2003,11,1)</f>
        <v>37926</v>
      </c>
      <c r="D270" s="387">
        <v>2075.35</v>
      </c>
      <c r="E270" s="387"/>
      <c r="F270" s="387">
        <f t="shared" si="124"/>
        <v>2075.35</v>
      </c>
      <c r="H270" s="377">
        <f t="shared" si="121"/>
        <v>2075.35</v>
      </c>
      <c r="I270" s="388"/>
      <c r="J270" s="404">
        <v>20</v>
      </c>
      <c r="L270" s="389"/>
      <c r="M270" s="389"/>
      <c r="N270" s="389"/>
      <c r="O270" s="389"/>
      <c r="P270" s="389"/>
      <c r="Q270" s="389"/>
      <c r="R270" s="389"/>
      <c r="S270" s="389"/>
      <c r="T270" s="389"/>
      <c r="U270" s="389"/>
      <c r="V270" s="389">
        <v>0</v>
      </c>
      <c r="W270" s="389">
        <v>0</v>
      </c>
      <c r="X270" s="389">
        <v>0</v>
      </c>
      <c r="Y270" s="389">
        <v>0</v>
      </c>
      <c r="Z270" s="389">
        <f t="shared" si="126"/>
        <v>415.07</v>
      </c>
      <c r="AA270" s="389">
        <f t="shared" si="126"/>
        <v>415.07</v>
      </c>
      <c r="AB270" s="389">
        <f t="shared" si="127"/>
        <v>415.07</v>
      </c>
      <c r="AC270" s="389">
        <f t="shared" si="128"/>
        <v>415.07</v>
      </c>
      <c r="AD270" s="389">
        <f t="shared" si="128"/>
        <v>415.07</v>
      </c>
      <c r="AE270" s="389">
        <v>0</v>
      </c>
      <c r="AF270" s="389">
        <v>0</v>
      </c>
      <c r="AG270" s="389">
        <v>0</v>
      </c>
      <c r="AH270" s="389">
        <v>0</v>
      </c>
      <c r="AI270" s="389">
        <v>0</v>
      </c>
      <c r="AJ270" s="389">
        <v>0</v>
      </c>
      <c r="AK270" s="389">
        <v>0</v>
      </c>
    </row>
    <row r="271" spans="2:37" s="377" customFormat="1">
      <c r="B271" s="377" t="s">
        <v>837</v>
      </c>
      <c r="C271" s="386">
        <f>DATE(2004,7,1)</f>
        <v>38169</v>
      </c>
      <c r="D271" s="387">
        <v>6510.09</v>
      </c>
      <c r="E271" s="387"/>
      <c r="F271" s="387">
        <f t="shared" si="124"/>
        <v>6510.0920000000006</v>
      </c>
      <c r="H271" s="377">
        <f t="shared" si="121"/>
        <v>6510.0920000000006</v>
      </c>
      <c r="I271" s="388"/>
      <c r="J271" s="404">
        <v>20</v>
      </c>
      <c r="L271" s="389"/>
      <c r="M271" s="389"/>
      <c r="N271" s="389"/>
      <c r="O271" s="389"/>
      <c r="P271" s="389"/>
      <c r="Q271" s="389"/>
      <c r="R271" s="389"/>
      <c r="S271" s="389"/>
      <c r="T271" s="389"/>
      <c r="U271" s="389"/>
      <c r="V271" s="389">
        <v>0</v>
      </c>
      <c r="W271" s="389">
        <v>0</v>
      </c>
      <c r="X271" s="389">
        <v>0</v>
      </c>
      <c r="Y271" s="389">
        <v>0</v>
      </c>
      <c r="Z271" s="389">
        <v>0</v>
      </c>
      <c r="AA271" s="389">
        <f>SUM($D271*$J271)/100</f>
        <v>1302.018</v>
      </c>
      <c r="AB271" s="389">
        <f t="shared" si="127"/>
        <v>1302.018</v>
      </c>
      <c r="AC271" s="389">
        <f t="shared" si="128"/>
        <v>1302.018</v>
      </c>
      <c r="AD271" s="389">
        <f t="shared" si="128"/>
        <v>1302.018</v>
      </c>
      <c r="AE271" s="389">
        <v>1302.02</v>
      </c>
      <c r="AF271" s="389">
        <v>0</v>
      </c>
      <c r="AG271" s="389">
        <v>0</v>
      </c>
      <c r="AH271" s="389">
        <v>0</v>
      </c>
      <c r="AI271" s="389">
        <v>0</v>
      </c>
      <c r="AJ271" s="389">
        <v>0</v>
      </c>
      <c r="AK271" s="389">
        <v>0</v>
      </c>
    </row>
    <row r="272" spans="2:37" s="377" customFormat="1">
      <c r="B272" s="377" t="s">
        <v>836</v>
      </c>
      <c r="C272" s="386">
        <f>DATE(2004,2,1)</f>
        <v>38018</v>
      </c>
      <c r="D272" s="387">
        <v>1305.69</v>
      </c>
      <c r="E272" s="387"/>
      <c r="F272" s="387">
        <f t="shared" si="124"/>
        <v>1305.692</v>
      </c>
      <c r="H272" s="377">
        <f t="shared" si="121"/>
        <v>1305.692</v>
      </c>
      <c r="I272" s="388"/>
      <c r="J272" s="404">
        <v>20</v>
      </c>
      <c r="L272" s="389"/>
      <c r="M272" s="389"/>
      <c r="N272" s="389"/>
      <c r="O272" s="389"/>
      <c r="P272" s="389"/>
      <c r="Q272" s="389"/>
      <c r="R272" s="389"/>
      <c r="S272" s="389"/>
      <c r="T272" s="389"/>
      <c r="U272" s="389"/>
      <c r="V272" s="389">
        <v>0</v>
      </c>
      <c r="W272" s="389">
        <v>0</v>
      </c>
      <c r="X272" s="389">
        <v>0</v>
      </c>
      <c r="Y272" s="389">
        <v>0</v>
      </c>
      <c r="Z272" s="389">
        <v>0</v>
      </c>
      <c r="AA272" s="389">
        <f>SUM($D272*$J272)/100</f>
        <v>261.13800000000003</v>
      </c>
      <c r="AB272" s="389">
        <f t="shared" si="127"/>
        <v>261.13800000000003</v>
      </c>
      <c r="AC272" s="389">
        <f t="shared" si="128"/>
        <v>261.13800000000003</v>
      </c>
      <c r="AD272" s="389">
        <f t="shared" si="128"/>
        <v>261.13800000000003</v>
      </c>
      <c r="AE272" s="389">
        <v>261.14</v>
      </c>
      <c r="AF272" s="389">
        <v>0</v>
      </c>
      <c r="AG272" s="389">
        <v>0</v>
      </c>
      <c r="AH272" s="389">
        <v>0</v>
      </c>
      <c r="AI272" s="389">
        <v>0</v>
      </c>
      <c r="AJ272" s="389">
        <v>0</v>
      </c>
      <c r="AK272" s="389">
        <v>0</v>
      </c>
    </row>
    <row r="273" spans="1:37" s="377" customFormat="1">
      <c r="B273" s="377" t="s">
        <v>836</v>
      </c>
      <c r="C273" s="386">
        <f>DATE(2005,11,18)</f>
        <v>38674</v>
      </c>
      <c r="D273" s="387">
        <v>1247.1199999999999</v>
      </c>
      <c r="E273" s="387"/>
      <c r="F273" s="387">
        <f t="shared" si="124"/>
        <v>997.69599999999991</v>
      </c>
      <c r="H273" s="377">
        <f t="shared" si="121"/>
        <v>997.69599999999991</v>
      </c>
      <c r="I273" s="388">
        <v>10</v>
      </c>
      <c r="J273" s="388"/>
      <c r="L273" s="389">
        <v>0</v>
      </c>
      <c r="M273" s="389"/>
      <c r="N273" s="389"/>
      <c r="O273" s="389"/>
      <c r="P273" s="389"/>
      <c r="AB273" s="389">
        <f t="shared" ref="AB273:AK274" si="129">SUM($D273*$I273)/100</f>
        <v>124.71199999999999</v>
      </c>
      <c r="AC273" s="389">
        <f t="shared" si="129"/>
        <v>124.71199999999999</v>
      </c>
      <c r="AD273" s="389">
        <f t="shared" si="129"/>
        <v>124.71199999999999</v>
      </c>
      <c r="AE273" s="389">
        <f t="shared" si="129"/>
        <v>124.71199999999999</v>
      </c>
      <c r="AF273" s="389">
        <f t="shared" si="129"/>
        <v>124.71199999999999</v>
      </c>
      <c r="AG273" s="389">
        <f t="shared" si="129"/>
        <v>124.71199999999999</v>
      </c>
      <c r="AH273" s="389">
        <f t="shared" si="129"/>
        <v>124.71199999999999</v>
      </c>
      <c r="AI273" s="389">
        <f t="shared" si="129"/>
        <v>124.71199999999999</v>
      </c>
      <c r="AJ273" s="389">
        <f t="shared" si="129"/>
        <v>124.71199999999999</v>
      </c>
      <c r="AK273" s="389">
        <f t="shared" si="129"/>
        <v>124.71199999999999</v>
      </c>
    </row>
    <row r="274" spans="1:37" s="377" customFormat="1">
      <c r="B274" s="377" t="s">
        <v>835</v>
      </c>
      <c r="C274" s="386">
        <f>DATE(2005,11,18)</f>
        <v>38674</v>
      </c>
      <c r="D274" s="387">
        <v>12261.33</v>
      </c>
      <c r="E274" s="387"/>
      <c r="F274" s="387">
        <f t="shared" si="124"/>
        <v>9809.0640000000003</v>
      </c>
      <c r="H274" s="377">
        <f t="shared" si="121"/>
        <v>9809.0640000000003</v>
      </c>
      <c r="I274" s="388">
        <v>10</v>
      </c>
      <c r="J274" s="388"/>
      <c r="L274" s="389">
        <v>0</v>
      </c>
      <c r="M274" s="389"/>
      <c r="N274" s="389"/>
      <c r="O274" s="389"/>
      <c r="P274" s="389"/>
      <c r="AB274" s="389">
        <f t="shared" si="129"/>
        <v>1226.133</v>
      </c>
      <c r="AC274" s="389">
        <f t="shared" si="129"/>
        <v>1226.133</v>
      </c>
      <c r="AD274" s="389">
        <f t="shared" si="129"/>
        <v>1226.133</v>
      </c>
      <c r="AE274" s="389">
        <f t="shared" si="129"/>
        <v>1226.133</v>
      </c>
      <c r="AF274" s="389">
        <f t="shared" si="129"/>
        <v>1226.133</v>
      </c>
      <c r="AG274" s="389">
        <f t="shared" si="129"/>
        <v>1226.133</v>
      </c>
      <c r="AH274" s="389">
        <f t="shared" si="129"/>
        <v>1226.133</v>
      </c>
      <c r="AI274" s="389">
        <f t="shared" si="129"/>
        <v>1226.133</v>
      </c>
      <c r="AJ274" s="389">
        <f t="shared" si="129"/>
        <v>1226.133</v>
      </c>
      <c r="AK274" s="389">
        <f t="shared" si="129"/>
        <v>1226.133</v>
      </c>
    </row>
    <row r="275" spans="1:37" s="377" customFormat="1">
      <c r="B275" s="377" t="s">
        <v>834</v>
      </c>
      <c r="C275" s="386">
        <f>DATE(2006,5,31)</f>
        <v>38868</v>
      </c>
      <c r="D275" s="387">
        <f>5365.09+5.75</f>
        <v>5370.84</v>
      </c>
      <c r="E275" s="387"/>
      <c r="F275" s="387">
        <f t="shared" si="124"/>
        <v>3759.5879999999997</v>
      </c>
      <c r="H275" s="377">
        <f t="shared" si="121"/>
        <v>3759.5879999999997</v>
      </c>
      <c r="I275" s="388">
        <v>10</v>
      </c>
      <c r="J275" s="388"/>
      <c r="L275" s="389">
        <v>0</v>
      </c>
      <c r="M275" s="389"/>
      <c r="N275" s="389"/>
      <c r="O275" s="389"/>
      <c r="P275" s="389"/>
      <c r="AB275" s="389">
        <v>0</v>
      </c>
      <c r="AC275" s="389">
        <f t="shared" ref="AC275:AK276" si="130">SUM($D275*$I275)/100</f>
        <v>537.08400000000006</v>
      </c>
      <c r="AD275" s="389">
        <f t="shared" si="130"/>
        <v>537.08400000000006</v>
      </c>
      <c r="AE275" s="389">
        <f t="shared" si="130"/>
        <v>537.08400000000006</v>
      </c>
      <c r="AF275" s="389">
        <f t="shared" si="130"/>
        <v>537.08400000000006</v>
      </c>
      <c r="AG275" s="389">
        <f t="shared" si="130"/>
        <v>537.08400000000006</v>
      </c>
      <c r="AH275" s="389">
        <f t="shared" si="130"/>
        <v>537.08400000000006</v>
      </c>
      <c r="AI275" s="389">
        <f t="shared" si="130"/>
        <v>537.08400000000006</v>
      </c>
      <c r="AJ275" s="389">
        <f t="shared" si="130"/>
        <v>537.08400000000006</v>
      </c>
      <c r="AK275" s="389">
        <f t="shared" si="130"/>
        <v>537.08400000000006</v>
      </c>
    </row>
    <row r="276" spans="1:37" s="377" customFormat="1">
      <c r="B276" s="377" t="s">
        <v>833</v>
      </c>
      <c r="C276" s="386">
        <f>DATE(2006,9,30)</f>
        <v>38990</v>
      </c>
      <c r="D276" s="387">
        <v>18624.650000000001</v>
      </c>
      <c r="E276" s="387"/>
      <c r="F276" s="387">
        <f t="shared" si="124"/>
        <v>13037.254999999999</v>
      </c>
      <c r="H276" s="377">
        <f t="shared" si="121"/>
        <v>13037.254999999999</v>
      </c>
      <c r="I276" s="388">
        <v>10</v>
      </c>
      <c r="J276" s="388"/>
      <c r="L276" s="389">
        <v>0</v>
      </c>
      <c r="M276" s="389"/>
      <c r="N276" s="389"/>
      <c r="O276" s="389"/>
      <c r="P276" s="389"/>
      <c r="AB276" s="389">
        <v>0</v>
      </c>
      <c r="AC276" s="389">
        <f t="shared" si="130"/>
        <v>1862.4649999999999</v>
      </c>
      <c r="AD276" s="389">
        <f t="shared" si="130"/>
        <v>1862.4649999999999</v>
      </c>
      <c r="AE276" s="389">
        <f t="shared" si="130"/>
        <v>1862.4649999999999</v>
      </c>
      <c r="AF276" s="389">
        <f t="shared" si="130"/>
        <v>1862.4649999999999</v>
      </c>
      <c r="AG276" s="389">
        <f t="shared" si="130"/>
        <v>1862.4649999999999</v>
      </c>
      <c r="AH276" s="389">
        <f t="shared" si="130"/>
        <v>1862.4649999999999</v>
      </c>
      <c r="AI276" s="389">
        <f t="shared" si="130"/>
        <v>1862.4649999999999</v>
      </c>
      <c r="AJ276" s="389">
        <f t="shared" si="130"/>
        <v>1862.4649999999999</v>
      </c>
      <c r="AK276" s="389">
        <f t="shared" si="130"/>
        <v>1862.4649999999999</v>
      </c>
    </row>
    <row r="277" spans="1:37" s="377" customFormat="1">
      <c r="B277" s="377" t="s">
        <v>832</v>
      </c>
      <c r="C277" s="386">
        <f>DATE(2007,6,30)</f>
        <v>39263</v>
      </c>
      <c r="D277" s="387">
        <v>6970</v>
      </c>
      <c r="E277" s="387"/>
      <c r="F277" s="387">
        <f t="shared" si="124"/>
        <v>4182</v>
      </c>
      <c r="H277" s="377">
        <f t="shared" si="121"/>
        <v>4182</v>
      </c>
      <c r="I277" s="388">
        <v>10</v>
      </c>
      <c r="J277" s="388"/>
      <c r="L277" s="389">
        <v>0</v>
      </c>
      <c r="M277" s="389"/>
      <c r="N277" s="389"/>
      <c r="O277" s="389"/>
      <c r="P277" s="389"/>
      <c r="AB277" s="389">
        <v>0</v>
      </c>
      <c r="AC277" s="389">
        <v>0</v>
      </c>
      <c r="AD277" s="389">
        <f t="shared" ref="AD277:AK278" si="131">SUM($D277*$I277)/100</f>
        <v>697</v>
      </c>
      <c r="AE277" s="389">
        <f t="shared" si="131"/>
        <v>697</v>
      </c>
      <c r="AF277" s="389">
        <f t="shared" si="131"/>
        <v>697</v>
      </c>
      <c r="AG277" s="389">
        <f t="shared" si="131"/>
        <v>697</v>
      </c>
      <c r="AH277" s="389">
        <f t="shared" si="131"/>
        <v>697</v>
      </c>
      <c r="AI277" s="389">
        <f t="shared" si="131"/>
        <v>697</v>
      </c>
      <c r="AJ277" s="389">
        <f t="shared" si="131"/>
        <v>697</v>
      </c>
      <c r="AK277" s="389">
        <f t="shared" si="131"/>
        <v>697</v>
      </c>
    </row>
    <row r="278" spans="1:37" s="377" customFormat="1">
      <c r="B278" s="377" t="s">
        <v>831</v>
      </c>
      <c r="C278" s="378">
        <f>DATE(93,1,1)</f>
        <v>33970</v>
      </c>
      <c r="D278" s="379">
        <v>0</v>
      </c>
      <c r="E278" s="379"/>
      <c r="F278" s="379">
        <f>G278+H278</f>
        <v>0</v>
      </c>
      <c r="G278" s="379"/>
      <c r="H278" s="377">
        <f t="shared" si="121"/>
        <v>0</v>
      </c>
      <c r="I278" s="381">
        <v>20</v>
      </c>
      <c r="J278" s="379"/>
      <c r="K278" s="379"/>
      <c r="L278" s="379"/>
      <c r="M278" s="379"/>
      <c r="N278" s="379"/>
      <c r="O278" s="382">
        <v>0</v>
      </c>
      <c r="P278" s="382">
        <f t="shared" ref="P278:AC278" si="132">SUM($D278*$I278)/100</f>
        <v>0</v>
      </c>
      <c r="Q278" s="382">
        <f t="shared" si="132"/>
        <v>0</v>
      </c>
      <c r="R278" s="382">
        <f t="shared" si="132"/>
        <v>0</v>
      </c>
      <c r="S278" s="382">
        <f t="shared" si="132"/>
        <v>0</v>
      </c>
      <c r="T278" s="382">
        <f t="shared" si="132"/>
        <v>0</v>
      </c>
      <c r="U278" s="382">
        <f t="shared" si="132"/>
        <v>0</v>
      </c>
      <c r="V278" s="382">
        <f t="shared" si="132"/>
        <v>0</v>
      </c>
      <c r="W278" s="382">
        <f t="shared" si="132"/>
        <v>0</v>
      </c>
      <c r="X278" s="382">
        <f t="shared" si="132"/>
        <v>0</v>
      </c>
      <c r="Y278" s="382">
        <f t="shared" si="132"/>
        <v>0</v>
      </c>
      <c r="Z278" s="382">
        <f t="shared" si="132"/>
        <v>0</v>
      </c>
      <c r="AA278" s="382">
        <f t="shared" si="132"/>
        <v>0</v>
      </c>
      <c r="AB278" s="382">
        <f t="shared" si="132"/>
        <v>0</v>
      </c>
      <c r="AC278" s="382">
        <f t="shared" si="132"/>
        <v>0</v>
      </c>
      <c r="AD278" s="382">
        <f t="shared" si="131"/>
        <v>0</v>
      </c>
      <c r="AE278" s="382">
        <f t="shared" si="131"/>
        <v>0</v>
      </c>
      <c r="AF278" s="382">
        <f t="shared" si="131"/>
        <v>0</v>
      </c>
      <c r="AG278" s="382">
        <f t="shared" si="131"/>
        <v>0</v>
      </c>
      <c r="AH278" s="382">
        <f t="shared" si="131"/>
        <v>0</v>
      </c>
      <c r="AI278" s="382">
        <f t="shared" si="131"/>
        <v>0</v>
      </c>
      <c r="AJ278" s="382">
        <f t="shared" si="131"/>
        <v>0</v>
      </c>
      <c r="AK278" s="382">
        <f t="shared" si="131"/>
        <v>0</v>
      </c>
    </row>
    <row r="279" spans="1:37" s="377" customFormat="1">
      <c r="D279" s="377">
        <f>SUM(D257:D278)</f>
        <v>108684.97</v>
      </c>
      <c r="E279" s="387">
        <f>F279+AJ279</f>
        <v>100444.01950000002</v>
      </c>
      <c r="F279" s="377">
        <f>SUM(F257:F278)</f>
        <v>95996.625500000024</v>
      </c>
      <c r="G279" s="377">
        <f>SUM(G257:G278)</f>
        <v>0</v>
      </c>
      <c r="H279" s="377">
        <f t="shared" si="121"/>
        <v>95996.625499999995</v>
      </c>
      <c r="I279" s="388"/>
      <c r="J279" s="388"/>
      <c r="K279" s="377">
        <f t="shared" ref="K279:AK279" si="133">SUM(K257:K278)</f>
        <v>26.37</v>
      </c>
      <c r="L279" s="377">
        <f t="shared" si="133"/>
        <v>293.83749999999998</v>
      </c>
      <c r="M279" s="377">
        <f t="shared" si="133"/>
        <v>534.93499999999995</v>
      </c>
      <c r="N279" s="377">
        <f t="shared" si="133"/>
        <v>534.93499999999995</v>
      </c>
      <c r="O279" s="377">
        <f t="shared" si="133"/>
        <v>534.93499999999995</v>
      </c>
      <c r="P279" s="377">
        <f t="shared" si="133"/>
        <v>534.93499999999995</v>
      </c>
      <c r="Q279" s="377">
        <f t="shared" si="133"/>
        <v>534.93499999999995</v>
      </c>
      <c r="R279" s="377">
        <f t="shared" si="133"/>
        <v>534.93499999999995</v>
      </c>
      <c r="S279" s="377">
        <f t="shared" si="133"/>
        <v>638.24099999999999</v>
      </c>
      <c r="T279" s="377">
        <f t="shared" si="133"/>
        <v>638.24099999999999</v>
      </c>
      <c r="U279" s="377">
        <f t="shared" si="133"/>
        <v>2257.3610000000003</v>
      </c>
      <c r="V279" s="377">
        <f t="shared" si="133"/>
        <v>3465.7719999999999</v>
      </c>
      <c r="W279" s="377">
        <f t="shared" si="133"/>
        <v>3224.6760000000004</v>
      </c>
      <c r="X279" s="377">
        <f t="shared" si="133"/>
        <v>5731.34</v>
      </c>
      <c r="Y279" s="377">
        <f t="shared" si="133"/>
        <v>7256.4</v>
      </c>
      <c r="Z279" s="377">
        <f t="shared" si="133"/>
        <v>6984.4979999999996</v>
      </c>
      <c r="AA279" s="377">
        <f t="shared" si="133"/>
        <v>8547.6540000000005</v>
      </c>
      <c r="AB279" s="377">
        <f t="shared" si="133"/>
        <v>9898.512999999999</v>
      </c>
      <c r="AC279" s="377">
        <f t="shared" si="133"/>
        <v>9688.0959999999977</v>
      </c>
      <c r="AD279" s="377">
        <f t="shared" si="133"/>
        <v>8860.0060000000012</v>
      </c>
      <c r="AE279" s="377">
        <f t="shared" si="133"/>
        <v>7486.424</v>
      </c>
      <c r="AF279" s="377">
        <f t="shared" si="133"/>
        <v>4447.4040000000005</v>
      </c>
      <c r="AG279" s="377">
        <f t="shared" si="133"/>
        <v>4447.3940000000002</v>
      </c>
      <c r="AH279" s="377">
        <f t="shared" si="133"/>
        <v>4447.3940000000002</v>
      </c>
      <c r="AI279" s="377">
        <f t="shared" si="133"/>
        <v>4447.3940000000002</v>
      </c>
      <c r="AJ279" s="377">
        <f t="shared" si="133"/>
        <v>4447.3940000000002</v>
      </c>
      <c r="AK279" s="377">
        <f t="shared" si="133"/>
        <v>4447.3940000000002</v>
      </c>
    </row>
    <row r="280" spans="1:37" s="377" customFormat="1">
      <c r="E280" s="387"/>
      <c r="I280" s="388"/>
      <c r="J280" s="388"/>
    </row>
    <row r="281" spans="1:37" s="377" customFormat="1">
      <c r="I281" s="388"/>
      <c r="J281" s="388"/>
    </row>
    <row r="282" spans="1:37" s="377" customFormat="1">
      <c r="I282" s="388"/>
      <c r="J282" s="388"/>
    </row>
    <row r="283" spans="1:37" s="377" customFormat="1">
      <c r="A283" s="410" t="s">
        <v>830</v>
      </c>
      <c r="B283" s="410"/>
      <c r="D283" s="387"/>
      <c r="E283" s="387"/>
      <c r="G283" s="387"/>
      <c r="I283" s="388"/>
      <c r="J283" s="388"/>
      <c r="K283" s="389"/>
      <c r="L283" s="389"/>
      <c r="M283" s="389"/>
      <c r="N283" s="389"/>
      <c r="O283" s="389"/>
      <c r="P283" s="389"/>
    </row>
    <row r="284" spans="1:37" s="377" customFormat="1">
      <c r="D284" s="387"/>
      <c r="E284" s="387"/>
      <c r="G284" s="387"/>
      <c r="I284" s="388"/>
      <c r="J284" s="388"/>
      <c r="K284" s="389">
        <f>SUM($D284*$I284)/100</f>
        <v>0</v>
      </c>
      <c r="L284" s="389">
        <f>SUM($D284*$I284)/100</f>
        <v>0</v>
      </c>
      <c r="M284" s="389">
        <f>SUM($D284*$I284)/100</f>
        <v>0</v>
      </c>
      <c r="N284" s="389">
        <f>SUM($D284*$I284)/100</f>
        <v>0</v>
      </c>
      <c r="O284" s="389"/>
      <c r="P284" s="389"/>
    </row>
    <row r="285" spans="1:37" s="377" customFormat="1">
      <c r="B285" s="377" t="s">
        <v>829</v>
      </c>
      <c r="C285" s="386">
        <f>DATE(89,4,1)</f>
        <v>32599</v>
      </c>
      <c r="D285" s="387">
        <v>15146.1</v>
      </c>
      <c r="E285" s="387"/>
      <c r="F285" s="377">
        <f>G285+H285</f>
        <v>15146.095000000001</v>
      </c>
      <c r="G285" s="387"/>
      <c r="H285" s="377">
        <f t="shared" ref="H285:H311" si="134">SUM(K285:AI285)</f>
        <v>15146.095000000001</v>
      </c>
      <c r="I285" s="388">
        <v>10</v>
      </c>
      <c r="J285" s="388"/>
      <c r="K285" s="389">
        <v>0</v>
      </c>
      <c r="L285" s="389">
        <f>SUM($D285*$I285)/100/2</f>
        <v>757.30499999999995</v>
      </c>
      <c r="M285" s="389">
        <f t="shared" ref="M285:U286" si="135">SUM($D285*$I285)/100</f>
        <v>1514.61</v>
      </c>
      <c r="N285" s="389">
        <f t="shared" si="135"/>
        <v>1514.61</v>
      </c>
      <c r="O285" s="389">
        <f t="shared" si="135"/>
        <v>1514.61</v>
      </c>
      <c r="P285" s="389">
        <f t="shared" si="135"/>
        <v>1514.61</v>
      </c>
      <c r="Q285" s="389">
        <f t="shared" si="135"/>
        <v>1514.61</v>
      </c>
      <c r="R285" s="389">
        <f t="shared" si="135"/>
        <v>1514.61</v>
      </c>
      <c r="S285" s="389">
        <f t="shared" si="135"/>
        <v>1514.61</v>
      </c>
      <c r="T285" s="389">
        <f t="shared" si="135"/>
        <v>1514.61</v>
      </c>
      <c r="U285" s="389">
        <f t="shared" si="135"/>
        <v>1514.61</v>
      </c>
      <c r="V285" s="389">
        <f>15146.1-12874.19-1514.61</f>
        <v>757.3</v>
      </c>
      <c r="W285" s="389">
        <v>0</v>
      </c>
      <c r="X285" s="389">
        <v>0</v>
      </c>
      <c r="Y285" s="389">
        <v>0</v>
      </c>
      <c r="Z285" s="389">
        <v>0</v>
      </c>
      <c r="AA285" s="389">
        <v>0</v>
      </c>
      <c r="AB285" s="389">
        <v>0</v>
      </c>
      <c r="AC285" s="389">
        <v>0</v>
      </c>
      <c r="AD285" s="389">
        <v>0</v>
      </c>
      <c r="AE285" s="389">
        <v>0</v>
      </c>
      <c r="AF285" s="389">
        <v>0</v>
      </c>
      <c r="AG285" s="389">
        <v>0</v>
      </c>
      <c r="AH285" s="389">
        <v>0</v>
      </c>
      <c r="AI285" s="389">
        <v>0</v>
      </c>
      <c r="AJ285" s="389">
        <v>0</v>
      </c>
      <c r="AK285" s="389">
        <v>0</v>
      </c>
    </row>
    <row r="286" spans="1:37" s="377" customFormat="1">
      <c r="B286" s="377" t="s">
        <v>828</v>
      </c>
      <c r="C286" s="386">
        <f>DATE(89,6,1)</f>
        <v>32660</v>
      </c>
      <c r="D286" s="387">
        <v>2234.7199999999998</v>
      </c>
      <c r="E286" s="387"/>
      <c r="F286" s="377">
        <f>G286+H286</f>
        <v>2234.7239999999997</v>
      </c>
      <c r="G286" s="387"/>
      <c r="H286" s="377">
        <f t="shared" si="134"/>
        <v>2234.7239999999997</v>
      </c>
      <c r="I286" s="388">
        <v>10</v>
      </c>
      <c r="J286" s="388"/>
      <c r="K286" s="389">
        <v>0</v>
      </c>
      <c r="L286" s="389">
        <f>SUM($D286*$I286)/100/2</f>
        <v>111.73599999999999</v>
      </c>
      <c r="M286" s="389">
        <f t="shared" si="135"/>
        <v>223.47199999999998</v>
      </c>
      <c r="N286" s="389">
        <f t="shared" si="135"/>
        <v>223.47199999999998</v>
      </c>
      <c r="O286" s="389">
        <f t="shared" si="135"/>
        <v>223.47199999999998</v>
      </c>
      <c r="P286" s="389">
        <f t="shared" si="135"/>
        <v>223.47199999999998</v>
      </c>
      <c r="Q286" s="389">
        <f t="shared" si="135"/>
        <v>223.47199999999998</v>
      </c>
      <c r="R286" s="389">
        <f t="shared" si="135"/>
        <v>223.47199999999998</v>
      </c>
      <c r="S286" s="389">
        <f t="shared" si="135"/>
        <v>223.47199999999998</v>
      </c>
      <c r="T286" s="389">
        <f t="shared" si="135"/>
        <v>223.47199999999998</v>
      </c>
      <c r="U286" s="389">
        <f t="shared" si="135"/>
        <v>223.47199999999998</v>
      </c>
      <c r="V286" s="389">
        <f>2234.72-1899.51-223.47</f>
        <v>111.73999999999981</v>
      </c>
      <c r="W286" s="389">
        <v>0</v>
      </c>
      <c r="X286" s="389">
        <v>0</v>
      </c>
      <c r="Y286" s="389">
        <v>0</v>
      </c>
      <c r="Z286" s="389">
        <v>0</v>
      </c>
      <c r="AA286" s="389">
        <v>0</v>
      </c>
      <c r="AB286" s="389">
        <v>0</v>
      </c>
      <c r="AC286" s="389">
        <v>0</v>
      </c>
      <c r="AD286" s="389">
        <v>0</v>
      </c>
      <c r="AE286" s="389">
        <v>0</v>
      </c>
      <c r="AF286" s="389">
        <v>0</v>
      </c>
      <c r="AG286" s="389">
        <v>0</v>
      </c>
      <c r="AH286" s="389">
        <v>0</v>
      </c>
      <c r="AI286" s="389">
        <v>0</v>
      </c>
      <c r="AJ286" s="389">
        <v>0</v>
      </c>
      <c r="AK286" s="389">
        <v>0</v>
      </c>
    </row>
    <row r="287" spans="1:37" s="377" customFormat="1">
      <c r="B287" s="377" t="s">
        <v>827</v>
      </c>
      <c r="C287" s="386">
        <f>DATE(89,6,1)</f>
        <v>32660</v>
      </c>
      <c r="D287" s="387">
        <v>5070</v>
      </c>
      <c r="E287" s="387"/>
      <c r="F287" s="377">
        <f>G287+H287</f>
        <v>5070</v>
      </c>
      <c r="G287" s="387"/>
      <c r="H287" s="377">
        <f t="shared" si="134"/>
        <v>5070</v>
      </c>
      <c r="I287" s="388">
        <v>20</v>
      </c>
      <c r="J287" s="388"/>
      <c r="K287" s="389">
        <v>0</v>
      </c>
      <c r="L287" s="389">
        <f>SUM($D287*$I287)/100/2</f>
        <v>507</v>
      </c>
      <c r="M287" s="389">
        <f>SUM($D287*$I287)/100</f>
        <v>1014</v>
      </c>
      <c r="N287" s="389">
        <f>SUM($D287*$I287)/100</f>
        <v>1014</v>
      </c>
      <c r="O287" s="389">
        <f>SUM($D287*$I287)/100</f>
        <v>1014</v>
      </c>
      <c r="P287" s="389">
        <f>SUM($D287*$I287)/100</f>
        <v>1014</v>
      </c>
      <c r="Q287" s="389">
        <v>507</v>
      </c>
      <c r="R287" s="389">
        <v>0</v>
      </c>
      <c r="S287" s="389">
        <v>0</v>
      </c>
      <c r="T287" s="389">
        <v>0</v>
      </c>
      <c r="U287" s="389">
        <v>0</v>
      </c>
      <c r="V287" s="389">
        <v>0</v>
      </c>
      <c r="W287" s="389">
        <v>0</v>
      </c>
      <c r="X287" s="389">
        <v>0</v>
      </c>
      <c r="Y287" s="389">
        <v>0</v>
      </c>
      <c r="Z287" s="389">
        <v>0</v>
      </c>
      <c r="AA287" s="389">
        <v>0</v>
      </c>
      <c r="AB287" s="389">
        <v>0</v>
      </c>
      <c r="AC287" s="389">
        <v>0</v>
      </c>
      <c r="AD287" s="389">
        <v>0</v>
      </c>
      <c r="AE287" s="389">
        <v>0</v>
      </c>
      <c r="AF287" s="389">
        <v>0</v>
      </c>
      <c r="AG287" s="389">
        <v>0</v>
      </c>
      <c r="AH287" s="389">
        <v>0</v>
      </c>
      <c r="AI287" s="389">
        <v>0</v>
      </c>
      <c r="AJ287" s="389">
        <v>0</v>
      </c>
      <c r="AK287" s="389">
        <v>0</v>
      </c>
    </row>
    <row r="288" spans="1:37" s="377" customFormat="1">
      <c r="B288" s="377" t="s">
        <v>826</v>
      </c>
      <c r="C288" s="386">
        <f>DATE(96,4,1)</f>
        <v>35156</v>
      </c>
      <c r="D288" s="387">
        <v>2088.42</v>
      </c>
      <c r="E288" s="387"/>
      <c r="F288" s="377">
        <f>G288+H288</f>
        <v>2088.4240000000004</v>
      </c>
      <c r="G288" s="387"/>
      <c r="H288" s="377">
        <f t="shared" si="134"/>
        <v>2088.4240000000004</v>
      </c>
      <c r="I288" s="388">
        <v>10</v>
      </c>
      <c r="J288" s="388"/>
      <c r="K288" s="389"/>
      <c r="L288" s="389"/>
      <c r="M288" s="389"/>
      <c r="N288" s="389"/>
      <c r="O288" s="389"/>
      <c r="P288" s="389"/>
      <c r="Q288" s="389"/>
      <c r="R288" s="389">
        <v>0</v>
      </c>
      <c r="S288" s="389">
        <f>SUM($D288*$I288)/100/2</f>
        <v>104.42100000000001</v>
      </c>
      <c r="T288" s="389">
        <f>SUM($D288*$I288)/100/2</f>
        <v>104.42100000000001</v>
      </c>
      <c r="U288" s="389">
        <f>SUM($D288*$I288)/100/2</f>
        <v>104.42100000000001</v>
      </c>
      <c r="V288" s="389">
        <f>SUM($D288*$I288)/100/2</f>
        <v>104.42100000000001</v>
      </c>
      <c r="W288" s="389">
        <f>SUM($D288*$I288)/100</f>
        <v>208.84200000000001</v>
      </c>
      <c r="X288" s="389">
        <v>208.84</v>
      </c>
      <c r="Y288" s="389">
        <v>208.84</v>
      </c>
      <c r="Z288" s="389">
        <f>SUM($D288*$I288)/100</f>
        <v>208.84200000000001</v>
      </c>
      <c r="AA288" s="389">
        <f>SUM($D288*$I288)/100</f>
        <v>208.84200000000001</v>
      </c>
      <c r="AB288" s="389">
        <f>SUM($D288*$I288)/100</f>
        <v>208.84200000000001</v>
      </c>
      <c r="AC288" s="389">
        <f>SUM($D288*$I288)/100</f>
        <v>208.84200000000001</v>
      </c>
      <c r="AD288" s="389">
        <v>208.85</v>
      </c>
      <c r="AE288" s="389">
        <v>0</v>
      </c>
      <c r="AF288" s="389">
        <v>0</v>
      </c>
      <c r="AG288" s="389">
        <v>0</v>
      </c>
      <c r="AH288" s="389">
        <v>0</v>
      </c>
      <c r="AI288" s="389">
        <v>0</v>
      </c>
      <c r="AJ288" s="389">
        <v>0</v>
      </c>
      <c r="AK288" s="389">
        <v>0</v>
      </c>
    </row>
    <row r="289" spans="2:37" s="377" customFormat="1">
      <c r="B289" s="377" t="s">
        <v>825</v>
      </c>
      <c r="C289" s="386">
        <f>DATE(98,4,1)</f>
        <v>35886</v>
      </c>
      <c r="D289" s="387">
        <v>2038.42</v>
      </c>
      <c r="E289" s="387"/>
      <c r="F289" s="387">
        <f t="shared" ref="F289:F309" si="136">H289</f>
        <v>2038.4240000000004</v>
      </c>
      <c r="H289" s="377">
        <f t="shared" si="134"/>
        <v>2038.4240000000004</v>
      </c>
      <c r="I289" s="388">
        <v>2</v>
      </c>
      <c r="J289" s="404">
        <v>10</v>
      </c>
      <c r="L289" s="389">
        <v>0</v>
      </c>
      <c r="M289" s="389">
        <v>0</v>
      </c>
      <c r="N289" s="389">
        <v>0</v>
      </c>
      <c r="O289" s="389">
        <v>0</v>
      </c>
      <c r="P289" s="389">
        <v>0</v>
      </c>
      <c r="Q289" s="389">
        <v>0</v>
      </c>
      <c r="R289" s="389">
        <v>0</v>
      </c>
      <c r="S289" s="389">
        <v>0</v>
      </c>
      <c r="T289" s="389">
        <v>0</v>
      </c>
      <c r="U289" s="389">
        <f t="shared" ref="U289:W290" si="137">SUM($D289*$J289)/100</f>
        <v>203.84200000000001</v>
      </c>
      <c r="V289" s="389">
        <f t="shared" si="137"/>
        <v>203.84200000000001</v>
      </c>
      <c r="W289" s="389">
        <f t="shared" si="137"/>
        <v>203.84200000000001</v>
      </c>
      <c r="X289" s="389">
        <v>203.84</v>
      </c>
      <c r="Y289" s="389">
        <v>203.84</v>
      </c>
      <c r="Z289" s="389">
        <f t="shared" ref="Z289:AC293" si="138">SUM($D289*$J289)/100</f>
        <v>203.84200000000001</v>
      </c>
      <c r="AA289" s="389">
        <f t="shared" si="138"/>
        <v>203.84200000000001</v>
      </c>
      <c r="AB289" s="389">
        <f t="shared" si="138"/>
        <v>203.84200000000001</v>
      </c>
      <c r="AC289" s="389">
        <f t="shared" si="138"/>
        <v>203.84200000000001</v>
      </c>
      <c r="AD289" s="389">
        <v>203.85</v>
      </c>
      <c r="AE289" s="389">
        <v>0</v>
      </c>
      <c r="AF289" s="389">
        <v>0</v>
      </c>
      <c r="AG289" s="389">
        <v>0</v>
      </c>
      <c r="AH289" s="389">
        <v>0</v>
      </c>
      <c r="AI289" s="389">
        <v>0</v>
      </c>
      <c r="AJ289" s="389">
        <v>0</v>
      </c>
      <c r="AK289" s="389">
        <v>0</v>
      </c>
    </row>
    <row r="290" spans="2:37" s="377" customFormat="1">
      <c r="B290" s="377" t="s">
        <v>824</v>
      </c>
      <c r="C290" s="386">
        <f>DATE(98,7,1)</f>
        <v>35977</v>
      </c>
      <c r="D290" s="387">
        <v>1491.56</v>
      </c>
      <c r="E290" s="387"/>
      <c r="F290" s="387">
        <f t="shared" si="136"/>
        <v>1491.5619999999997</v>
      </c>
      <c r="H290" s="377">
        <f t="shared" si="134"/>
        <v>1491.5619999999997</v>
      </c>
      <c r="I290" s="388">
        <v>2</v>
      </c>
      <c r="J290" s="404">
        <v>10</v>
      </c>
      <c r="L290" s="389">
        <v>0</v>
      </c>
      <c r="M290" s="389">
        <v>0</v>
      </c>
      <c r="N290" s="389">
        <v>0</v>
      </c>
      <c r="O290" s="389">
        <v>0</v>
      </c>
      <c r="P290" s="389">
        <v>0</v>
      </c>
      <c r="Q290" s="389">
        <v>0</v>
      </c>
      <c r="R290" s="389">
        <v>0</v>
      </c>
      <c r="S290" s="389">
        <v>0</v>
      </c>
      <c r="T290" s="389">
        <v>0</v>
      </c>
      <c r="U290" s="389">
        <f t="shared" si="137"/>
        <v>149.15599999999998</v>
      </c>
      <c r="V290" s="389">
        <f t="shared" si="137"/>
        <v>149.15599999999998</v>
      </c>
      <c r="W290" s="389">
        <f t="shared" si="137"/>
        <v>149.15599999999998</v>
      </c>
      <c r="X290" s="389">
        <v>149.16</v>
      </c>
      <c r="Y290" s="389">
        <v>149.16</v>
      </c>
      <c r="Z290" s="389">
        <f t="shared" si="138"/>
        <v>149.15599999999998</v>
      </c>
      <c r="AA290" s="389">
        <f t="shared" si="138"/>
        <v>149.15599999999998</v>
      </c>
      <c r="AB290" s="389">
        <f t="shared" si="138"/>
        <v>149.15599999999998</v>
      </c>
      <c r="AC290" s="389">
        <f t="shared" si="138"/>
        <v>149.15599999999998</v>
      </c>
      <c r="AD290" s="389">
        <v>149.13999999999999</v>
      </c>
      <c r="AE290" s="389">
        <v>0</v>
      </c>
      <c r="AF290" s="389">
        <v>0.01</v>
      </c>
      <c r="AG290" s="389">
        <v>0</v>
      </c>
      <c r="AH290" s="389">
        <v>0</v>
      </c>
      <c r="AI290" s="389">
        <v>0</v>
      </c>
      <c r="AJ290" s="389">
        <v>0</v>
      </c>
      <c r="AK290" s="389">
        <v>0</v>
      </c>
    </row>
    <row r="291" spans="2:37" s="377" customFormat="1">
      <c r="B291" s="377" t="s">
        <v>823</v>
      </c>
      <c r="C291" s="386">
        <f>DATE(99,5,1)</f>
        <v>36281</v>
      </c>
      <c r="D291" s="387">
        <v>23051.99</v>
      </c>
      <c r="E291" s="387"/>
      <c r="F291" s="387">
        <f t="shared" si="136"/>
        <v>23051.992999999999</v>
      </c>
      <c r="H291" s="377">
        <f t="shared" si="134"/>
        <v>23051.992999999999</v>
      </c>
      <c r="I291" s="388">
        <v>2</v>
      </c>
      <c r="J291" s="404">
        <v>10</v>
      </c>
      <c r="L291" s="389">
        <v>0</v>
      </c>
      <c r="M291" s="389">
        <v>0</v>
      </c>
      <c r="N291" s="389">
        <v>0</v>
      </c>
      <c r="O291" s="389">
        <v>0</v>
      </c>
      <c r="P291" s="389">
        <v>0</v>
      </c>
      <c r="Q291" s="389">
        <v>0</v>
      </c>
      <c r="R291" s="389">
        <v>0</v>
      </c>
      <c r="S291" s="389">
        <v>0</v>
      </c>
      <c r="T291" s="389">
        <v>0</v>
      </c>
      <c r="U291" s="389">
        <v>0</v>
      </c>
      <c r="V291" s="389">
        <f t="shared" ref="V291:W293" si="139">SUM($D291*$J291)/100</f>
        <v>2305.1990000000001</v>
      </c>
      <c r="W291" s="389">
        <f t="shared" si="139"/>
        <v>2305.1990000000001</v>
      </c>
      <c r="X291" s="389">
        <v>2305.1999999999998</v>
      </c>
      <c r="Y291" s="389">
        <v>2305.1999999999998</v>
      </c>
      <c r="Z291" s="389">
        <f t="shared" si="138"/>
        <v>2305.1990000000001</v>
      </c>
      <c r="AA291" s="389">
        <f t="shared" si="138"/>
        <v>2305.1990000000001</v>
      </c>
      <c r="AB291" s="389">
        <f t="shared" si="138"/>
        <v>2305.1990000000001</v>
      </c>
      <c r="AC291" s="389">
        <f t="shared" si="138"/>
        <v>2305.1990000000001</v>
      </c>
      <c r="AD291" s="389">
        <f>SUM($D291*$J291)/100</f>
        <v>2305.1990000000001</v>
      </c>
      <c r="AE291" s="389">
        <v>2305.19</v>
      </c>
      <c r="AF291" s="389">
        <v>0.01</v>
      </c>
      <c r="AG291" s="389">
        <v>0</v>
      </c>
      <c r="AH291" s="389">
        <v>0</v>
      </c>
      <c r="AI291" s="389">
        <v>0</v>
      </c>
      <c r="AJ291" s="389">
        <v>0</v>
      </c>
      <c r="AK291" s="389">
        <v>0</v>
      </c>
    </row>
    <row r="292" spans="2:37" s="377" customFormat="1">
      <c r="B292" s="377" t="s">
        <v>822</v>
      </c>
      <c r="C292" s="386">
        <f>DATE(99,11,1)</f>
        <v>36465</v>
      </c>
      <c r="D292" s="387">
        <v>47946.3</v>
      </c>
      <c r="E292" s="387"/>
      <c r="F292" s="387">
        <f t="shared" si="136"/>
        <v>33562.419999999991</v>
      </c>
      <c r="H292" s="377">
        <f t="shared" si="134"/>
        <v>33562.419999999991</v>
      </c>
      <c r="I292" s="388">
        <v>2</v>
      </c>
      <c r="J292" s="404">
        <v>5</v>
      </c>
      <c r="L292" s="389">
        <v>0</v>
      </c>
      <c r="M292" s="389">
        <v>0</v>
      </c>
      <c r="N292" s="389">
        <v>0</v>
      </c>
      <c r="O292" s="389">
        <v>0</v>
      </c>
      <c r="P292" s="389">
        <v>0</v>
      </c>
      <c r="Q292" s="389">
        <v>0</v>
      </c>
      <c r="R292" s="389">
        <v>0</v>
      </c>
      <c r="S292" s="389">
        <v>0</v>
      </c>
      <c r="T292" s="389">
        <v>0</v>
      </c>
      <c r="U292" s="389">
        <v>0</v>
      </c>
      <c r="V292" s="389">
        <f t="shared" si="139"/>
        <v>2397.3150000000001</v>
      </c>
      <c r="W292" s="389">
        <f t="shared" si="139"/>
        <v>2397.3150000000001</v>
      </c>
      <c r="X292" s="389">
        <v>2397.3200000000002</v>
      </c>
      <c r="Y292" s="389">
        <v>2397.3200000000002</v>
      </c>
      <c r="Z292" s="389">
        <f t="shared" si="138"/>
        <v>2397.3150000000001</v>
      </c>
      <c r="AA292" s="389">
        <f t="shared" si="138"/>
        <v>2397.3150000000001</v>
      </c>
      <c r="AB292" s="389">
        <f t="shared" si="138"/>
        <v>2397.3150000000001</v>
      </c>
      <c r="AC292" s="389">
        <f t="shared" si="138"/>
        <v>2397.3150000000001</v>
      </c>
      <c r="AD292" s="389">
        <f>SUM($D292*$J292)/100</f>
        <v>2397.3150000000001</v>
      </c>
      <c r="AE292" s="389">
        <f t="shared" ref="AE292:AK292" si="140">SUM($D292*$J292)/100</f>
        <v>2397.3150000000001</v>
      </c>
      <c r="AF292" s="389">
        <f t="shared" si="140"/>
        <v>2397.3150000000001</v>
      </c>
      <c r="AG292" s="389">
        <f t="shared" si="140"/>
        <v>2397.3150000000001</v>
      </c>
      <c r="AH292" s="389">
        <f t="shared" si="140"/>
        <v>2397.3150000000001</v>
      </c>
      <c r="AI292" s="389">
        <f t="shared" si="140"/>
        <v>2397.3150000000001</v>
      </c>
      <c r="AJ292" s="389">
        <f t="shared" si="140"/>
        <v>2397.3150000000001</v>
      </c>
      <c r="AK292" s="389">
        <f t="shared" si="140"/>
        <v>2397.3150000000001</v>
      </c>
    </row>
    <row r="293" spans="2:37" s="377" customFormat="1">
      <c r="B293" s="377" t="s">
        <v>821</v>
      </c>
      <c r="C293" s="386">
        <f>DATE(99,10,1)</f>
        <v>36434</v>
      </c>
      <c r="D293" s="387">
        <v>4062.98</v>
      </c>
      <c r="E293" s="387"/>
      <c r="F293" s="387">
        <f t="shared" si="136"/>
        <v>4062.9759999999997</v>
      </c>
      <c r="H293" s="377">
        <f t="shared" si="134"/>
        <v>4062.9759999999997</v>
      </c>
      <c r="I293" s="388"/>
      <c r="J293" s="404">
        <v>10</v>
      </c>
      <c r="L293" s="389">
        <v>0</v>
      </c>
      <c r="M293" s="389">
        <v>0</v>
      </c>
      <c r="N293" s="389">
        <v>0</v>
      </c>
      <c r="O293" s="389">
        <v>0</v>
      </c>
      <c r="P293" s="389">
        <v>0</v>
      </c>
      <c r="Q293" s="389">
        <v>0</v>
      </c>
      <c r="R293" s="389">
        <v>0</v>
      </c>
      <c r="S293" s="389">
        <v>0</v>
      </c>
      <c r="T293" s="389">
        <v>0</v>
      </c>
      <c r="U293" s="389">
        <v>0</v>
      </c>
      <c r="V293" s="389">
        <f t="shared" si="139"/>
        <v>406.298</v>
      </c>
      <c r="W293" s="389">
        <f t="shared" si="139"/>
        <v>406.298</v>
      </c>
      <c r="X293" s="389">
        <v>406.3</v>
      </c>
      <c r="Y293" s="389">
        <v>406.3</v>
      </c>
      <c r="Z293" s="389">
        <f t="shared" si="138"/>
        <v>406.298</v>
      </c>
      <c r="AA293" s="389">
        <f t="shared" si="138"/>
        <v>406.298</v>
      </c>
      <c r="AB293" s="389">
        <f t="shared" si="138"/>
        <v>406.298</v>
      </c>
      <c r="AC293" s="389">
        <f t="shared" si="138"/>
        <v>406.298</v>
      </c>
      <c r="AD293" s="389">
        <f>SUM($D293*$J293)/100</f>
        <v>406.298</v>
      </c>
      <c r="AE293" s="389">
        <v>406.29</v>
      </c>
      <c r="AF293" s="389">
        <v>0</v>
      </c>
      <c r="AG293" s="389">
        <v>0</v>
      </c>
      <c r="AH293" s="389">
        <v>0</v>
      </c>
      <c r="AI293" s="389">
        <v>0</v>
      </c>
      <c r="AJ293" s="389">
        <v>0</v>
      </c>
      <c r="AK293" s="389">
        <v>0</v>
      </c>
    </row>
    <row r="294" spans="2:37" s="377" customFormat="1">
      <c r="B294" s="377" t="s">
        <v>820</v>
      </c>
      <c r="C294" s="386">
        <f>DATE(2000,3,1)</f>
        <v>36586</v>
      </c>
      <c r="D294" s="387">
        <v>14195.5</v>
      </c>
      <c r="E294" s="387"/>
      <c r="F294" s="387">
        <f t="shared" si="136"/>
        <v>14195.5</v>
      </c>
      <c r="H294" s="377">
        <f t="shared" si="134"/>
        <v>14195.5</v>
      </c>
      <c r="I294" s="388"/>
      <c r="J294" s="404">
        <v>20</v>
      </c>
      <c r="L294" s="389"/>
      <c r="M294" s="389"/>
      <c r="N294" s="389"/>
      <c r="O294" s="389"/>
      <c r="P294" s="389"/>
      <c r="Q294" s="389"/>
      <c r="R294" s="389"/>
      <c r="S294" s="389"/>
      <c r="T294" s="389"/>
      <c r="U294" s="389"/>
      <c r="V294" s="389">
        <v>0</v>
      </c>
      <c r="W294" s="389">
        <f>SUM($D294*$J294)/100</f>
        <v>2839.1</v>
      </c>
      <c r="X294" s="389">
        <v>2839.1</v>
      </c>
      <c r="Y294" s="389">
        <v>2839.1</v>
      </c>
      <c r="Z294" s="389">
        <f t="shared" ref="Z294:AA298" si="141">SUM($D294*$J294)/100</f>
        <v>2839.1</v>
      </c>
      <c r="AA294" s="389">
        <f t="shared" si="141"/>
        <v>2839.1</v>
      </c>
      <c r="AB294" s="389">
        <v>0</v>
      </c>
      <c r="AC294" s="389">
        <v>0</v>
      </c>
      <c r="AD294" s="389">
        <v>0</v>
      </c>
      <c r="AE294" s="389">
        <v>0</v>
      </c>
      <c r="AF294" s="389">
        <v>0</v>
      </c>
      <c r="AG294" s="389">
        <v>0</v>
      </c>
      <c r="AH294" s="389">
        <v>0</v>
      </c>
      <c r="AI294" s="389">
        <v>0</v>
      </c>
      <c r="AJ294" s="389">
        <v>0</v>
      </c>
      <c r="AK294" s="389">
        <v>0</v>
      </c>
    </row>
    <row r="295" spans="2:37" s="377" customFormat="1">
      <c r="B295" s="377" t="s">
        <v>819</v>
      </c>
      <c r="C295" s="386">
        <f>DATE(2000,3,1)</f>
        <v>36586</v>
      </c>
      <c r="D295" s="387">
        <v>4922</v>
      </c>
      <c r="E295" s="387"/>
      <c r="F295" s="387">
        <f t="shared" si="136"/>
        <v>4921.9999999999991</v>
      </c>
      <c r="H295" s="377">
        <f t="shared" si="134"/>
        <v>4921.9999999999991</v>
      </c>
      <c r="I295" s="388"/>
      <c r="J295" s="404">
        <v>10</v>
      </c>
      <c r="L295" s="389"/>
      <c r="M295" s="389"/>
      <c r="N295" s="389"/>
      <c r="O295" s="389"/>
      <c r="P295" s="389"/>
      <c r="Q295" s="389"/>
      <c r="R295" s="389"/>
      <c r="S295" s="389"/>
      <c r="T295" s="389"/>
      <c r="U295" s="389"/>
      <c r="V295" s="389">
        <v>0</v>
      </c>
      <c r="W295" s="389">
        <f>SUM($D295*$J295)/100</f>
        <v>492.2</v>
      </c>
      <c r="X295" s="389">
        <v>492.2</v>
      </c>
      <c r="Y295" s="389">
        <v>492.2</v>
      </c>
      <c r="Z295" s="389">
        <f t="shared" si="141"/>
        <v>492.2</v>
      </c>
      <c r="AA295" s="389">
        <f t="shared" si="141"/>
        <v>492.2</v>
      </c>
      <c r="AB295" s="389">
        <f t="shared" ref="AB295:AF298" si="142">SUM($D295*$J295)/100</f>
        <v>492.2</v>
      </c>
      <c r="AC295" s="389">
        <f t="shared" si="142"/>
        <v>492.2</v>
      </c>
      <c r="AD295" s="389">
        <f t="shared" si="142"/>
        <v>492.2</v>
      </c>
      <c r="AE295" s="389">
        <f t="shared" si="142"/>
        <v>492.2</v>
      </c>
      <c r="AF295" s="389">
        <f t="shared" si="142"/>
        <v>492.2</v>
      </c>
      <c r="AG295" s="389">
        <v>0</v>
      </c>
      <c r="AH295" s="389">
        <v>0</v>
      </c>
      <c r="AI295" s="389">
        <v>0</v>
      </c>
      <c r="AJ295" s="389">
        <v>0</v>
      </c>
      <c r="AK295" s="389">
        <v>0</v>
      </c>
    </row>
    <row r="296" spans="2:37" s="377" customFormat="1">
      <c r="B296" s="377" t="s">
        <v>818</v>
      </c>
      <c r="C296" s="386">
        <f>DATE(2002,7,1)</f>
        <v>37438</v>
      </c>
      <c r="D296" s="387">
        <v>139986.98000000001</v>
      </c>
      <c r="E296" s="387"/>
      <c r="F296" s="387">
        <f t="shared" si="136"/>
        <v>107789.97600000002</v>
      </c>
      <c r="H296" s="377">
        <f t="shared" si="134"/>
        <v>107789.97600000002</v>
      </c>
      <c r="I296" s="388"/>
      <c r="J296" s="404">
        <v>7</v>
      </c>
      <c r="L296" s="389"/>
      <c r="M296" s="389"/>
      <c r="N296" s="389"/>
      <c r="O296" s="389"/>
      <c r="P296" s="389"/>
      <c r="Q296" s="389"/>
      <c r="R296" s="389"/>
      <c r="S296" s="389"/>
      <c r="T296" s="389"/>
      <c r="U296" s="389"/>
      <c r="V296" s="389">
        <v>0</v>
      </c>
      <c r="W296" s="389">
        <v>0</v>
      </c>
      <c r="X296" s="389">
        <v>0</v>
      </c>
      <c r="Y296" s="389">
        <v>9799.09</v>
      </c>
      <c r="Z296" s="389">
        <f t="shared" si="141"/>
        <v>9799.088600000001</v>
      </c>
      <c r="AA296" s="389">
        <f t="shared" si="141"/>
        <v>9799.088600000001</v>
      </c>
      <c r="AB296" s="389">
        <f t="shared" si="142"/>
        <v>9799.088600000001</v>
      </c>
      <c r="AC296" s="389">
        <f t="shared" si="142"/>
        <v>9799.088600000001</v>
      </c>
      <c r="AD296" s="389">
        <f t="shared" si="142"/>
        <v>9799.088600000001</v>
      </c>
      <c r="AE296" s="389">
        <f t="shared" si="142"/>
        <v>9799.088600000001</v>
      </c>
      <c r="AF296" s="389">
        <f t="shared" si="142"/>
        <v>9799.088600000001</v>
      </c>
      <c r="AG296" s="389">
        <f t="shared" ref="AG296:AK298" si="143">SUM($D296*$J296)/100</f>
        <v>9799.088600000001</v>
      </c>
      <c r="AH296" s="389">
        <f t="shared" si="143"/>
        <v>9799.088600000001</v>
      </c>
      <c r="AI296" s="389">
        <f t="shared" si="143"/>
        <v>9799.088600000001</v>
      </c>
      <c r="AJ296" s="389">
        <f t="shared" si="143"/>
        <v>9799.088600000001</v>
      </c>
      <c r="AK296" s="389">
        <f t="shared" si="143"/>
        <v>9799.088600000001</v>
      </c>
    </row>
    <row r="297" spans="2:37" s="377" customFormat="1">
      <c r="B297" s="377" t="s">
        <v>817</v>
      </c>
      <c r="C297" s="386">
        <f>DATE(2003,1,1)</f>
        <v>37622</v>
      </c>
      <c r="D297" s="387">
        <v>1372.79</v>
      </c>
      <c r="E297" s="387"/>
      <c r="F297" s="387">
        <f t="shared" si="136"/>
        <v>960.95299999999975</v>
      </c>
      <c r="H297" s="377">
        <f t="shared" si="134"/>
        <v>960.95299999999975</v>
      </c>
      <c r="I297" s="388"/>
      <c r="J297" s="404">
        <v>7</v>
      </c>
      <c r="L297" s="389"/>
      <c r="M297" s="389"/>
      <c r="N297" s="389"/>
      <c r="O297" s="389"/>
      <c r="P297" s="389"/>
      <c r="Q297" s="389"/>
      <c r="R297" s="389"/>
      <c r="S297" s="389"/>
      <c r="T297" s="389"/>
      <c r="U297" s="389"/>
      <c r="V297" s="389">
        <v>0</v>
      </c>
      <c r="W297" s="389">
        <v>0</v>
      </c>
      <c r="X297" s="389">
        <v>0</v>
      </c>
      <c r="Y297" s="389">
        <v>0</v>
      </c>
      <c r="Z297" s="389">
        <f t="shared" si="141"/>
        <v>96.095299999999995</v>
      </c>
      <c r="AA297" s="389">
        <f t="shared" si="141"/>
        <v>96.095299999999995</v>
      </c>
      <c r="AB297" s="389">
        <f t="shared" si="142"/>
        <v>96.095299999999995</v>
      </c>
      <c r="AC297" s="389">
        <f t="shared" si="142"/>
        <v>96.095299999999995</v>
      </c>
      <c r="AD297" s="389">
        <f t="shared" si="142"/>
        <v>96.095299999999995</v>
      </c>
      <c r="AE297" s="389">
        <f t="shared" si="142"/>
        <v>96.095299999999995</v>
      </c>
      <c r="AF297" s="389">
        <f t="shared" si="142"/>
        <v>96.095299999999995</v>
      </c>
      <c r="AG297" s="389">
        <f t="shared" si="143"/>
        <v>96.095299999999995</v>
      </c>
      <c r="AH297" s="389">
        <f t="shared" si="143"/>
        <v>96.095299999999995</v>
      </c>
      <c r="AI297" s="389">
        <f t="shared" si="143"/>
        <v>96.095299999999995</v>
      </c>
      <c r="AJ297" s="389">
        <f t="shared" si="143"/>
        <v>96.095299999999995</v>
      </c>
      <c r="AK297" s="389">
        <f t="shared" si="143"/>
        <v>96.095299999999995</v>
      </c>
    </row>
    <row r="298" spans="2:37" s="377" customFormat="1">
      <c r="B298" s="377" t="s">
        <v>816</v>
      </c>
      <c r="C298" s="386">
        <f>DATE(2003,7,1)</f>
        <v>37803</v>
      </c>
      <c r="D298" s="387">
        <v>1485.39</v>
      </c>
      <c r="E298" s="387"/>
      <c r="F298" s="387">
        <f t="shared" si="136"/>
        <v>1039.7730000000001</v>
      </c>
      <c r="H298" s="377">
        <f t="shared" si="134"/>
        <v>1039.7730000000001</v>
      </c>
      <c r="I298" s="388"/>
      <c r="J298" s="404">
        <v>7</v>
      </c>
      <c r="L298" s="389"/>
      <c r="M298" s="389"/>
      <c r="N298" s="389"/>
      <c r="O298" s="389"/>
      <c r="P298" s="389"/>
      <c r="Q298" s="389"/>
      <c r="R298" s="389"/>
      <c r="S298" s="389"/>
      <c r="T298" s="389"/>
      <c r="U298" s="389"/>
      <c r="V298" s="389">
        <v>0</v>
      </c>
      <c r="W298" s="389">
        <v>0</v>
      </c>
      <c r="X298" s="389">
        <v>0</v>
      </c>
      <c r="Y298" s="389">
        <v>0</v>
      </c>
      <c r="Z298" s="389">
        <f t="shared" si="141"/>
        <v>103.97730000000001</v>
      </c>
      <c r="AA298" s="389">
        <f t="shared" si="141"/>
        <v>103.97730000000001</v>
      </c>
      <c r="AB298" s="389">
        <f t="shared" si="142"/>
        <v>103.97730000000001</v>
      </c>
      <c r="AC298" s="389">
        <f t="shared" si="142"/>
        <v>103.97730000000001</v>
      </c>
      <c r="AD298" s="389">
        <f t="shared" si="142"/>
        <v>103.97730000000001</v>
      </c>
      <c r="AE298" s="389">
        <f t="shared" si="142"/>
        <v>103.97730000000001</v>
      </c>
      <c r="AF298" s="389">
        <f t="shared" si="142"/>
        <v>103.97730000000001</v>
      </c>
      <c r="AG298" s="389">
        <f t="shared" si="143"/>
        <v>103.97730000000001</v>
      </c>
      <c r="AH298" s="389">
        <f t="shared" si="143"/>
        <v>103.97730000000001</v>
      </c>
      <c r="AI298" s="389">
        <f t="shared" si="143"/>
        <v>103.97730000000001</v>
      </c>
      <c r="AJ298" s="389">
        <f t="shared" si="143"/>
        <v>103.97730000000001</v>
      </c>
      <c r="AK298" s="389">
        <f t="shared" si="143"/>
        <v>103.97730000000001</v>
      </c>
    </row>
    <row r="299" spans="2:37" s="377" customFormat="1">
      <c r="B299" s="412" t="s">
        <v>815</v>
      </c>
      <c r="C299" s="413">
        <f>DATE(2004,10,1)</f>
        <v>38261</v>
      </c>
      <c r="D299" s="414">
        <v>5412.18</v>
      </c>
      <c r="E299" s="414"/>
      <c r="F299" s="414">
        <f t="shared" si="136"/>
        <v>5412.1840000000011</v>
      </c>
      <c r="G299" s="409"/>
      <c r="H299" s="409">
        <f t="shared" si="134"/>
        <v>5412.1840000000011</v>
      </c>
      <c r="I299" s="415"/>
      <c r="J299" s="416">
        <v>20</v>
      </c>
      <c r="K299" s="409"/>
      <c r="L299" s="417"/>
      <c r="M299" s="417"/>
      <c r="N299" s="417"/>
      <c r="O299" s="417"/>
      <c r="P299" s="417"/>
      <c r="Q299" s="417"/>
      <c r="R299" s="417"/>
      <c r="S299" s="417"/>
      <c r="T299" s="417"/>
      <c r="U299" s="417"/>
      <c r="V299" s="417">
        <v>0</v>
      </c>
      <c r="W299" s="417">
        <v>0</v>
      </c>
      <c r="X299" s="417">
        <v>0</v>
      </c>
      <c r="Y299" s="417">
        <v>0</v>
      </c>
      <c r="Z299" s="417">
        <v>0</v>
      </c>
      <c r="AA299" s="417">
        <f>SUM($D299*$J299)/100</f>
        <v>1082.4360000000001</v>
      </c>
      <c r="AB299" s="417">
        <f>SUM($D299*$J299)/100</f>
        <v>1082.4360000000001</v>
      </c>
      <c r="AC299" s="417">
        <f>SUM($D299*$J299)/100</f>
        <v>1082.4360000000001</v>
      </c>
      <c r="AD299" s="417">
        <f>SUM($D299*$J299)/100</f>
        <v>1082.4360000000001</v>
      </c>
      <c r="AE299" s="417">
        <v>1082.43</v>
      </c>
      <c r="AF299" s="417">
        <v>0.01</v>
      </c>
      <c r="AG299" s="417">
        <v>0</v>
      </c>
      <c r="AH299" s="417">
        <v>0</v>
      </c>
      <c r="AI299" s="417">
        <v>0</v>
      </c>
      <c r="AJ299" s="417">
        <v>0</v>
      </c>
      <c r="AK299" s="417">
        <v>0</v>
      </c>
    </row>
    <row r="300" spans="2:37" s="377" customFormat="1">
      <c r="B300" s="377" t="s">
        <v>814</v>
      </c>
      <c r="C300" s="386">
        <f>DATE(2006,7,31)</f>
        <v>38929</v>
      </c>
      <c r="D300" s="387">
        <v>45027.77</v>
      </c>
      <c r="E300" s="387"/>
      <c r="F300" s="387">
        <f t="shared" si="136"/>
        <v>31519.438999999991</v>
      </c>
      <c r="H300" s="377">
        <f t="shared" si="134"/>
        <v>31519.438999999991</v>
      </c>
      <c r="I300" s="388">
        <v>10</v>
      </c>
      <c r="J300" s="388"/>
      <c r="L300" s="389">
        <v>0</v>
      </c>
      <c r="M300" s="389"/>
      <c r="N300" s="389"/>
      <c r="O300" s="389"/>
      <c r="P300" s="389"/>
      <c r="AB300" s="389">
        <v>0</v>
      </c>
      <c r="AC300" s="389">
        <f t="shared" ref="AC300:AK300" si="144">SUM($D300*$I300)/100</f>
        <v>4502.7769999999991</v>
      </c>
      <c r="AD300" s="389">
        <f t="shared" si="144"/>
        <v>4502.7769999999991</v>
      </c>
      <c r="AE300" s="389">
        <f t="shared" si="144"/>
        <v>4502.7769999999991</v>
      </c>
      <c r="AF300" s="389">
        <f t="shared" si="144"/>
        <v>4502.7769999999991</v>
      </c>
      <c r="AG300" s="389">
        <f t="shared" si="144"/>
        <v>4502.7769999999991</v>
      </c>
      <c r="AH300" s="389">
        <f t="shared" si="144"/>
        <v>4502.7769999999991</v>
      </c>
      <c r="AI300" s="389">
        <f t="shared" si="144"/>
        <v>4502.7769999999991</v>
      </c>
      <c r="AJ300" s="389">
        <f t="shared" si="144"/>
        <v>4502.7769999999991</v>
      </c>
      <c r="AK300" s="389">
        <f t="shared" si="144"/>
        <v>4502.7769999999991</v>
      </c>
    </row>
    <row r="301" spans="2:37" s="377" customFormat="1">
      <c r="B301" s="403" t="s">
        <v>813</v>
      </c>
      <c r="C301" s="386">
        <f>DATE(2007,4,30)</f>
        <v>39202</v>
      </c>
      <c r="D301" s="387">
        <v>32068.880000000001</v>
      </c>
      <c r="E301" s="387"/>
      <c r="F301" s="387">
        <f t="shared" si="136"/>
        <v>13468.929599999999</v>
      </c>
      <c r="H301" s="377">
        <f t="shared" si="134"/>
        <v>13468.929599999999</v>
      </c>
      <c r="I301" s="388"/>
      <c r="J301" s="388">
        <v>7</v>
      </c>
      <c r="L301" s="389"/>
      <c r="M301" s="389"/>
      <c r="N301" s="389"/>
      <c r="O301" s="389"/>
      <c r="P301" s="389"/>
      <c r="AB301" s="389"/>
      <c r="AC301" s="389">
        <v>0</v>
      </c>
      <c r="AD301" s="389">
        <f t="shared" ref="AD301:AK304" si="145">SUM($D301*$J301)/100</f>
        <v>2244.8216000000002</v>
      </c>
      <c r="AE301" s="389">
        <f t="shared" si="145"/>
        <v>2244.8216000000002</v>
      </c>
      <c r="AF301" s="389">
        <f t="shared" si="145"/>
        <v>2244.8216000000002</v>
      </c>
      <c r="AG301" s="389">
        <f t="shared" si="145"/>
        <v>2244.8216000000002</v>
      </c>
      <c r="AH301" s="389">
        <f t="shared" si="145"/>
        <v>2244.8216000000002</v>
      </c>
      <c r="AI301" s="389">
        <f t="shared" si="145"/>
        <v>2244.8216000000002</v>
      </c>
      <c r="AJ301" s="389">
        <f t="shared" si="145"/>
        <v>2244.8216000000002</v>
      </c>
      <c r="AK301" s="389">
        <f t="shared" si="145"/>
        <v>2244.8216000000002</v>
      </c>
    </row>
    <row r="302" spans="2:37" s="377" customFormat="1">
      <c r="B302" s="377" t="s">
        <v>812</v>
      </c>
      <c r="C302" s="386">
        <f>DATE(2007,7,31)</f>
        <v>39294</v>
      </c>
      <c r="D302" s="387">
        <v>156061.22</v>
      </c>
      <c r="E302" s="387"/>
      <c r="F302" s="387">
        <f t="shared" si="136"/>
        <v>65545.712400000004</v>
      </c>
      <c r="H302" s="377">
        <f t="shared" si="134"/>
        <v>65545.712400000004</v>
      </c>
      <c r="I302" s="388"/>
      <c r="J302" s="388">
        <v>7</v>
      </c>
      <c r="L302" s="389"/>
      <c r="M302" s="389"/>
      <c r="N302" s="389"/>
      <c r="O302" s="389"/>
      <c r="P302" s="389"/>
      <c r="AB302" s="389"/>
      <c r="AC302" s="389"/>
      <c r="AD302" s="389">
        <f t="shared" si="145"/>
        <v>10924.285400000001</v>
      </c>
      <c r="AE302" s="389">
        <f t="shared" si="145"/>
        <v>10924.285400000001</v>
      </c>
      <c r="AF302" s="389">
        <f t="shared" si="145"/>
        <v>10924.285400000001</v>
      </c>
      <c r="AG302" s="389">
        <f t="shared" si="145"/>
        <v>10924.285400000001</v>
      </c>
      <c r="AH302" s="389">
        <f t="shared" si="145"/>
        <v>10924.285400000001</v>
      </c>
      <c r="AI302" s="389">
        <f t="shared" si="145"/>
        <v>10924.285400000001</v>
      </c>
      <c r="AJ302" s="389">
        <f t="shared" si="145"/>
        <v>10924.285400000001</v>
      </c>
      <c r="AK302" s="389">
        <f t="shared" si="145"/>
        <v>10924.285400000001</v>
      </c>
    </row>
    <row r="303" spans="2:37" s="377" customFormat="1">
      <c r="B303" s="403" t="s">
        <v>811</v>
      </c>
      <c r="C303" s="386">
        <f>DATE(2007,6,30)</f>
        <v>39263</v>
      </c>
      <c r="D303" s="387">
        <v>107635.53</v>
      </c>
      <c r="E303" s="387"/>
      <c r="F303" s="387">
        <f t="shared" si="136"/>
        <v>45206.922599999998</v>
      </c>
      <c r="H303" s="377">
        <f t="shared" si="134"/>
        <v>45206.922599999998</v>
      </c>
      <c r="I303" s="388"/>
      <c r="J303" s="388">
        <v>7</v>
      </c>
      <c r="L303" s="389"/>
      <c r="M303" s="389"/>
      <c r="N303" s="389"/>
      <c r="O303" s="389"/>
      <c r="P303" s="389"/>
      <c r="AB303" s="389"/>
      <c r="AC303" s="389">
        <v>0</v>
      </c>
      <c r="AD303" s="389">
        <f t="shared" si="145"/>
        <v>7534.4870999999994</v>
      </c>
      <c r="AE303" s="389">
        <f t="shared" si="145"/>
        <v>7534.4870999999994</v>
      </c>
      <c r="AF303" s="389">
        <f t="shared" si="145"/>
        <v>7534.4870999999994</v>
      </c>
      <c r="AG303" s="389">
        <f t="shared" si="145"/>
        <v>7534.4870999999994</v>
      </c>
      <c r="AH303" s="389">
        <f t="shared" si="145"/>
        <v>7534.4870999999994</v>
      </c>
      <c r="AI303" s="389">
        <f t="shared" si="145"/>
        <v>7534.4870999999994</v>
      </c>
      <c r="AJ303" s="389">
        <f t="shared" si="145"/>
        <v>7534.4870999999994</v>
      </c>
      <c r="AK303" s="389">
        <f t="shared" si="145"/>
        <v>7534.4870999999994</v>
      </c>
    </row>
    <row r="304" spans="2:37" s="377" customFormat="1">
      <c r="B304" s="403" t="s">
        <v>810</v>
      </c>
      <c r="C304" s="386">
        <f>DATE(2007,12,31)</f>
        <v>39447</v>
      </c>
      <c r="D304" s="387">
        <v>16378.25</v>
      </c>
      <c r="E304" s="387"/>
      <c r="F304" s="387">
        <f t="shared" si="136"/>
        <v>9826.9500000000007</v>
      </c>
      <c r="H304" s="377">
        <f t="shared" si="134"/>
        <v>9826.9500000000007</v>
      </c>
      <c r="I304" s="388"/>
      <c r="J304" s="388">
        <v>10</v>
      </c>
      <c r="L304" s="389"/>
      <c r="M304" s="389"/>
      <c r="N304" s="389"/>
      <c r="O304" s="389"/>
      <c r="P304" s="389"/>
      <c r="AB304" s="389"/>
      <c r="AC304" s="389">
        <v>0</v>
      </c>
      <c r="AD304" s="389">
        <f t="shared" si="145"/>
        <v>1637.825</v>
      </c>
      <c r="AE304" s="389">
        <f t="shared" si="145"/>
        <v>1637.825</v>
      </c>
      <c r="AF304" s="389">
        <f t="shared" si="145"/>
        <v>1637.825</v>
      </c>
      <c r="AG304" s="389">
        <f t="shared" si="145"/>
        <v>1637.825</v>
      </c>
      <c r="AH304" s="389">
        <f t="shared" si="145"/>
        <v>1637.825</v>
      </c>
      <c r="AI304" s="389">
        <f t="shared" si="145"/>
        <v>1637.825</v>
      </c>
      <c r="AJ304" s="389">
        <f t="shared" si="145"/>
        <v>1637.825</v>
      </c>
      <c r="AK304" s="389">
        <f t="shared" si="145"/>
        <v>1637.825</v>
      </c>
    </row>
    <row r="305" spans="1:37" s="377" customFormat="1">
      <c r="B305" s="403" t="s">
        <v>809</v>
      </c>
      <c r="C305" s="386">
        <f>DATE(2008,8,31)</f>
        <v>39691</v>
      </c>
      <c r="D305" s="387">
        <v>26845.61</v>
      </c>
      <c r="E305" s="387"/>
      <c r="F305" s="387">
        <f t="shared" si="136"/>
        <v>9395.9635000000017</v>
      </c>
      <c r="H305" s="377">
        <f t="shared" si="134"/>
        <v>9395.9635000000017</v>
      </c>
      <c r="I305" s="388"/>
      <c r="J305" s="388">
        <v>7</v>
      </c>
      <c r="L305" s="389"/>
      <c r="M305" s="389"/>
      <c r="N305" s="389"/>
      <c r="O305" s="389"/>
      <c r="P305" s="389"/>
      <c r="AB305" s="389"/>
      <c r="AC305" s="389"/>
      <c r="AD305" s="389">
        <v>0</v>
      </c>
      <c r="AE305" s="389">
        <f t="shared" ref="AE305:AK305" si="146">SUM($D305*$J305)/100</f>
        <v>1879.1927000000003</v>
      </c>
      <c r="AF305" s="389">
        <f t="shared" si="146"/>
        <v>1879.1927000000003</v>
      </c>
      <c r="AG305" s="389">
        <f t="shared" si="146"/>
        <v>1879.1927000000003</v>
      </c>
      <c r="AH305" s="389">
        <f t="shared" si="146"/>
        <v>1879.1927000000003</v>
      </c>
      <c r="AI305" s="389">
        <f t="shared" si="146"/>
        <v>1879.1927000000003</v>
      </c>
      <c r="AJ305" s="389">
        <f t="shared" si="146"/>
        <v>1879.1927000000003</v>
      </c>
      <c r="AK305" s="389">
        <f t="shared" si="146"/>
        <v>1879.1927000000003</v>
      </c>
    </row>
    <row r="306" spans="1:37" s="377" customFormat="1">
      <c r="B306" s="377" t="s">
        <v>808</v>
      </c>
      <c r="C306" s="386">
        <f>DATE(2010,5,20)</f>
        <v>40318</v>
      </c>
      <c r="D306" s="387">
        <v>16733.419999999998</v>
      </c>
      <c r="E306" s="387"/>
      <c r="F306" s="387">
        <f t="shared" si="136"/>
        <v>3514.0181999999995</v>
      </c>
      <c r="H306" s="377">
        <f t="shared" si="134"/>
        <v>3514.0181999999995</v>
      </c>
      <c r="I306" s="388"/>
      <c r="J306" s="388">
        <v>7</v>
      </c>
      <c r="L306" s="389"/>
      <c r="M306" s="389"/>
      <c r="N306" s="389"/>
      <c r="O306" s="389"/>
      <c r="P306" s="389"/>
      <c r="AB306" s="389"/>
      <c r="AC306" s="389"/>
      <c r="AD306" s="389">
        <v>0</v>
      </c>
      <c r="AE306" s="389">
        <v>0</v>
      </c>
      <c r="AF306" s="389">
        <v>0</v>
      </c>
      <c r="AG306" s="389">
        <f t="shared" ref="AG306:AK308" si="147">SUM($D306*$J306)/100</f>
        <v>1171.3393999999998</v>
      </c>
      <c r="AH306" s="389">
        <f t="shared" si="147"/>
        <v>1171.3393999999998</v>
      </c>
      <c r="AI306" s="389">
        <f t="shared" si="147"/>
        <v>1171.3393999999998</v>
      </c>
      <c r="AJ306" s="389">
        <f t="shared" si="147"/>
        <v>1171.3393999999998</v>
      </c>
      <c r="AK306" s="389">
        <f t="shared" si="147"/>
        <v>1171.3393999999998</v>
      </c>
    </row>
    <row r="307" spans="1:37" s="377" customFormat="1">
      <c r="B307" s="377" t="s">
        <v>807</v>
      </c>
      <c r="C307" s="386">
        <f>DATE(2010,5,26)</f>
        <v>40324</v>
      </c>
      <c r="D307" s="387">
        <v>8750.93</v>
      </c>
      <c r="E307" s="387"/>
      <c r="F307" s="387">
        <f t="shared" si="136"/>
        <v>2625.2790000000005</v>
      </c>
      <c r="H307" s="377">
        <f t="shared" si="134"/>
        <v>2625.2790000000005</v>
      </c>
      <c r="I307" s="388"/>
      <c r="J307" s="388">
        <v>10</v>
      </c>
      <c r="L307" s="389"/>
      <c r="M307" s="389"/>
      <c r="N307" s="389"/>
      <c r="O307" s="389"/>
      <c r="P307" s="389"/>
      <c r="AB307" s="389"/>
      <c r="AC307" s="389"/>
      <c r="AD307" s="389">
        <v>0</v>
      </c>
      <c r="AE307" s="389">
        <v>0</v>
      </c>
      <c r="AF307" s="389">
        <v>0</v>
      </c>
      <c r="AG307" s="389">
        <f t="shared" si="147"/>
        <v>875.09300000000007</v>
      </c>
      <c r="AH307" s="389">
        <f t="shared" si="147"/>
        <v>875.09300000000007</v>
      </c>
      <c r="AI307" s="389">
        <f t="shared" si="147"/>
        <v>875.09300000000007</v>
      </c>
      <c r="AJ307" s="389">
        <f t="shared" si="147"/>
        <v>875.09300000000007</v>
      </c>
      <c r="AK307" s="389">
        <f t="shared" si="147"/>
        <v>875.09300000000007</v>
      </c>
    </row>
    <row r="308" spans="1:37" s="377" customFormat="1">
      <c r="B308" s="377" t="s">
        <v>806</v>
      </c>
      <c r="C308" s="386">
        <f>DATE(2010,2,28)</f>
        <v>40237</v>
      </c>
      <c r="D308" s="387">
        <v>166712.5</v>
      </c>
      <c r="E308" s="387"/>
      <c r="F308" s="387">
        <f t="shared" si="136"/>
        <v>50013.75</v>
      </c>
      <c r="H308" s="377">
        <f t="shared" si="134"/>
        <v>50013.75</v>
      </c>
      <c r="I308" s="388"/>
      <c r="J308" s="388">
        <v>10</v>
      </c>
      <c r="L308" s="389"/>
      <c r="M308" s="389"/>
      <c r="N308" s="389"/>
      <c r="O308" s="389"/>
      <c r="P308" s="389"/>
      <c r="AB308" s="389"/>
      <c r="AC308" s="389"/>
      <c r="AD308" s="389">
        <v>0</v>
      </c>
      <c r="AE308" s="389">
        <v>0</v>
      </c>
      <c r="AF308" s="389">
        <v>0</v>
      </c>
      <c r="AG308" s="389">
        <f t="shared" si="147"/>
        <v>16671.25</v>
      </c>
      <c r="AH308" s="389">
        <f t="shared" si="147"/>
        <v>16671.25</v>
      </c>
      <c r="AI308" s="389">
        <f t="shared" si="147"/>
        <v>16671.25</v>
      </c>
      <c r="AJ308" s="389">
        <f t="shared" si="147"/>
        <v>16671.25</v>
      </c>
      <c r="AK308" s="389">
        <f t="shared" si="147"/>
        <v>16671.25</v>
      </c>
    </row>
    <row r="309" spans="1:37" s="377" customFormat="1">
      <c r="B309" s="390" t="s">
        <v>805</v>
      </c>
      <c r="C309" s="391">
        <f>DATE(2013,2,8)</f>
        <v>41313</v>
      </c>
      <c r="D309" s="392">
        <v>28495.4</v>
      </c>
      <c r="E309" s="392"/>
      <c r="F309" s="392">
        <f t="shared" si="136"/>
        <v>0</v>
      </c>
      <c r="G309" s="390"/>
      <c r="H309" s="390">
        <f t="shared" si="134"/>
        <v>0</v>
      </c>
      <c r="I309" s="393"/>
      <c r="J309" s="393">
        <v>10</v>
      </c>
      <c r="K309" s="390"/>
      <c r="L309" s="394"/>
      <c r="M309" s="394"/>
      <c r="N309" s="394"/>
      <c r="O309" s="394"/>
      <c r="P309" s="394"/>
      <c r="Q309" s="390"/>
      <c r="R309" s="390"/>
      <c r="S309" s="390"/>
      <c r="T309" s="390"/>
      <c r="U309" s="390"/>
      <c r="V309" s="390"/>
      <c r="W309" s="390"/>
      <c r="X309" s="390"/>
      <c r="Y309" s="390"/>
      <c r="Z309" s="390"/>
      <c r="AA309" s="390"/>
      <c r="AB309" s="394"/>
      <c r="AC309" s="394"/>
      <c r="AD309" s="394">
        <v>0</v>
      </c>
      <c r="AE309" s="394">
        <v>0</v>
      </c>
      <c r="AF309" s="394">
        <v>0</v>
      </c>
      <c r="AG309" s="394">
        <v>0</v>
      </c>
      <c r="AH309" s="394">
        <v>0</v>
      </c>
      <c r="AI309" s="394">
        <v>0</v>
      </c>
      <c r="AJ309" s="394">
        <f>SUM($D309*$J309)/100</f>
        <v>2849.54</v>
      </c>
      <c r="AK309" s="394">
        <f>SUM($D309*$J309)/100</f>
        <v>2849.54</v>
      </c>
    </row>
    <row r="310" spans="1:37" s="377" customFormat="1">
      <c r="B310" s="377" t="s">
        <v>804</v>
      </c>
      <c r="C310" s="378">
        <f>DATE(92,7,1)</f>
        <v>33786</v>
      </c>
      <c r="D310" s="380">
        <v>2350.1999999999998</v>
      </c>
      <c r="E310" s="380"/>
      <c r="F310" s="379">
        <f>G310+H310</f>
        <v>2350.2000000000003</v>
      </c>
      <c r="G310" s="380"/>
      <c r="H310" s="377">
        <f t="shared" si="134"/>
        <v>2350.2000000000003</v>
      </c>
      <c r="I310" s="381">
        <v>10</v>
      </c>
      <c r="J310" s="381"/>
      <c r="K310" s="382">
        <v>0</v>
      </c>
      <c r="L310" s="382"/>
      <c r="M310" s="382"/>
      <c r="N310" s="382"/>
      <c r="O310" s="382">
        <f t="shared" ref="O310:W310" si="148">SUM($D310*$I310)/100</f>
        <v>235.02</v>
      </c>
      <c r="P310" s="382">
        <f t="shared" si="148"/>
        <v>235.02</v>
      </c>
      <c r="Q310" s="382">
        <f t="shared" si="148"/>
        <v>235.02</v>
      </c>
      <c r="R310" s="382">
        <f t="shared" si="148"/>
        <v>235.02</v>
      </c>
      <c r="S310" s="382">
        <f t="shared" si="148"/>
        <v>235.02</v>
      </c>
      <c r="T310" s="382">
        <f t="shared" si="148"/>
        <v>235.02</v>
      </c>
      <c r="U310" s="382">
        <f t="shared" si="148"/>
        <v>235.02</v>
      </c>
      <c r="V310" s="382">
        <f t="shared" si="148"/>
        <v>235.02</v>
      </c>
      <c r="W310" s="382">
        <f t="shared" si="148"/>
        <v>235.02</v>
      </c>
      <c r="X310" s="382">
        <v>235.02</v>
      </c>
      <c r="Y310" s="382">
        <v>0</v>
      </c>
      <c r="Z310" s="382">
        <v>0</v>
      </c>
      <c r="AA310" s="382">
        <v>0</v>
      </c>
      <c r="AB310" s="382">
        <v>0</v>
      </c>
      <c r="AC310" s="382">
        <v>0</v>
      </c>
      <c r="AD310" s="382">
        <v>0</v>
      </c>
      <c r="AE310" s="382">
        <v>0</v>
      </c>
      <c r="AF310" s="382">
        <v>0</v>
      </c>
      <c r="AG310" s="382">
        <v>0</v>
      </c>
      <c r="AH310" s="382">
        <v>0</v>
      </c>
      <c r="AI310" s="382">
        <v>0</v>
      </c>
      <c r="AJ310" s="382">
        <v>0</v>
      </c>
      <c r="AK310" s="382">
        <v>0</v>
      </c>
    </row>
    <row r="311" spans="1:37" s="377" customFormat="1">
      <c r="D311" s="387">
        <f>SUM(D284:D310)</f>
        <v>877565.04000000015</v>
      </c>
      <c r="E311" s="387">
        <f>F311+AJ311</f>
        <v>519221.25570000004</v>
      </c>
      <c r="F311" s="387">
        <f>SUM(F284:F310)</f>
        <v>456534.16830000002</v>
      </c>
      <c r="G311" s="387">
        <f>SUM(G284:G310)</f>
        <v>0</v>
      </c>
      <c r="H311" s="377">
        <f t="shared" si="134"/>
        <v>456534.16829999996</v>
      </c>
      <c r="I311" s="388"/>
      <c r="J311" s="388"/>
      <c r="K311" s="387">
        <f t="shared" ref="K311:AK311" si="149">SUM(K284:K310)</f>
        <v>0</v>
      </c>
      <c r="L311" s="387">
        <f t="shared" si="149"/>
        <v>1376.0409999999999</v>
      </c>
      <c r="M311" s="387">
        <f t="shared" si="149"/>
        <v>2752.0819999999999</v>
      </c>
      <c r="N311" s="387">
        <f t="shared" si="149"/>
        <v>2752.0819999999999</v>
      </c>
      <c r="O311" s="387">
        <f t="shared" si="149"/>
        <v>2987.1019999999999</v>
      </c>
      <c r="P311" s="387">
        <f t="shared" si="149"/>
        <v>2987.1019999999999</v>
      </c>
      <c r="Q311" s="387">
        <f t="shared" si="149"/>
        <v>2480.1019999999999</v>
      </c>
      <c r="R311" s="387">
        <f t="shared" si="149"/>
        <v>1973.1019999999999</v>
      </c>
      <c r="S311" s="387">
        <f t="shared" si="149"/>
        <v>2077.5230000000001</v>
      </c>
      <c r="T311" s="387">
        <f t="shared" si="149"/>
        <v>2077.5230000000001</v>
      </c>
      <c r="U311" s="387">
        <f t="shared" si="149"/>
        <v>2430.5210000000002</v>
      </c>
      <c r="V311" s="387">
        <f t="shared" si="149"/>
        <v>6670.2910000000002</v>
      </c>
      <c r="W311" s="387">
        <f t="shared" si="149"/>
        <v>9236.9720000000016</v>
      </c>
      <c r="X311" s="387">
        <f t="shared" si="149"/>
        <v>9236.9800000000014</v>
      </c>
      <c r="Y311" s="387">
        <f t="shared" si="149"/>
        <v>18801.050000000003</v>
      </c>
      <c r="Z311" s="387">
        <f t="shared" si="149"/>
        <v>19001.1132</v>
      </c>
      <c r="AA311" s="387">
        <f t="shared" si="149"/>
        <v>20083.549200000001</v>
      </c>
      <c r="AB311" s="387">
        <f t="shared" si="149"/>
        <v>17244.449200000003</v>
      </c>
      <c r="AC311" s="387">
        <f t="shared" si="149"/>
        <v>21747.226200000001</v>
      </c>
      <c r="AD311" s="387">
        <f t="shared" si="149"/>
        <v>44088.645299999996</v>
      </c>
      <c r="AE311" s="387">
        <f t="shared" si="149"/>
        <v>45405.974999999991</v>
      </c>
      <c r="AF311" s="387">
        <f t="shared" si="149"/>
        <v>41612.095000000001</v>
      </c>
      <c r="AG311" s="387">
        <f t="shared" si="149"/>
        <v>59837.547399999996</v>
      </c>
      <c r="AH311" s="387">
        <f t="shared" si="149"/>
        <v>59837.547399999996</v>
      </c>
      <c r="AI311" s="387">
        <f t="shared" si="149"/>
        <v>59837.547399999996</v>
      </c>
      <c r="AJ311" s="387">
        <f t="shared" si="149"/>
        <v>62687.087399999997</v>
      </c>
      <c r="AK311" s="387">
        <f t="shared" si="149"/>
        <v>62687.087399999997</v>
      </c>
    </row>
    <row r="312" spans="1:37" s="377" customFormat="1">
      <c r="I312" s="388"/>
      <c r="J312" s="388"/>
    </row>
    <row r="313" spans="1:37" s="377" customFormat="1">
      <c r="A313" s="410" t="s">
        <v>803</v>
      </c>
      <c r="B313" s="410"/>
      <c r="D313" s="387"/>
      <c r="E313" s="387"/>
      <c r="G313" s="387"/>
      <c r="I313" s="388"/>
      <c r="J313" s="388"/>
      <c r="K313" s="389"/>
      <c r="L313" s="389"/>
      <c r="M313" s="389"/>
      <c r="N313" s="389"/>
      <c r="O313" s="389"/>
      <c r="P313" s="389"/>
    </row>
    <row r="314" spans="1:37" s="377" customFormat="1">
      <c r="B314" s="377" t="s">
        <v>802</v>
      </c>
      <c r="C314" s="386">
        <f>DATE(83,1,1)</f>
        <v>30317</v>
      </c>
      <c r="D314" s="387">
        <v>0</v>
      </c>
      <c r="E314" s="387"/>
      <c r="F314" s="377">
        <v>0</v>
      </c>
      <c r="G314" s="387">
        <v>27494.55</v>
      </c>
      <c r="H314" s="377">
        <f t="shared" ref="H314:H334" si="150">SUM(K314:AI314)</f>
        <v>0</v>
      </c>
      <c r="I314" s="388">
        <v>5</v>
      </c>
      <c r="J314" s="388">
        <v>7</v>
      </c>
      <c r="K314" s="389">
        <f>SUM($D314*$I314)/100</f>
        <v>0</v>
      </c>
      <c r="L314" s="389">
        <f>SUM($D314*$I314)/100</f>
        <v>0</v>
      </c>
      <c r="M314" s="389">
        <f>SUM($D314*$I314)/100</f>
        <v>0</v>
      </c>
      <c r="N314" s="389">
        <v>0</v>
      </c>
      <c r="O314" s="389">
        <v>0</v>
      </c>
      <c r="P314" s="389">
        <v>0</v>
      </c>
      <c r="Q314" s="389">
        <v>0</v>
      </c>
      <c r="R314" s="389">
        <v>0</v>
      </c>
      <c r="S314" s="389">
        <v>0</v>
      </c>
      <c r="T314" s="389">
        <v>0</v>
      </c>
      <c r="U314" s="389">
        <v>0</v>
      </c>
      <c r="V314" s="389">
        <v>0</v>
      </c>
      <c r="W314" s="389">
        <v>0</v>
      </c>
      <c r="X314" s="389">
        <v>0</v>
      </c>
      <c r="Y314" s="389">
        <v>0</v>
      </c>
      <c r="Z314" s="389">
        <v>0</v>
      </c>
      <c r="AA314" s="389">
        <v>0</v>
      </c>
      <c r="AB314" s="389">
        <v>0</v>
      </c>
      <c r="AC314" s="389">
        <v>0</v>
      </c>
      <c r="AD314" s="389">
        <v>0</v>
      </c>
      <c r="AE314" s="389">
        <v>0</v>
      </c>
      <c r="AF314" s="389">
        <v>0</v>
      </c>
      <c r="AG314" s="389">
        <v>0</v>
      </c>
      <c r="AH314" s="389">
        <v>0</v>
      </c>
      <c r="AI314" s="389">
        <v>0</v>
      </c>
      <c r="AJ314" s="389">
        <v>0</v>
      </c>
      <c r="AK314" s="389">
        <v>0</v>
      </c>
    </row>
    <row r="315" spans="1:37" s="377" customFormat="1">
      <c r="B315" s="377" t="s">
        <v>801</v>
      </c>
      <c r="C315" s="386">
        <f>DATE(83,1,1)</f>
        <v>30317</v>
      </c>
      <c r="D315" s="387">
        <f>122197.99-38146.3</f>
        <v>84051.69</v>
      </c>
      <c r="E315" s="387"/>
      <c r="F315" s="377">
        <f t="shared" ref="F315:F320" si="151">G315+H315</f>
        <v>84051.686400000006</v>
      </c>
      <c r="G315" s="387">
        <f>27494.55+4492.98-468.17</f>
        <v>31519.360000000001</v>
      </c>
      <c r="H315" s="377">
        <f t="shared" si="150"/>
        <v>52532.326400000005</v>
      </c>
      <c r="I315" s="388">
        <v>5</v>
      </c>
      <c r="J315" s="388">
        <v>7</v>
      </c>
      <c r="K315" s="389">
        <v>0</v>
      </c>
      <c r="L315" s="389">
        <v>0</v>
      </c>
      <c r="M315" s="389">
        <v>0</v>
      </c>
      <c r="N315" s="389">
        <f t="shared" ref="N315:U315" si="152">SUM($D315*$J315)/100</f>
        <v>5883.618300000001</v>
      </c>
      <c r="O315" s="389">
        <f t="shared" si="152"/>
        <v>5883.618300000001</v>
      </c>
      <c r="P315" s="389">
        <f t="shared" si="152"/>
        <v>5883.618300000001</v>
      </c>
      <c r="Q315" s="389">
        <f t="shared" si="152"/>
        <v>5883.618300000001</v>
      </c>
      <c r="R315" s="389">
        <f t="shared" si="152"/>
        <v>5883.618300000001</v>
      </c>
      <c r="S315" s="389">
        <f t="shared" si="152"/>
        <v>5883.618300000001</v>
      </c>
      <c r="T315" s="389">
        <f t="shared" si="152"/>
        <v>5883.618300000001</v>
      </c>
      <c r="U315" s="389">
        <f t="shared" si="152"/>
        <v>5883.618300000001</v>
      </c>
      <c r="V315" s="389">
        <f>84051.69-72704.69-5883.62</f>
        <v>5463.38</v>
      </c>
      <c r="W315" s="389">
        <v>0</v>
      </c>
      <c r="X315" s="389">
        <v>0</v>
      </c>
      <c r="Y315" s="389">
        <v>0</v>
      </c>
      <c r="Z315" s="389">
        <v>0</v>
      </c>
      <c r="AA315" s="389">
        <v>0</v>
      </c>
      <c r="AB315" s="389">
        <v>0</v>
      </c>
      <c r="AC315" s="389">
        <v>0</v>
      </c>
      <c r="AD315" s="389">
        <v>0</v>
      </c>
      <c r="AE315" s="389">
        <v>0</v>
      </c>
      <c r="AF315" s="389">
        <v>0</v>
      </c>
      <c r="AG315" s="389">
        <v>0</v>
      </c>
      <c r="AH315" s="389">
        <v>0</v>
      </c>
      <c r="AI315" s="389">
        <v>0</v>
      </c>
      <c r="AJ315" s="389">
        <v>0</v>
      </c>
      <c r="AK315" s="389">
        <v>0</v>
      </c>
    </row>
    <row r="316" spans="1:37" s="377" customFormat="1">
      <c r="B316" s="377" t="s">
        <v>800</v>
      </c>
      <c r="C316" s="386">
        <f>DATE(84,3,1)</f>
        <v>30742</v>
      </c>
      <c r="D316" s="387">
        <v>26473.55</v>
      </c>
      <c r="E316" s="387"/>
      <c r="F316" s="377">
        <f t="shared" si="151"/>
        <v>26473.550000000003</v>
      </c>
      <c r="G316" s="387">
        <v>9265.76</v>
      </c>
      <c r="H316" s="377">
        <f t="shared" si="150"/>
        <v>17207.79</v>
      </c>
      <c r="I316" s="388">
        <v>10</v>
      </c>
      <c r="J316" s="388"/>
      <c r="K316" s="389">
        <f t="shared" ref="K316:P316" si="153">SUM($D316*$I316)/100</f>
        <v>2647.355</v>
      </c>
      <c r="L316" s="389">
        <f t="shared" si="153"/>
        <v>2647.355</v>
      </c>
      <c r="M316" s="389">
        <f t="shared" si="153"/>
        <v>2647.355</v>
      </c>
      <c r="N316" s="389">
        <f t="shared" si="153"/>
        <v>2647.355</v>
      </c>
      <c r="O316" s="389">
        <f t="shared" si="153"/>
        <v>2647.355</v>
      </c>
      <c r="P316" s="389">
        <f t="shared" si="153"/>
        <v>2647.355</v>
      </c>
      <c r="Q316" s="389">
        <v>1323.66</v>
      </c>
      <c r="R316" s="389">
        <v>0</v>
      </c>
      <c r="S316" s="389">
        <v>0</v>
      </c>
      <c r="T316" s="389">
        <v>0</v>
      </c>
      <c r="U316" s="389">
        <v>0</v>
      </c>
      <c r="V316" s="389">
        <v>0</v>
      </c>
      <c r="W316" s="389">
        <v>0</v>
      </c>
      <c r="X316" s="389">
        <v>0</v>
      </c>
      <c r="Y316" s="389">
        <v>0</v>
      </c>
      <c r="Z316" s="389">
        <v>0</v>
      </c>
      <c r="AA316" s="389">
        <v>0</v>
      </c>
      <c r="AB316" s="389">
        <v>0</v>
      </c>
      <c r="AC316" s="389">
        <v>0</v>
      </c>
      <c r="AD316" s="389">
        <v>0</v>
      </c>
      <c r="AE316" s="389">
        <v>0</v>
      </c>
      <c r="AF316" s="389">
        <v>0</v>
      </c>
      <c r="AG316" s="389">
        <v>0</v>
      </c>
      <c r="AH316" s="389">
        <v>0</v>
      </c>
      <c r="AI316" s="389">
        <v>0</v>
      </c>
      <c r="AJ316" s="389">
        <v>0</v>
      </c>
      <c r="AK316" s="389">
        <v>0</v>
      </c>
    </row>
    <row r="317" spans="1:37" s="377" customFormat="1">
      <c r="B317" s="377" t="s">
        <v>799</v>
      </c>
      <c r="C317" s="386">
        <f>DATE(86,9,1)</f>
        <v>31656</v>
      </c>
      <c r="D317" s="387">
        <v>8800</v>
      </c>
      <c r="E317" s="387"/>
      <c r="F317" s="377">
        <f t="shared" si="151"/>
        <v>8800</v>
      </c>
      <c r="G317" s="387">
        <v>660</v>
      </c>
      <c r="H317" s="377">
        <f t="shared" si="150"/>
        <v>8140</v>
      </c>
      <c r="I317" s="388">
        <v>5</v>
      </c>
      <c r="J317" s="388">
        <v>7</v>
      </c>
      <c r="K317" s="389">
        <f>SUM($D317*$I317)/100</f>
        <v>440</v>
      </c>
      <c r="L317" s="389">
        <f>SUM($D317*$I317)/100</f>
        <v>440</v>
      </c>
      <c r="M317" s="389">
        <f>SUM($D317*$I317)/100</f>
        <v>440</v>
      </c>
      <c r="N317" s="389">
        <f t="shared" ref="N317:W319" si="154">SUM($D317*$J317)/100</f>
        <v>616</v>
      </c>
      <c r="O317" s="389">
        <f t="shared" si="154"/>
        <v>616</v>
      </c>
      <c r="P317" s="389">
        <f t="shared" si="154"/>
        <v>616</v>
      </c>
      <c r="Q317" s="389">
        <f t="shared" si="154"/>
        <v>616</v>
      </c>
      <c r="R317" s="389">
        <f t="shared" si="154"/>
        <v>616</v>
      </c>
      <c r="S317" s="389">
        <f t="shared" si="154"/>
        <v>616</v>
      </c>
      <c r="T317" s="389">
        <f t="shared" si="154"/>
        <v>616</v>
      </c>
      <c r="U317" s="389">
        <f t="shared" si="154"/>
        <v>616</v>
      </c>
      <c r="V317" s="389">
        <f t="shared" si="154"/>
        <v>616</v>
      </c>
      <c r="W317" s="389">
        <f t="shared" si="154"/>
        <v>616</v>
      </c>
      <c r="X317" s="389">
        <v>616</v>
      </c>
      <c r="Y317" s="389">
        <v>44</v>
      </c>
      <c r="Z317" s="389">
        <v>0</v>
      </c>
      <c r="AA317" s="389">
        <v>0</v>
      </c>
      <c r="AB317" s="389">
        <v>0</v>
      </c>
      <c r="AC317" s="389">
        <v>0</v>
      </c>
      <c r="AD317" s="389">
        <v>0</v>
      </c>
      <c r="AE317" s="389">
        <v>0</v>
      </c>
      <c r="AF317" s="389">
        <v>0</v>
      </c>
      <c r="AG317" s="389">
        <v>0</v>
      </c>
      <c r="AH317" s="389">
        <v>0</v>
      </c>
      <c r="AI317" s="389">
        <v>0</v>
      </c>
      <c r="AJ317" s="389">
        <v>0</v>
      </c>
      <c r="AK317" s="389">
        <v>0</v>
      </c>
    </row>
    <row r="318" spans="1:37" s="377" customFormat="1">
      <c r="B318" s="377" t="s">
        <v>796</v>
      </c>
      <c r="C318" s="386">
        <f>DATE(89,1,1)</f>
        <v>32509</v>
      </c>
      <c r="D318" s="387">
        <v>6495.38</v>
      </c>
      <c r="E318" s="387"/>
      <c r="F318" s="377">
        <f t="shared" si="151"/>
        <v>6495.3760999999995</v>
      </c>
      <c r="G318" s="387"/>
      <c r="H318" s="377">
        <f t="shared" si="150"/>
        <v>6495.3760999999995</v>
      </c>
      <c r="I318" s="388">
        <v>5</v>
      </c>
      <c r="J318" s="388">
        <v>7</v>
      </c>
      <c r="K318" s="389">
        <v>0</v>
      </c>
      <c r="L318" s="389">
        <f>SUM($D318*$I318)/100/2</f>
        <v>162.3845</v>
      </c>
      <c r="M318" s="389">
        <f>SUM($D318*$I318)/100</f>
        <v>324.76900000000001</v>
      </c>
      <c r="N318" s="389">
        <f t="shared" si="154"/>
        <v>454.67660000000001</v>
      </c>
      <c r="O318" s="389">
        <f t="shared" si="154"/>
        <v>454.67660000000001</v>
      </c>
      <c r="P318" s="389">
        <f t="shared" si="154"/>
        <v>454.67660000000001</v>
      </c>
      <c r="Q318" s="389">
        <f t="shared" si="154"/>
        <v>454.67660000000001</v>
      </c>
      <c r="R318" s="389">
        <f t="shared" si="154"/>
        <v>454.67660000000001</v>
      </c>
      <c r="S318" s="389">
        <f t="shared" si="154"/>
        <v>454.67660000000001</v>
      </c>
      <c r="T318" s="389">
        <f t="shared" si="154"/>
        <v>454.67660000000001</v>
      </c>
      <c r="U318" s="389">
        <f t="shared" si="154"/>
        <v>454.67660000000001</v>
      </c>
      <c r="V318" s="389">
        <f t="shared" si="154"/>
        <v>454.67660000000001</v>
      </c>
      <c r="W318" s="389">
        <f t="shared" si="154"/>
        <v>454.67660000000001</v>
      </c>
      <c r="X318" s="389">
        <v>454.68</v>
      </c>
      <c r="Y318" s="389">
        <v>454.68</v>
      </c>
      <c r="Z318" s="389">
        <f>SUM($D318*$J318)/100</f>
        <v>454.67660000000001</v>
      </c>
      <c r="AA318" s="389">
        <v>97.42</v>
      </c>
      <c r="AB318" s="389">
        <v>0</v>
      </c>
      <c r="AC318" s="389">
        <v>0</v>
      </c>
      <c r="AD318" s="389">
        <v>0</v>
      </c>
      <c r="AE318" s="389">
        <v>0</v>
      </c>
      <c r="AF318" s="389">
        <v>0</v>
      </c>
      <c r="AG318" s="389">
        <v>0</v>
      </c>
      <c r="AH318" s="389">
        <v>0</v>
      </c>
      <c r="AI318" s="389">
        <v>0</v>
      </c>
      <c r="AJ318" s="389">
        <v>0</v>
      </c>
      <c r="AK318" s="389">
        <v>0</v>
      </c>
    </row>
    <row r="319" spans="1:37" s="377" customFormat="1">
      <c r="B319" s="377" t="s">
        <v>796</v>
      </c>
      <c r="C319" s="386">
        <f>DATE(90,1,1)</f>
        <v>32874</v>
      </c>
      <c r="D319" s="377">
        <v>6998.48</v>
      </c>
      <c r="F319" s="377">
        <f t="shared" si="151"/>
        <v>6998.481600000001</v>
      </c>
      <c r="G319" s="387"/>
      <c r="H319" s="377">
        <f t="shared" si="150"/>
        <v>6998.481600000001</v>
      </c>
      <c r="I319" s="388">
        <v>5</v>
      </c>
      <c r="J319" s="388">
        <v>7</v>
      </c>
      <c r="K319" s="389">
        <v>0</v>
      </c>
      <c r="L319" s="389">
        <v>0</v>
      </c>
      <c r="M319" s="389">
        <f>SUM($D319*$I319)/100/2</f>
        <v>174.96199999999996</v>
      </c>
      <c r="N319" s="389">
        <f t="shared" si="154"/>
        <v>489.89359999999999</v>
      </c>
      <c r="O319" s="389">
        <f t="shared" si="154"/>
        <v>489.89359999999999</v>
      </c>
      <c r="P319" s="389">
        <f t="shared" si="154"/>
        <v>489.89359999999999</v>
      </c>
      <c r="Q319" s="389">
        <f t="shared" si="154"/>
        <v>489.89359999999999</v>
      </c>
      <c r="R319" s="389">
        <f t="shared" si="154"/>
        <v>489.89359999999999</v>
      </c>
      <c r="S319" s="389">
        <f t="shared" si="154"/>
        <v>489.89359999999999</v>
      </c>
      <c r="T319" s="389">
        <f t="shared" si="154"/>
        <v>489.89359999999999</v>
      </c>
      <c r="U319" s="389">
        <f t="shared" si="154"/>
        <v>489.89359999999999</v>
      </c>
      <c r="V319" s="389">
        <f t="shared" si="154"/>
        <v>489.89359999999999</v>
      </c>
      <c r="W319" s="389">
        <f t="shared" si="154"/>
        <v>489.89359999999999</v>
      </c>
      <c r="X319" s="389">
        <v>489.89</v>
      </c>
      <c r="Y319" s="389">
        <v>489.89</v>
      </c>
      <c r="Z319" s="389">
        <f>SUM($D319*$J319)/100</f>
        <v>489.89359999999999</v>
      </c>
      <c r="AA319" s="389">
        <v>454.91</v>
      </c>
      <c r="AB319" s="389">
        <v>0</v>
      </c>
      <c r="AC319" s="389">
        <v>0</v>
      </c>
      <c r="AD319" s="389">
        <v>0</v>
      </c>
      <c r="AE319" s="389">
        <v>0</v>
      </c>
      <c r="AF319" s="389">
        <v>0</v>
      </c>
      <c r="AG319" s="389">
        <v>0</v>
      </c>
      <c r="AH319" s="389">
        <v>0</v>
      </c>
      <c r="AI319" s="389">
        <v>0</v>
      </c>
      <c r="AJ319" s="389">
        <v>0</v>
      </c>
      <c r="AK319" s="389">
        <v>0</v>
      </c>
    </row>
    <row r="320" spans="1:37" s="377" customFormat="1">
      <c r="B320" s="377" t="s">
        <v>796</v>
      </c>
      <c r="C320" s="386">
        <f>DATE(91,1,1)</f>
        <v>33239</v>
      </c>
      <c r="D320" s="377">
        <v>5012.3</v>
      </c>
      <c r="F320" s="377">
        <f t="shared" si="151"/>
        <v>5012.3019999999988</v>
      </c>
      <c r="H320" s="377">
        <f t="shared" si="150"/>
        <v>5012.3019999999988</v>
      </c>
      <c r="I320" s="388">
        <v>7</v>
      </c>
      <c r="J320" s="388"/>
      <c r="N320" s="389">
        <f t="shared" ref="N320:W320" si="155">SUM($D320*$I320)/100</f>
        <v>350.86099999999999</v>
      </c>
      <c r="O320" s="389">
        <f t="shared" si="155"/>
        <v>350.86099999999999</v>
      </c>
      <c r="P320" s="389">
        <f t="shared" si="155"/>
        <v>350.86099999999999</v>
      </c>
      <c r="Q320" s="389">
        <f t="shared" si="155"/>
        <v>350.86099999999999</v>
      </c>
      <c r="R320" s="389">
        <f t="shared" si="155"/>
        <v>350.86099999999999</v>
      </c>
      <c r="S320" s="389">
        <f t="shared" si="155"/>
        <v>350.86099999999999</v>
      </c>
      <c r="T320" s="389">
        <f t="shared" si="155"/>
        <v>350.86099999999999</v>
      </c>
      <c r="U320" s="389">
        <f t="shared" si="155"/>
        <v>350.86099999999999</v>
      </c>
      <c r="V320" s="389">
        <f t="shared" si="155"/>
        <v>350.86099999999999</v>
      </c>
      <c r="W320" s="389">
        <f t="shared" si="155"/>
        <v>350.86099999999999</v>
      </c>
      <c r="X320" s="389">
        <v>350.86</v>
      </c>
      <c r="Y320" s="389">
        <v>350.86</v>
      </c>
      <c r="Z320" s="389">
        <f>SUM($D320*$I320)/100</f>
        <v>350.86099999999999</v>
      </c>
      <c r="AA320" s="389">
        <f>SUM($D320*$I320)/100</f>
        <v>350.86099999999999</v>
      </c>
      <c r="AB320" s="389">
        <v>100.25</v>
      </c>
      <c r="AC320" s="389">
        <v>0</v>
      </c>
      <c r="AD320" s="389">
        <v>0</v>
      </c>
      <c r="AE320" s="389">
        <v>0</v>
      </c>
      <c r="AF320" s="389">
        <v>0</v>
      </c>
      <c r="AG320" s="389">
        <v>0</v>
      </c>
      <c r="AH320" s="389">
        <v>0</v>
      </c>
      <c r="AI320" s="389">
        <v>0</v>
      </c>
      <c r="AJ320" s="389">
        <v>0</v>
      </c>
      <c r="AK320" s="389">
        <v>0</v>
      </c>
    </row>
    <row r="321" spans="1:37" s="377" customFormat="1">
      <c r="B321" s="377" t="s">
        <v>798</v>
      </c>
      <c r="C321" s="386">
        <f>DATE(2000,2,1)</f>
        <v>36557</v>
      </c>
      <c r="D321" s="377">
        <v>18845.48</v>
      </c>
      <c r="E321" s="387"/>
      <c r="F321" s="387">
        <f>H321</f>
        <v>18845.475999999995</v>
      </c>
      <c r="H321" s="377">
        <f t="shared" si="150"/>
        <v>18845.475999999995</v>
      </c>
      <c r="I321" s="388">
        <v>2</v>
      </c>
      <c r="J321" s="404">
        <v>10</v>
      </c>
      <c r="L321" s="389">
        <v>0</v>
      </c>
      <c r="M321" s="389">
        <v>0</v>
      </c>
      <c r="N321" s="389">
        <v>0</v>
      </c>
      <c r="O321" s="389">
        <v>0</v>
      </c>
      <c r="P321" s="389">
        <v>0</v>
      </c>
      <c r="Q321" s="389">
        <v>0</v>
      </c>
      <c r="R321" s="389">
        <v>0</v>
      </c>
      <c r="S321" s="389">
        <v>0</v>
      </c>
      <c r="T321" s="389">
        <v>0</v>
      </c>
      <c r="U321" s="389">
        <v>0</v>
      </c>
      <c r="V321" s="389">
        <v>0</v>
      </c>
      <c r="W321" s="389">
        <f>SUM($D321*$J321)/100</f>
        <v>1884.5479999999998</v>
      </c>
      <c r="X321" s="389">
        <v>1884.55</v>
      </c>
      <c r="Y321" s="389">
        <v>1884.55</v>
      </c>
      <c r="Z321" s="389">
        <f t="shared" ref="Z321:AE321" si="156">SUM($D321*$J321)/100</f>
        <v>1884.5479999999998</v>
      </c>
      <c r="AA321" s="389">
        <f t="shared" si="156"/>
        <v>1884.5479999999998</v>
      </c>
      <c r="AB321" s="389">
        <f t="shared" si="156"/>
        <v>1884.5479999999998</v>
      </c>
      <c r="AC321" s="389">
        <f t="shared" si="156"/>
        <v>1884.5479999999998</v>
      </c>
      <c r="AD321" s="389">
        <f t="shared" si="156"/>
        <v>1884.5479999999998</v>
      </c>
      <c r="AE321" s="389">
        <f t="shared" si="156"/>
        <v>1884.5479999999998</v>
      </c>
      <c r="AF321" s="389">
        <v>1884.54</v>
      </c>
      <c r="AG321" s="389">
        <v>0</v>
      </c>
      <c r="AH321" s="389">
        <v>0</v>
      </c>
      <c r="AI321" s="389">
        <v>0</v>
      </c>
      <c r="AJ321" s="389">
        <v>0</v>
      </c>
      <c r="AK321" s="389">
        <v>0</v>
      </c>
    </row>
    <row r="322" spans="1:37" s="377" customFormat="1">
      <c r="B322" s="377" t="s">
        <v>797</v>
      </c>
      <c r="C322" s="386">
        <f>DATE(2004,6,1)</f>
        <v>38139</v>
      </c>
      <c r="D322" s="377">
        <v>29664.77</v>
      </c>
      <c r="F322" s="377">
        <f t="shared" ref="F322:F333" si="157">G322+H322</f>
        <v>18688.805100000005</v>
      </c>
      <c r="H322" s="377">
        <f t="shared" si="150"/>
        <v>18688.805100000005</v>
      </c>
      <c r="I322" s="377">
        <v>7</v>
      </c>
      <c r="J322" s="404">
        <v>0</v>
      </c>
      <c r="P322" s="389">
        <v>0</v>
      </c>
      <c r="Q322" s="389">
        <v>0</v>
      </c>
      <c r="R322" s="389">
        <v>0</v>
      </c>
      <c r="S322" s="389">
        <v>0</v>
      </c>
      <c r="T322" s="389">
        <v>0</v>
      </c>
      <c r="U322" s="389">
        <v>0</v>
      </c>
      <c r="V322" s="389">
        <v>0</v>
      </c>
      <c r="W322" s="389">
        <v>0</v>
      </c>
      <c r="X322" s="389">
        <v>0</v>
      </c>
      <c r="Y322" s="389">
        <v>0</v>
      </c>
      <c r="Z322" s="389">
        <v>0</v>
      </c>
      <c r="AA322" s="389">
        <f t="shared" ref="AA322:AK322" si="158">SUM($D322*$I322)/100</f>
        <v>2076.5339000000004</v>
      </c>
      <c r="AB322" s="389">
        <f t="shared" si="158"/>
        <v>2076.5339000000004</v>
      </c>
      <c r="AC322" s="389">
        <f t="shared" si="158"/>
        <v>2076.5339000000004</v>
      </c>
      <c r="AD322" s="389">
        <f t="shared" si="158"/>
        <v>2076.5339000000004</v>
      </c>
      <c r="AE322" s="389">
        <f t="shared" si="158"/>
        <v>2076.5339000000004</v>
      </c>
      <c r="AF322" s="389">
        <f t="shared" si="158"/>
        <v>2076.5339000000004</v>
      </c>
      <c r="AG322" s="389">
        <f t="shared" si="158"/>
        <v>2076.5339000000004</v>
      </c>
      <c r="AH322" s="389">
        <f t="shared" si="158"/>
        <v>2076.5339000000004</v>
      </c>
      <c r="AI322" s="389">
        <f t="shared" si="158"/>
        <v>2076.5339000000004</v>
      </c>
      <c r="AJ322" s="389">
        <f t="shared" si="158"/>
        <v>2076.5339000000004</v>
      </c>
      <c r="AK322" s="389">
        <f t="shared" si="158"/>
        <v>2076.5339000000004</v>
      </c>
    </row>
    <row r="323" spans="1:37" s="377" customFormat="1">
      <c r="B323" s="377" t="s">
        <v>796</v>
      </c>
      <c r="C323" s="386">
        <f>DATE(2005,1,1)</f>
        <v>38353</v>
      </c>
      <c r="D323" s="387">
        <v>61482.64</v>
      </c>
      <c r="E323" s="387"/>
      <c r="F323" s="377">
        <f t="shared" si="157"/>
        <v>34430.278400000003</v>
      </c>
      <c r="H323" s="377">
        <f t="shared" si="150"/>
        <v>34430.278400000003</v>
      </c>
      <c r="I323" s="388">
        <v>0</v>
      </c>
      <c r="J323" s="388">
        <v>7</v>
      </c>
      <c r="L323" s="389">
        <v>0</v>
      </c>
      <c r="M323" s="389"/>
      <c r="N323" s="389"/>
      <c r="O323" s="389"/>
      <c r="P323" s="389"/>
      <c r="AA323" s="389">
        <v>0</v>
      </c>
      <c r="AB323" s="389">
        <f t="shared" ref="AB323:AK323" si="159">SUM($D323*$J323)/100</f>
        <v>4303.7847999999994</v>
      </c>
      <c r="AC323" s="389">
        <f t="shared" si="159"/>
        <v>4303.7847999999994</v>
      </c>
      <c r="AD323" s="389">
        <f t="shared" si="159"/>
        <v>4303.7847999999994</v>
      </c>
      <c r="AE323" s="389">
        <f t="shared" si="159"/>
        <v>4303.7847999999994</v>
      </c>
      <c r="AF323" s="389">
        <f t="shared" si="159"/>
        <v>4303.7847999999994</v>
      </c>
      <c r="AG323" s="389">
        <f t="shared" si="159"/>
        <v>4303.7847999999994</v>
      </c>
      <c r="AH323" s="389">
        <f t="shared" si="159"/>
        <v>4303.7847999999994</v>
      </c>
      <c r="AI323" s="389">
        <f t="shared" si="159"/>
        <v>4303.7847999999994</v>
      </c>
      <c r="AJ323" s="389">
        <f t="shared" si="159"/>
        <v>4303.7847999999994</v>
      </c>
      <c r="AK323" s="389">
        <f t="shared" si="159"/>
        <v>4303.7847999999994</v>
      </c>
    </row>
    <row r="324" spans="1:37" s="377" customFormat="1">
      <c r="B324" s="377" t="s">
        <v>796</v>
      </c>
      <c r="C324" s="386">
        <f>DATE(2006,1,1)</f>
        <v>38718</v>
      </c>
      <c r="D324" s="387">
        <f>336607.96-252962.72</f>
        <v>83645.24000000002</v>
      </c>
      <c r="E324" s="387"/>
      <c r="F324" s="377">
        <f t="shared" si="157"/>
        <v>40986.167600000008</v>
      </c>
      <c r="H324" s="377">
        <f t="shared" si="150"/>
        <v>40986.167600000008</v>
      </c>
      <c r="I324" s="388">
        <v>0</v>
      </c>
      <c r="J324" s="388">
        <v>7</v>
      </c>
      <c r="L324" s="389">
        <v>0</v>
      </c>
      <c r="M324" s="389"/>
      <c r="N324" s="389"/>
      <c r="O324" s="389"/>
      <c r="P324" s="389"/>
      <c r="AA324" s="389">
        <v>0</v>
      </c>
      <c r="AB324" s="389">
        <v>0</v>
      </c>
      <c r="AC324" s="389">
        <f t="shared" ref="AC324:AK324" si="160">SUM($D324*$J324)/100</f>
        <v>5855.1668000000018</v>
      </c>
      <c r="AD324" s="389">
        <f t="shared" si="160"/>
        <v>5855.1668000000018</v>
      </c>
      <c r="AE324" s="389">
        <f t="shared" si="160"/>
        <v>5855.1668000000018</v>
      </c>
      <c r="AF324" s="389">
        <f t="shared" si="160"/>
        <v>5855.1668000000018</v>
      </c>
      <c r="AG324" s="389">
        <f t="shared" si="160"/>
        <v>5855.1668000000018</v>
      </c>
      <c r="AH324" s="389">
        <f t="shared" si="160"/>
        <v>5855.1668000000018</v>
      </c>
      <c r="AI324" s="389">
        <f t="shared" si="160"/>
        <v>5855.1668000000018</v>
      </c>
      <c r="AJ324" s="389">
        <f t="shared" si="160"/>
        <v>5855.1668000000018</v>
      </c>
      <c r="AK324" s="389">
        <f t="shared" si="160"/>
        <v>5855.1668000000018</v>
      </c>
    </row>
    <row r="325" spans="1:37" s="377" customFormat="1">
      <c r="B325" s="377" t="s">
        <v>796</v>
      </c>
      <c r="C325" s="386">
        <f>DATE(2007,1,1)</f>
        <v>39083</v>
      </c>
      <c r="D325" s="387">
        <v>93853.03</v>
      </c>
      <c r="E325" s="387"/>
      <c r="F325" s="377">
        <f t="shared" si="157"/>
        <v>39418.272599999997</v>
      </c>
      <c r="H325" s="377">
        <f t="shared" si="150"/>
        <v>39418.272599999997</v>
      </c>
      <c r="I325" s="388">
        <v>0</v>
      </c>
      <c r="J325" s="388">
        <v>7</v>
      </c>
      <c r="L325" s="389">
        <v>0</v>
      </c>
      <c r="M325" s="389"/>
      <c r="N325" s="389"/>
      <c r="O325" s="389"/>
      <c r="P325" s="389"/>
      <c r="AA325" s="389">
        <v>0</v>
      </c>
      <c r="AB325" s="389">
        <v>0</v>
      </c>
      <c r="AC325" s="389">
        <v>0</v>
      </c>
      <c r="AD325" s="389">
        <f t="shared" ref="AD325:AK325" si="161">SUM($D325*$J325)/100</f>
        <v>6569.7120999999997</v>
      </c>
      <c r="AE325" s="389">
        <f t="shared" si="161"/>
        <v>6569.7120999999997</v>
      </c>
      <c r="AF325" s="389">
        <f t="shared" si="161"/>
        <v>6569.7120999999997</v>
      </c>
      <c r="AG325" s="389">
        <f t="shared" si="161"/>
        <v>6569.7120999999997</v>
      </c>
      <c r="AH325" s="389">
        <f t="shared" si="161"/>
        <v>6569.7120999999997</v>
      </c>
      <c r="AI325" s="389">
        <f t="shared" si="161"/>
        <v>6569.7120999999997</v>
      </c>
      <c r="AJ325" s="389">
        <f t="shared" si="161"/>
        <v>6569.7120999999997</v>
      </c>
      <c r="AK325" s="389">
        <f t="shared" si="161"/>
        <v>6569.7120999999997</v>
      </c>
    </row>
    <row r="326" spans="1:37" s="377" customFormat="1">
      <c r="B326" s="377" t="s">
        <v>796</v>
      </c>
      <c r="C326" s="386">
        <f>DATE(2008,1,1)</f>
        <v>39448</v>
      </c>
      <c r="D326" s="387">
        <v>17138.099999999999</v>
      </c>
      <c r="E326" s="387"/>
      <c r="F326" s="377">
        <f t="shared" si="157"/>
        <v>5998.3349999999991</v>
      </c>
      <c r="H326" s="377">
        <f t="shared" si="150"/>
        <v>5998.3349999999991</v>
      </c>
      <c r="I326" s="388">
        <v>0</v>
      </c>
      <c r="J326" s="388">
        <v>7</v>
      </c>
      <c r="L326" s="389">
        <v>0</v>
      </c>
      <c r="M326" s="389"/>
      <c r="N326" s="389"/>
      <c r="O326" s="389"/>
      <c r="P326" s="389"/>
      <c r="AA326" s="389">
        <v>0</v>
      </c>
      <c r="AB326" s="389">
        <v>0</v>
      </c>
      <c r="AC326" s="389">
        <v>0</v>
      </c>
      <c r="AD326" s="389">
        <v>0</v>
      </c>
      <c r="AE326" s="389">
        <f t="shared" ref="AE326:AK326" si="162">SUM($D326*$J326)/100</f>
        <v>1199.6669999999999</v>
      </c>
      <c r="AF326" s="389">
        <f t="shared" si="162"/>
        <v>1199.6669999999999</v>
      </c>
      <c r="AG326" s="389">
        <f t="shared" si="162"/>
        <v>1199.6669999999999</v>
      </c>
      <c r="AH326" s="389">
        <f t="shared" si="162"/>
        <v>1199.6669999999999</v>
      </c>
      <c r="AI326" s="389">
        <f t="shared" si="162"/>
        <v>1199.6669999999999</v>
      </c>
      <c r="AJ326" s="389">
        <f t="shared" si="162"/>
        <v>1199.6669999999999</v>
      </c>
      <c r="AK326" s="389">
        <f t="shared" si="162"/>
        <v>1199.6669999999999</v>
      </c>
    </row>
    <row r="327" spans="1:37" s="377" customFormat="1">
      <c r="B327" s="377" t="s">
        <v>796</v>
      </c>
      <c r="C327" s="386">
        <f>DATE(2009,1,1)</f>
        <v>39814</v>
      </c>
      <c r="D327" s="387">
        <v>84781.11</v>
      </c>
      <c r="E327" s="387"/>
      <c r="F327" s="377">
        <f t="shared" si="157"/>
        <v>23738.710800000001</v>
      </c>
      <c r="H327" s="377">
        <f t="shared" si="150"/>
        <v>23738.710800000001</v>
      </c>
      <c r="I327" s="388">
        <v>0</v>
      </c>
      <c r="J327" s="388">
        <v>7</v>
      </c>
      <c r="L327" s="389">
        <v>0</v>
      </c>
      <c r="M327" s="389"/>
      <c r="N327" s="389"/>
      <c r="O327" s="389"/>
      <c r="P327" s="389"/>
      <c r="AA327" s="389">
        <v>0</v>
      </c>
      <c r="AB327" s="389">
        <v>0</v>
      </c>
      <c r="AC327" s="389">
        <v>0</v>
      </c>
      <c r="AD327" s="389">
        <v>0</v>
      </c>
      <c r="AE327" s="389">
        <v>0</v>
      </c>
      <c r="AF327" s="389">
        <f t="shared" ref="AF327:AK327" si="163">SUM($D327*$J327)/100</f>
        <v>5934.6777000000002</v>
      </c>
      <c r="AG327" s="389">
        <f t="shared" si="163"/>
        <v>5934.6777000000002</v>
      </c>
      <c r="AH327" s="389">
        <f t="shared" si="163"/>
        <v>5934.6777000000002</v>
      </c>
      <c r="AI327" s="389">
        <f t="shared" si="163"/>
        <v>5934.6777000000002</v>
      </c>
      <c r="AJ327" s="389">
        <f t="shared" si="163"/>
        <v>5934.6777000000002</v>
      </c>
      <c r="AK327" s="389">
        <f t="shared" si="163"/>
        <v>5934.6777000000002</v>
      </c>
    </row>
    <row r="328" spans="1:37" s="377" customFormat="1">
      <c r="B328" s="377" t="s">
        <v>796</v>
      </c>
      <c r="C328" s="386">
        <f>DATE(2011,1,1)</f>
        <v>40544</v>
      </c>
      <c r="D328" s="387">
        <v>9693.7999999999993</v>
      </c>
      <c r="E328" s="387"/>
      <c r="F328" s="377">
        <f t="shared" si="157"/>
        <v>1357.1319999999998</v>
      </c>
      <c r="H328" s="377">
        <f t="shared" si="150"/>
        <v>1357.1319999999998</v>
      </c>
      <c r="I328" s="388"/>
      <c r="J328" s="388">
        <v>7</v>
      </c>
      <c r="L328" s="389"/>
      <c r="M328" s="389"/>
      <c r="N328" s="389"/>
      <c r="O328" s="389"/>
      <c r="P328" s="389"/>
      <c r="AA328" s="389"/>
      <c r="AB328" s="389"/>
      <c r="AC328" s="389"/>
      <c r="AD328" s="389"/>
      <c r="AE328" s="389"/>
      <c r="AF328" s="389">
        <v>0</v>
      </c>
      <c r="AG328" s="389"/>
      <c r="AH328" s="389">
        <f>SUM($D328*$J328)/100</f>
        <v>678.56599999999992</v>
      </c>
      <c r="AI328" s="389">
        <f>SUM($D328*$J328)/100</f>
        <v>678.56599999999992</v>
      </c>
      <c r="AJ328" s="389">
        <f>SUM($D328*$J328)/100</f>
        <v>678.56599999999992</v>
      </c>
      <c r="AK328" s="389">
        <f>SUM($D328*$J328)/100</f>
        <v>678.56599999999992</v>
      </c>
    </row>
    <row r="329" spans="1:37" s="377" customFormat="1">
      <c r="B329" s="377" t="s">
        <v>796</v>
      </c>
      <c r="C329" s="386">
        <f>DATE(2012,1,1)</f>
        <v>40909</v>
      </c>
      <c r="D329" s="387">
        <v>43602.26</v>
      </c>
      <c r="E329" s="387"/>
      <c r="F329" s="377">
        <f t="shared" si="157"/>
        <v>3052.1581999999999</v>
      </c>
      <c r="H329" s="377">
        <f t="shared" si="150"/>
        <v>3052.1581999999999</v>
      </c>
      <c r="I329" s="388"/>
      <c r="J329" s="388">
        <v>7</v>
      </c>
      <c r="L329" s="389"/>
      <c r="M329" s="389"/>
      <c r="N329" s="389"/>
      <c r="O329" s="389"/>
      <c r="P329" s="389"/>
      <c r="AA329" s="389"/>
      <c r="AB329" s="389"/>
      <c r="AC329" s="389"/>
      <c r="AD329" s="389"/>
      <c r="AE329" s="389"/>
      <c r="AF329" s="389">
        <v>0</v>
      </c>
      <c r="AG329" s="389"/>
      <c r="AH329" s="389">
        <v>0</v>
      </c>
      <c r="AI329" s="389">
        <f>SUM($D329*$J329)/100</f>
        <v>3052.1581999999999</v>
      </c>
      <c r="AJ329" s="389">
        <f>SUM($D329*$J329)/100</f>
        <v>3052.1581999999999</v>
      </c>
      <c r="AK329" s="389">
        <f>SUM($D329*$J329)/100</f>
        <v>3052.1581999999999</v>
      </c>
    </row>
    <row r="330" spans="1:37" s="377" customFormat="1">
      <c r="B330" s="390" t="s">
        <v>796</v>
      </c>
      <c r="C330" s="391">
        <f>DATE(2013,1,1)</f>
        <v>41275</v>
      </c>
      <c r="D330" s="392">
        <v>55145.94</v>
      </c>
      <c r="E330" s="392"/>
      <c r="F330" s="390">
        <f t="shared" si="157"/>
        <v>0</v>
      </c>
      <c r="G330" s="390"/>
      <c r="H330" s="390">
        <f t="shared" si="150"/>
        <v>0</v>
      </c>
      <c r="I330" s="393"/>
      <c r="J330" s="393">
        <v>7</v>
      </c>
      <c r="K330" s="390"/>
      <c r="L330" s="394"/>
      <c r="M330" s="394"/>
      <c r="N330" s="394"/>
      <c r="O330" s="394"/>
      <c r="P330" s="394"/>
      <c r="Q330" s="390"/>
      <c r="R330" s="390"/>
      <c r="S330" s="390"/>
      <c r="T330" s="390"/>
      <c r="U330" s="390"/>
      <c r="V330" s="390"/>
      <c r="W330" s="390"/>
      <c r="X330" s="390"/>
      <c r="Y330" s="390"/>
      <c r="Z330" s="390"/>
      <c r="AA330" s="394"/>
      <c r="AB330" s="394"/>
      <c r="AC330" s="394"/>
      <c r="AD330" s="394"/>
      <c r="AE330" s="394"/>
      <c r="AF330" s="394">
        <v>0</v>
      </c>
      <c r="AG330" s="394"/>
      <c r="AH330" s="394">
        <v>0</v>
      </c>
      <c r="AI330" s="394">
        <v>0</v>
      </c>
      <c r="AJ330" s="394">
        <f>SUM($D330*$J330)/100</f>
        <v>3860.2157999999999</v>
      </c>
      <c r="AK330" s="394">
        <f>SUM($D330*$J330)/100</f>
        <v>3860.2157999999999</v>
      </c>
    </row>
    <row r="331" spans="1:37" s="377" customFormat="1">
      <c r="B331" s="377" t="s">
        <v>796</v>
      </c>
      <c r="C331" s="386">
        <f>DATE(92,1,1)</f>
        <v>33604</v>
      </c>
      <c r="D331" s="377">
        <v>2526.0100000000002</v>
      </c>
      <c r="F331" s="377">
        <f t="shared" si="157"/>
        <v>2526.0075999999999</v>
      </c>
      <c r="H331" s="377">
        <f t="shared" si="150"/>
        <v>2526.0075999999999</v>
      </c>
      <c r="I331" s="388">
        <v>7</v>
      </c>
      <c r="J331" s="404">
        <v>10</v>
      </c>
      <c r="O331" s="389">
        <f t="shared" ref="O331:V331" si="164">SUM($D331*$I331)/100</f>
        <v>176.82069999999999</v>
      </c>
      <c r="P331" s="389">
        <f t="shared" si="164"/>
        <v>176.82069999999999</v>
      </c>
      <c r="Q331" s="389">
        <f t="shared" si="164"/>
        <v>176.82069999999999</v>
      </c>
      <c r="R331" s="389">
        <f t="shared" si="164"/>
        <v>176.82069999999999</v>
      </c>
      <c r="S331" s="389">
        <f t="shared" si="164"/>
        <v>176.82069999999999</v>
      </c>
      <c r="T331" s="389">
        <f t="shared" si="164"/>
        <v>176.82069999999999</v>
      </c>
      <c r="U331" s="389">
        <f t="shared" si="164"/>
        <v>176.82069999999999</v>
      </c>
      <c r="V331" s="389">
        <f t="shared" si="164"/>
        <v>176.82069999999999</v>
      </c>
      <c r="W331" s="389">
        <f>SUM($D331*$J331)/100</f>
        <v>252.60100000000003</v>
      </c>
      <c r="X331" s="389">
        <v>252.6</v>
      </c>
      <c r="Y331" s="389">
        <v>252.6</v>
      </c>
      <c r="Z331" s="389">
        <f>SUM($D331*$J331)/100</f>
        <v>252.60100000000003</v>
      </c>
      <c r="AA331" s="389">
        <v>101.04</v>
      </c>
      <c r="AB331" s="389">
        <v>0</v>
      </c>
      <c r="AC331" s="389">
        <v>0</v>
      </c>
      <c r="AD331" s="389">
        <v>0</v>
      </c>
      <c r="AE331" s="389">
        <v>0</v>
      </c>
      <c r="AF331" s="389">
        <v>0</v>
      </c>
      <c r="AG331" s="389">
        <v>0</v>
      </c>
      <c r="AH331" s="389">
        <v>0</v>
      </c>
      <c r="AI331" s="389">
        <v>0</v>
      </c>
      <c r="AJ331" s="389">
        <v>0</v>
      </c>
      <c r="AK331" s="389">
        <v>0</v>
      </c>
    </row>
    <row r="332" spans="1:37" s="377" customFormat="1">
      <c r="B332" s="377" t="s">
        <v>796</v>
      </c>
      <c r="C332" s="386">
        <f>DATE(93,1,1)</f>
        <v>33970</v>
      </c>
      <c r="D332" s="377">
        <v>1776.78</v>
      </c>
      <c r="F332" s="377">
        <f t="shared" si="157"/>
        <v>1776.7762</v>
      </c>
      <c r="H332" s="377">
        <f t="shared" si="150"/>
        <v>1776.7762</v>
      </c>
      <c r="I332" s="377">
        <v>7</v>
      </c>
      <c r="J332" s="404">
        <v>10</v>
      </c>
      <c r="P332" s="389">
        <f t="shared" ref="P332:V332" si="165">SUM($D332*$I332)/100</f>
        <v>124.37459999999999</v>
      </c>
      <c r="Q332" s="389">
        <f t="shared" si="165"/>
        <v>124.37459999999999</v>
      </c>
      <c r="R332" s="389">
        <f t="shared" si="165"/>
        <v>124.37459999999999</v>
      </c>
      <c r="S332" s="389">
        <f t="shared" si="165"/>
        <v>124.37459999999999</v>
      </c>
      <c r="T332" s="389">
        <f t="shared" si="165"/>
        <v>124.37459999999999</v>
      </c>
      <c r="U332" s="389">
        <f t="shared" si="165"/>
        <v>124.37459999999999</v>
      </c>
      <c r="V332" s="389">
        <f t="shared" si="165"/>
        <v>124.37459999999999</v>
      </c>
      <c r="W332" s="389">
        <f>SUM($D332*$J332)/100</f>
        <v>177.678</v>
      </c>
      <c r="X332" s="389">
        <v>177.68</v>
      </c>
      <c r="Y332" s="389">
        <v>177.68</v>
      </c>
      <c r="Z332" s="389">
        <f>SUM($D332*$J332)/100</f>
        <v>177.678</v>
      </c>
      <c r="AA332" s="389">
        <f>SUM($D332*$J332)/100</f>
        <v>177.678</v>
      </c>
      <c r="AB332" s="389">
        <v>17.760000000000002</v>
      </c>
      <c r="AC332" s="389">
        <v>0</v>
      </c>
      <c r="AD332" s="389">
        <v>0</v>
      </c>
      <c r="AE332" s="389">
        <v>0</v>
      </c>
      <c r="AF332" s="389">
        <v>0</v>
      </c>
      <c r="AG332" s="389">
        <v>0</v>
      </c>
      <c r="AH332" s="389">
        <v>0</v>
      </c>
      <c r="AI332" s="389">
        <v>0</v>
      </c>
      <c r="AJ332" s="389">
        <v>0</v>
      </c>
      <c r="AK332" s="389">
        <v>0</v>
      </c>
    </row>
    <row r="333" spans="1:37" s="377" customFormat="1">
      <c r="B333" s="377" t="s">
        <v>796</v>
      </c>
      <c r="C333" s="378">
        <f>DATE(94,1,1)</f>
        <v>34335</v>
      </c>
      <c r="D333" s="379">
        <v>835.64</v>
      </c>
      <c r="E333" s="379"/>
      <c r="F333" s="379">
        <f t="shared" si="157"/>
        <v>835.6407999999999</v>
      </c>
      <c r="G333" s="379"/>
      <c r="H333" s="377">
        <f t="shared" si="150"/>
        <v>835.6407999999999</v>
      </c>
      <c r="I333" s="379">
        <v>7</v>
      </c>
      <c r="J333" s="406">
        <v>10</v>
      </c>
      <c r="K333" s="379"/>
      <c r="L333" s="379"/>
      <c r="M333" s="379"/>
      <c r="N333" s="379"/>
      <c r="O333" s="379"/>
      <c r="P333" s="382">
        <v>0</v>
      </c>
      <c r="Q333" s="382">
        <f>SUM($D333*$I333)/100</f>
        <v>58.494799999999998</v>
      </c>
      <c r="R333" s="382">
        <f>SUM($D333*$I333)/100-0.05</f>
        <v>58.444800000000001</v>
      </c>
      <c r="S333" s="382">
        <f>SUM($D333*$I333)/100-0.06</f>
        <v>58.434799999999996</v>
      </c>
      <c r="T333" s="382">
        <f>SUM($D333*$I333)/100-0.05</f>
        <v>58.444800000000001</v>
      </c>
      <c r="U333" s="382">
        <f>SUM($D333*$I333)/100-0.05</f>
        <v>58.444800000000001</v>
      </c>
      <c r="V333" s="382">
        <f>SUM($D333*$I333)/100-0.05</f>
        <v>58.444800000000001</v>
      </c>
      <c r="W333" s="382">
        <f>SUM($D333*$J333)/100</f>
        <v>83.563999999999993</v>
      </c>
      <c r="X333" s="382">
        <v>83.56</v>
      </c>
      <c r="Y333" s="382">
        <f>83.56+0.04</f>
        <v>83.600000000000009</v>
      </c>
      <c r="Z333" s="382">
        <f>SUM($D333*$J333)/100</f>
        <v>83.563999999999993</v>
      </c>
      <c r="AA333" s="382">
        <f>SUM($D333*$J333)/100</f>
        <v>83.563999999999993</v>
      </c>
      <c r="AB333" s="382">
        <v>67.09</v>
      </c>
      <c r="AC333" s="382">
        <v>0</v>
      </c>
      <c r="AD333" s="382">
        <v>0</v>
      </c>
      <c r="AE333" s="382">
        <v>0</v>
      </c>
      <c r="AF333" s="382">
        <v>-0.01</v>
      </c>
      <c r="AG333" s="382">
        <v>0</v>
      </c>
      <c r="AH333" s="382">
        <v>0</v>
      </c>
      <c r="AI333" s="382">
        <v>0</v>
      </c>
      <c r="AJ333" s="382">
        <v>0</v>
      </c>
      <c r="AK333" s="382">
        <v>0</v>
      </c>
    </row>
    <row r="334" spans="1:37" s="377" customFormat="1">
      <c r="D334" s="377">
        <f>SUM(D314:D333)</f>
        <v>640822.20000000007</v>
      </c>
      <c r="E334" s="387">
        <f>F334+AJ334</f>
        <v>363015.63870000013</v>
      </c>
      <c r="F334" s="377">
        <f>SUM(F314:F333)</f>
        <v>329485.15640000009</v>
      </c>
      <c r="G334" s="377">
        <f>SUM(G314:G333)</f>
        <v>68939.67</v>
      </c>
      <c r="H334" s="377">
        <f t="shared" si="150"/>
        <v>288040.03640000004</v>
      </c>
      <c r="I334" s="388"/>
      <c r="J334" s="388"/>
      <c r="K334" s="377">
        <f t="shared" ref="K334:AK334" si="166">SUM(K314:K333)</f>
        <v>3087.355</v>
      </c>
      <c r="L334" s="377">
        <f t="shared" si="166"/>
        <v>3249.7395000000001</v>
      </c>
      <c r="M334" s="377">
        <f t="shared" si="166"/>
        <v>3587.0859999999998</v>
      </c>
      <c r="N334" s="377">
        <f t="shared" si="166"/>
        <v>10442.404500000002</v>
      </c>
      <c r="O334" s="377">
        <f t="shared" si="166"/>
        <v>10619.225200000003</v>
      </c>
      <c r="P334" s="377">
        <f t="shared" si="166"/>
        <v>10743.599800000002</v>
      </c>
      <c r="Q334" s="377">
        <f t="shared" si="166"/>
        <v>9478.3996000000006</v>
      </c>
      <c r="R334" s="377">
        <f t="shared" si="166"/>
        <v>8154.6896000000015</v>
      </c>
      <c r="S334" s="377">
        <f t="shared" si="166"/>
        <v>8154.6796000000013</v>
      </c>
      <c r="T334" s="377">
        <f t="shared" si="166"/>
        <v>8154.6896000000015</v>
      </c>
      <c r="U334" s="377">
        <f t="shared" si="166"/>
        <v>8154.6896000000015</v>
      </c>
      <c r="V334" s="377">
        <f t="shared" si="166"/>
        <v>7734.4513000000006</v>
      </c>
      <c r="W334" s="377">
        <f t="shared" si="166"/>
        <v>4309.8222000000005</v>
      </c>
      <c r="X334" s="377">
        <f t="shared" si="166"/>
        <v>4309.8200000000006</v>
      </c>
      <c r="Y334" s="377">
        <f t="shared" si="166"/>
        <v>3737.8599999999992</v>
      </c>
      <c r="Z334" s="377">
        <f t="shared" si="166"/>
        <v>3693.8221999999996</v>
      </c>
      <c r="AA334" s="377">
        <f t="shared" si="166"/>
        <v>5226.5549000000001</v>
      </c>
      <c r="AB334" s="377">
        <f t="shared" si="166"/>
        <v>8449.966699999999</v>
      </c>
      <c r="AC334" s="377">
        <f t="shared" si="166"/>
        <v>14120.033500000001</v>
      </c>
      <c r="AD334" s="377">
        <f t="shared" si="166"/>
        <v>20689.745600000002</v>
      </c>
      <c r="AE334" s="377">
        <f t="shared" si="166"/>
        <v>21889.412600000003</v>
      </c>
      <c r="AF334" s="377">
        <f t="shared" si="166"/>
        <v>27824.072300000007</v>
      </c>
      <c r="AG334" s="377">
        <f t="shared" si="166"/>
        <v>25939.542300000005</v>
      </c>
      <c r="AH334" s="377">
        <f t="shared" si="166"/>
        <v>26618.108300000004</v>
      </c>
      <c r="AI334" s="377">
        <f t="shared" si="166"/>
        <v>29670.266500000005</v>
      </c>
      <c r="AJ334" s="377">
        <f t="shared" si="166"/>
        <v>33530.482300000003</v>
      </c>
      <c r="AK334" s="377">
        <f t="shared" si="166"/>
        <v>33530.482300000003</v>
      </c>
    </row>
    <row r="335" spans="1:37" s="377" customFormat="1">
      <c r="I335" s="388"/>
      <c r="J335" s="388"/>
    </row>
    <row r="336" spans="1:37" s="377" customFormat="1">
      <c r="A336" s="409" t="s">
        <v>795</v>
      </c>
      <c r="B336" s="409"/>
      <c r="D336" s="387"/>
      <c r="E336" s="387"/>
      <c r="G336" s="387"/>
      <c r="I336" s="388"/>
      <c r="J336" s="388"/>
      <c r="K336" s="389"/>
      <c r="L336" s="389"/>
      <c r="M336" s="389"/>
      <c r="N336" s="389"/>
      <c r="O336" s="389"/>
      <c r="P336" s="389"/>
    </row>
    <row r="337" spans="1:37" s="377" customFormat="1">
      <c r="A337" s="409" t="s">
        <v>794</v>
      </c>
      <c r="B337" s="409"/>
      <c r="D337" s="387"/>
      <c r="E337" s="387"/>
      <c r="G337" s="387"/>
      <c r="I337" s="388"/>
      <c r="J337" s="388"/>
      <c r="K337" s="389"/>
      <c r="L337" s="389"/>
      <c r="M337" s="389"/>
      <c r="N337" s="389"/>
      <c r="O337" s="389"/>
      <c r="P337" s="389"/>
    </row>
    <row r="338" spans="1:37" s="377" customFormat="1">
      <c r="B338" s="403" t="s">
        <v>793</v>
      </c>
      <c r="C338" s="386">
        <f>DATE(2009,7,1)</f>
        <v>39995</v>
      </c>
      <c r="D338" s="387">
        <v>676120.74</v>
      </c>
      <c r="E338" s="387"/>
      <c r="F338" s="377">
        <f>G338+H338</f>
        <v>81134.466599999985</v>
      </c>
      <c r="G338" s="387"/>
      <c r="H338" s="377">
        <f>SUM(K338:AI338)</f>
        <v>81134.466599999985</v>
      </c>
      <c r="I338" s="388"/>
      <c r="J338" s="388">
        <v>3</v>
      </c>
      <c r="K338" s="389">
        <v>0</v>
      </c>
      <c r="L338" s="389">
        <v>0</v>
      </c>
      <c r="M338" s="389">
        <v>0</v>
      </c>
      <c r="N338" s="389">
        <v>0</v>
      </c>
      <c r="O338" s="389"/>
      <c r="P338" s="389"/>
      <c r="AF338" s="389">
        <f>SUM($D338*$J338)/100</f>
        <v>20283.622199999998</v>
      </c>
      <c r="AG338" s="389">
        <f>SUM($D338*$J338)/100</f>
        <v>20283.622199999998</v>
      </c>
      <c r="AH338" s="389">
        <f>SUM($D338*$J338)/100</f>
        <v>20283.622199999998</v>
      </c>
      <c r="AI338" s="389">
        <v>20283.599999999999</v>
      </c>
      <c r="AJ338" s="389">
        <v>20283.599999999999</v>
      </c>
      <c r="AK338" s="389">
        <v>20283.599999999999</v>
      </c>
    </row>
    <row r="339" spans="1:37" s="377" customFormat="1">
      <c r="D339" s="387">
        <f>SUM(D338:D338)</f>
        <v>676120.74</v>
      </c>
      <c r="E339" s="387">
        <f>F339+AJ339</f>
        <v>101418.06659999999</v>
      </c>
      <c r="F339" s="387">
        <f>SUM(F338:F338)</f>
        <v>81134.466599999985</v>
      </c>
      <c r="G339" s="387">
        <f>SUM(G338:G338)</f>
        <v>0</v>
      </c>
      <c r="H339" s="377">
        <f>SUM(K339:AI339)</f>
        <v>81134.466599999985</v>
      </c>
      <c r="I339" s="388">
        <f t="shared" ref="I339:U339" si="167">SUM(I338:I338)</f>
        <v>0</v>
      </c>
      <c r="J339" s="388">
        <f t="shared" si="167"/>
        <v>3</v>
      </c>
      <c r="K339" s="387">
        <f t="shared" si="167"/>
        <v>0</v>
      </c>
      <c r="L339" s="387">
        <f t="shared" si="167"/>
        <v>0</v>
      </c>
      <c r="M339" s="387">
        <f t="shared" si="167"/>
        <v>0</v>
      </c>
      <c r="N339" s="387">
        <f t="shared" si="167"/>
        <v>0</v>
      </c>
      <c r="O339" s="387">
        <f t="shared" si="167"/>
        <v>0</v>
      </c>
      <c r="P339" s="387">
        <f t="shared" si="167"/>
        <v>0</v>
      </c>
      <c r="Q339" s="387">
        <f t="shared" si="167"/>
        <v>0</v>
      </c>
      <c r="R339" s="387">
        <f t="shared" si="167"/>
        <v>0</v>
      </c>
      <c r="S339" s="387">
        <f t="shared" si="167"/>
        <v>0</v>
      </c>
      <c r="T339" s="387">
        <f t="shared" si="167"/>
        <v>0</v>
      </c>
      <c r="U339" s="387">
        <f t="shared" si="167"/>
        <v>0</v>
      </c>
      <c r="AF339" s="389">
        <f t="shared" ref="AF339:AK339" si="168">SUM(AF338:AF338)</f>
        <v>20283.622199999998</v>
      </c>
      <c r="AG339" s="389">
        <f t="shared" si="168"/>
        <v>20283.622199999998</v>
      </c>
      <c r="AH339" s="389">
        <f t="shared" si="168"/>
        <v>20283.622199999998</v>
      </c>
      <c r="AI339" s="389">
        <f t="shared" si="168"/>
        <v>20283.599999999999</v>
      </c>
      <c r="AJ339" s="389">
        <f t="shared" si="168"/>
        <v>20283.599999999999</v>
      </c>
      <c r="AK339" s="389">
        <f t="shared" si="168"/>
        <v>20283.599999999999</v>
      </c>
    </row>
    <row r="340" spans="1:37" s="377" customFormat="1">
      <c r="I340" s="388"/>
      <c r="J340" s="388"/>
      <c r="AF340" s="389"/>
      <c r="AG340" s="389"/>
    </row>
    <row r="341" spans="1:37" s="377" customFormat="1" ht="12" customHeight="1">
      <c r="A341" s="410" t="s">
        <v>792</v>
      </c>
      <c r="B341" s="410"/>
      <c r="C341" s="386"/>
      <c r="D341" s="387"/>
      <c r="E341" s="387"/>
      <c r="G341" s="387"/>
      <c r="I341" s="388"/>
      <c r="J341" s="388"/>
      <c r="K341" s="389"/>
      <c r="L341" s="389"/>
      <c r="M341" s="389"/>
      <c r="N341" s="389"/>
      <c r="O341" s="389"/>
      <c r="P341" s="389"/>
      <c r="AF341" s="389"/>
      <c r="AG341" s="389"/>
    </row>
    <row r="342" spans="1:37" s="377" customFormat="1">
      <c r="B342" s="377" t="s">
        <v>791</v>
      </c>
      <c r="C342" s="386">
        <f>DATE(59,1,1)</f>
        <v>21551</v>
      </c>
      <c r="D342" s="387">
        <v>17664.48</v>
      </c>
      <c r="E342" s="387"/>
      <c r="F342" s="377">
        <f t="shared" ref="F342:F360" si="169">G342+H342</f>
        <v>17664.48</v>
      </c>
      <c r="G342" s="387">
        <v>17664.48</v>
      </c>
      <c r="H342" s="377">
        <f t="shared" ref="H342:H373" si="170">SUM(K342:AI342)</f>
        <v>0</v>
      </c>
      <c r="I342" s="388">
        <v>4</v>
      </c>
      <c r="J342" s="388"/>
      <c r="K342" s="389">
        <v>0</v>
      </c>
      <c r="L342" s="389">
        <v>0</v>
      </c>
      <c r="M342" s="389">
        <v>0</v>
      </c>
      <c r="N342" s="389">
        <v>0</v>
      </c>
      <c r="O342" s="389">
        <v>0</v>
      </c>
      <c r="P342" s="389">
        <v>0</v>
      </c>
      <c r="Q342" s="389">
        <v>0</v>
      </c>
      <c r="R342" s="389">
        <v>0</v>
      </c>
      <c r="S342" s="389">
        <v>0</v>
      </c>
      <c r="T342" s="389">
        <v>0</v>
      </c>
      <c r="U342" s="389">
        <v>0</v>
      </c>
      <c r="V342" s="389">
        <v>0</v>
      </c>
      <c r="W342" s="389">
        <v>0</v>
      </c>
      <c r="X342" s="389">
        <v>0</v>
      </c>
      <c r="Y342" s="389">
        <v>0</v>
      </c>
      <c r="Z342" s="389">
        <v>0</v>
      </c>
      <c r="AA342" s="389">
        <v>0</v>
      </c>
      <c r="AB342" s="389">
        <v>0</v>
      </c>
      <c r="AC342" s="389">
        <v>0</v>
      </c>
      <c r="AD342" s="389">
        <v>0</v>
      </c>
      <c r="AE342" s="389">
        <v>0</v>
      </c>
      <c r="AF342" s="389">
        <v>0</v>
      </c>
      <c r="AG342" s="389">
        <v>0</v>
      </c>
      <c r="AH342" s="389">
        <v>0</v>
      </c>
      <c r="AI342" s="389">
        <v>0</v>
      </c>
      <c r="AJ342" s="389">
        <v>0</v>
      </c>
      <c r="AK342" s="389">
        <v>0</v>
      </c>
    </row>
    <row r="343" spans="1:37" s="377" customFormat="1">
      <c r="B343" s="377" t="s">
        <v>790</v>
      </c>
      <c r="D343" s="387">
        <v>118424.2</v>
      </c>
      <c r="E343" s="387"/>
      <c r="F343" s="377">
        <f t="shared" si="169"/>
        <v>118424.2</v>
      </c>
      <c r="G343" s="387">
        <v>118424.2</v>
      </c>
      <c r="H343" s="377">
        <f t="shared" si="170"/>
        <v>0</v>
      </c>
      <c r="I343" s="388">
        <v>4</v>
      </c>
      <c r="J343" s="388"/>
      <c r="K343" s="389">
        <v>0</v>
      </c>
      <c r="L343" s="389">
        <v>0</v>
      </c>
      <c r="M343" s="389">
        <v>0</v>
      </c>
      <c r="N343" s="389">
        <v>0</v>
      </c>
      <c r="O343" s="389">
        <v>0</v>
      </c>
      <c r="P343" s="389">
        <v>0</v>
      </c>
      <c r="Q343" s="389">
        <v>0</v>
      </c>
      <c r="R343" s="389">
        <v>0</v>
      </c>
      <c r="S343" s="389">
        <v>0</v>
      </c>
      <c r="T343" s="389">
        <v>0</v>
      </c>
      <c r="U343" s="389">
        <v>0</v>
      </c>
      <c r="V343" s="389">
        <v>0</v>
      </c>
      <c r="W343" s="389">
        <v>0</v>
      </c>
      <c r="X343" s="389">
        <v>0</v>
      </c>
      <c r="Y343" s="389">
        <v>0</v>
      </c>
      <c r="Z343" s="389">
        <v>0</v>
      </c>
      <c r="AA343" s="389">
        <v>0</v>
      </c>
      <c r="AB343" s="389">
        <v>0</v>
      </c>
      <c r="AC343" s="389">
        <v>0</v>
      </c>
      <c r="AD343" s="389">
        <v>0</v>
      </c>
      <c r="AE343" s="389">
        <v>0</v>
      </c>
      <c r="AF343" s="389">
        <v>0</v>
      </c>
      <c r="AG343" s="389">
        <v>0</v>
      </c>
      <c r="AH343" s="389">
        <v>0</v>
      </c>
      <c r="AI343" s="389">
        <v>0</v>
      </c>
      <c r="AJ343" s="389">
        <v>0</v>
      </c>
      <c r="AK343" s="389">
        <v>0</v>
      </c>
    </row>
    <row r="344" spans="1:37" s="377" customFormat="1">
      <c r="B344" s="377" t="s">
        <v>789</v>
      </c>
      <c r="D344" s="387">
        <v>37636.31</v>
      </c>
      <c r="E344" s="387"/>
      <c r="F344" s="377">
        <f t="shared" si="169"/>
        <v>37636.31</v>
      </c>
      <c r="G344" s="387">
        <v>37636.31</v>
      </c>
      <c r="H344" s="377">
        <f t="shared" si="170"/>
        <v>0</v>
      </c>
      <c r="I344" s="388">
        <v>4</v>
      </c>
      <c r="J344" s="388"/>
      <c r="K344" s="389">
        <v>0</v>
      </c>
      <c r="L344" s="389">
        <v>0</v>
      </c>
      <c r="M344" s="389">
        <v>0</v>
      </c>
      <c r="N344" s="389">
        <v>0</v>
      </c>
      <c r="O344" s="389">
        <v>0</v>
      </c>
      <c r="P344" s="389">
        <v>0</v>
      </c>
      <c r="Q344" s="389">
        <v>0</v>
      </c>
      <c r="R344" s="389">
        <v>0</v>
      </c>
      <c r="S344" s="389">
        <v>0</v>
      </c>
      <c r="T344" s="389">
        <v>0</v>
      </c>
      <c r="U344" s="389">
        <v>0</v>
      </c>
      <c r="V344" s="389">
        <v>0</v>
      </c>
      <c r="W344" s="389">
        <v>0</v>
      </c>
      <c r="X344" s="389">
        <v>0</v>
      </c>
      <c r="Y344" s="389">
        <v>0</v>
      </c>
      <c r="Z344" s="389">
        <v>0</v>
      </c>
      <c r="AA344" s="389">
        <v>0</v>
      </c>
      <c r="AB344" s="389">
        <v>0</v>
      </c>
      <c r="AC344" s="389">
        <v>0</v>
      </c>
      <c r="AD344" s="389">
        <v>0</v>
      </c>
      <c r="AE344" s="389">
        <v>0</v>
      </c>
      <c r="AF344" s="389">
        <v>0</v>
      </c>
      <c r="AG344" s="389">
        <v>0</v>
      </c>
      <c r="AH344" s="389">
        <v>0</v>
      </c>
      <c r="AI344" s="389">
        <v>0</v>
      </c>
      <c r="AJ344" s="389">
        <v>0</v>
      </c>
      <c r="AK344" s="389">
        <v>0</v>
      </c>
    </row>
    <row r="345" spans="1:37" s="377" customFormat="1">
      <c r="B345" s="377" t="s">
        <v>788</v>
      </c>
      <c r="D345" s="387">
        <v>468299.12</v>
      </c>
      <c r="E345" s="387"/>
      <c r="F345" s="377">
        <f t="shared" si="169"/>
        <v>468299.12</v>
      </c>
      <c r="G345" s="387">
        <v>460107.19</v>
      </c>
      <c r="H345" s="377">
        <f t="shared" si="170"/>
        <v>8191.93</v>
      </c>
      <c r="I345" s="388">
        <v>4</v>
      </c>
      <c r="J345" s="388"/>
      <c r="K345" s="389">
        <v>3276.77</v>
      </c>
      <c r="L345" s="389">
        <v>3276.77</v>
      </c>
      <c r="M345" s="389">
        <v>1638.39</v>
      </c>
      <c r="N345" s="389">
        <v>0</v>
      </c>
      <c r="O345" s="389">
        <v>0</v>
      </c>
      <c r="P345" s="389">
        <v>0</v>
      </c>
      <c r="Q345" s="389">
        <v>0</v>
      </c>
      <c r="R345" s="389">
        <v>0</v>
      </c>
      <c r="S345" s="389">
        <v>0</v>
      </c>
      <c r="T345" s="389">
        <v>0</v>
      </c>
      <c r="U345" s="389">
        <v>0</v>
      </c>
      <c r="V345" s="389">
        <v>0</v>
      </c>
      <c r="W345" s="389">
        <v>0</v>
      </c>
      <c r="X345" s="389">
        <v>0</v>
      </c>
      <c r="Y345" s="389">
        <v>0</v>
      </c>
      <c r="Z345" s="389">
        <v>0</v>
      </c>
      <c r="AA345" s="389">
        <v>0</v>
      </c>
      <c r="AB345" s="389">
        <v>0</v>
      </c>
      <c r="AC345" s="389">
        <v>0</v>
      </c>
      <c r="AD345" s="389">
        <v>0</v>
      </c>
      <c r="AE345" s="389">
        <v>0</v>
      </c>
      <c r="AF345" s="389">
        <v>0</v>
      </c>
      <c r="AG345" s="389">
        <v>0</v>
      </c>
      <c r="AH345" s="389">
        <v>0</v>
      </c>
      <c r="AI345" s="389">
        <v>0</v>
      </c>
      <c r="AJ345" s="389">
        <v>0</v>
      </c>
      <c r="AK345" s="389">
        <v>0</v>
      </c>
    </row>
    <row r="346" spans="1:37" s="377" customFormat="1">
      <c r="B346" s="377" t="s">
        <v>787</v>
      </c>
      <c r="D346" s="387">
        <v>77407.87</v>
      </c>
      <c r="E346" s="387"/>
      <c r="F346" s="377">
        <f t="shared" si="169"/>
        <v>77407.87</v>
      </c>
      <c r="G346" s="387">
        <v>77407.87</v>
      </c>
      <c r="H346" s="377">
        <f t="shared" si="170"/>
        <v>0</v>
      </c>
      <c r="I346" s="388">
        <v>5</v>
      </c>
      <c r="J346" s="388"/>
      <c r="K346" s="389">
        <v>0</v>
      </c>
      <c r="L346" s="389">
        <v>0</v>
      </c>
      <c r="M346" s="389">
        <v>0</v>
      </c>
      <c r="N346" s="389">
        <v>0</v>
      </c>
      <c r="O346" s="389">
        <v>0</v>
      </c>
      <c r="P346" s="389">
        <v>0</v>
      </c>
      <c r="Q346" s="389">
        <v>0</v>
      </c>
      <c r="R346" s="389">
        <v>0</v>
      </c>
      <c r="S346" s="389">
        <v>0</v>
      </c>
      <c r="T346" s="389">
        <v>0</v>
      </c>
      <c r="U346" s="389">
        <v>0</v>
      </c>
      <c r="V346" s="389">
        <v>0</v>
      </c>
      <c r="W346" s="389">
        <v>0</v>
      </c>
      <c r="X346" s="389">
        <v>0</v>
      </c>
      <c r="Y346" s="389">
        <v>0</v>
      </c>
      <c r="Z346" s="389">
        <v>0</v>
      </c>
      <c r="AA346" s="389">
        <v>0</v>
      </c>
      <c r="AB346" s="389">
        <v>0</v>
      </c>
      <c r="AC346" s="389">
        <v>0</v>
      </c>
      <c r="AD346" s="389">
        <v>0</v>
      </c>
      <c r="AE346" s="389">
        <v>0</v>
      </c>
      <c r="AF346" s="389">
        <v>0</v>
      </c>
      <c r="AG346" s="389">
        <v>0</v>
      </c>
      <c r="AH346" s="389">
        <v>0</v>
      </c>
      <c r="AI346" s="389">
        <v>0</v>
      </c>
      <c r="AJ346" s="389">
        <v>0</v>
      </c>
      <c r="AK346" s="389">
        <v>0</v>
      </c>
    </row>
    <row r="347" spans="1:37" s="377" customFormat="1">
      <c r="B347" s="377" t="s">
        <v>786</v>
      </c>
      <c r="D347" s="387">
        <v>9467.4</v>
      </c>
      <c r="E347" s="387"/>
      <c r="F347" s="377">
        <f t="shared" si="169"/>
        <v>9467.4</v>
      </c>
      <c r="G347" s="387">
        <v>8541.6299999999992</v>
      </c>
      <c r="H347" s="377">
        <f t="shared" si="170"/>
        <v>925.77</v>
      </c>
      <c r="I347" s="388">
        <v>5</v>
      </c>
      <c r="J347" s="388"/>
      <c r="K347" s="389">
        <v>473</v>
      </c>
      <c r="L347" s="389">
        <v>452.77</v>
      </c>
      <c r="M347" s="389">
        <v>0</v>
      </c>
      <c r="N347" s="389">
        <v>0</v>
      </c>
      <c r="O347" s="389">
        <v>0</v>
      </c>
      <c r="P347" s="389">
        <v>0</v>
      </c>
      <c r="Q347" s="389">
        <v>0</v>
      </c>
      <c r="R347" s="389">
        <v>0</v>
      </c>
      <c r="S347" s="389">
        <v>0</v>
      </c>
      <c r="T347" s="389">
        <v>0</v>
      </c>
      <c r="U347" s="389">
        <v>0</v>
      </c>
      <c r="V347" s="389">
        <v>0</v>
      </c>
      <c r="W347" s="389">
        <v>0</v>
      </c>
      <c r="X347" s="389">
        <v>0</v>
      </c>
      <c r="Y347" s="389">
        <v>0</v>
      </c>
      <c r="Z347" s="389">
        <v>0</v>
      </c>
      <c r="AA347" s="389">
        <v>0</v>
      </c>
      <c r="AB347" s="389">
        <v>0</v>
      </c>
      <c r="AC347" s="389">
        <v>0</v>
      </c>
      <c r="AD347" s="389">
        <v>0</v>
      </c>
      <c r="AE347" s="389">
        <v>0</v>
      </c>
      <c r="AF347" s="389">
        <v>0</v>
      </c>
      <c r="AG347" s="389">
        <v>0</v>
      </c>
      <c r="AH347" s="389">
        <v>0</v>
      </c>
      <c r="AI347" s="389">
        <v>0</v>
      </c>
      <c r="AJ347" s="389">
        <v>0</v>
      </c>
      <c r="AK347" s="389">
        <v>0</v>
      </c>
    </row>
    <row r="348" spans="1:37" s="377" customFormat="1">
      <c r="B348" s="377" t="s">
        <v>785</v>
      </c>
      <c r="C348" s="386">
        <f>DATE(85,1,1)</f>
        <v>31048</v>
      </c>
      <c r="D348" s="387">
        <v>8991.68</v>
      </c>
      <c r="E348" s="387"/>
      <c r="F348" s="377">
        <f t="shared" si="169"/>
        <v>8991.6799999999985</v>
      </c>
      <c r="G348" s="387">
        <v>1123.95</v>
      </c>
      <c r="H348" s="377">
        <f t="shared" si="170"/>
        <v>7867.7299999999977</v>
      </c>
      <c r="I348" s="388">
        <v>5</v>
      </c>
      <c r="J348" s="388"/>
      <c r="K348" s="389">
        <f t="shared" ref="K348:W350" si="171">SUM($D348*$I348)/100</f>
        <v>449.584</v>
      </c>
      <c r="L348" s="389">
        <f t="shared" si="171"/>
        <v>449.584</v>
      </c>
      <c r="M348" s="389">
        <f t="shared" si="171"/>
        <v>449.584</v>
      </c>
      <c r="N348" s="389">
        <f t="shared" si="171"/>
        <v>449.584</v>
      </c>
      <c r="O348" s="389">
        <f t="shared" si="171"/>
        <v>449.584</v>
      </c>
      <c r="P348" s="389">
        <f t="shared" si="171"/>
        <v>449.584</v>
      </c>
      <c r="Q348" s="389">
        <f t="shared" si="171"/>
        <v>449.584</v>
      </c>
      <c r="R348" s="389">
        <f t="shared" si="171"/>
        <v>449.584</v>
      </c>
      <c r="S348" s="389">
        <f t="shared" si="171"/>
        <v>449.584</v>
      </c>
      <c r="T348" s="389">
        <f t="shared" si="171"/>
        <v>449.584</v>
      </c>
      <c r="U348" s="389">
        <f t="shared" si="171"/>
        <v>449.584</v>
      </c>
      <c r="V348" s="389">
        <f t="shared" si="171"/>
        <v>449.584</v>
      </c>
      <c r="W348" s="389">
        <f t="shared" si="171"/>
        <v>449.584</v>
      </c>
      <c r="X348" s="389">
        <v>449.58</v>
      </c>
      <c r="Y348" s="389">
        <v>449.58</v>
      </c>
      <c r="Z348" s="389">
        <f t="shared" ref="Z348:AA360" si="172">SUM($D348*$I348)/100</f>
        <v>449.584</v>
      </c>
      <c r="AA348" s="389">
        <f t="shared" si="172"/>
        <v>449.584</v>
      </c>
      <c r="AB348" s="389">
        <v>224.82</v>
      </c>
      <c r="AC348" s="389">
        <v>0</v>
      </c>
      <c r="AD348" s="389">
        <v>0</v>
      </c>
      <c r="AE348" s="389">
        <v>0</v>
      </c>
      <c r="AF348" s="389">
        <v>-0.01</v>
      </c>
      <c r="AG348" s="389">
        <v>0</v>
      </c>
      <c r="AH348" s="389">
        <v>0</v>
      </c>
      <c r="AI348" s="389">
        <v>0</v>
      </c>
      <c r="AJ348" s="389">
        <v>0</v>
      </c>
      <c r="AK348" s="389">
        <v>0</v>
      </c>
    </row>
    <row r="349" spans="1:37" s="377" customFormat="1">
      <c r="B349" s="377" t="s">
        <v>784</v>
      </c>
      <c r="C349" s="386">
        <f>DATE(86,1,1)</f>
        <v>31413</v>
      </c>
      <c r="D349" s="387">
        <v>17847.240000000002</v>
      </c>
      <c r="E349" s="387"/>
      <c r="F349" s="377">
        <f t="shared" si="169"/>
        <v>17847.242000000009</v>
      </c>
      <c r="G349" s="387">
        <v>1338.54</v>
      </c>
      <c r="H349" s="377">
        <f t="shared" si="170"/>
        <v>16508.702000000008</v>
      </c>
      <c r="I349" s="388">
        <v>5</v>
      </c>
      <c r="J349" s="388"/>
      <c r="K349" s="389">
        <f t="shared" si="171"/>
        <v>892.36200000000008</v>
      </c>
      <c r="L349" s="389">
        <f t="shared" si="171"/>
        <v>892.36200000000008</v>
      </c>
      <c r="M349" s="389">
        <f t="shared" si="171"/>
        <v>892.36200000000008</v>
      </c>
      <c r="N349" s="389">
        <f t="shared" si="171"/>
        <v>892.36200000000008</v>
      </c>
      <c r="O349" s="389">
        <f t="shared" si="171"/>
        <v>892.36200000000008</v>
      </c>
      <c r="P349" s="389">
        <f t="shared" si="171"/>
        <v>892.36200000000008</v>
      </c>
      <c r="Q349" s="389">
        <f t="shared" si="171"/>
        <v>892.36200000000008</v>
      </c>
      <c r="R349" s="389">
        <f t="shared" si="171"/>
        <v>892.36200000000008</v>
      </c>
      <c r="S349" s="389">
        <f t="shared" si="171"/>
        <v>892.36200000000008</v>
      </c>
      <c r="T349" s="389">
        <f t="shared" si="171"/>
        <v>892.36200000000008</v>
      </c>
      <c r="U349" s="389">
        <f t="shared" si="171"/>
        <v>892.36200000000008</v>
      </c>
      <c r="V349" s="389">
        <f t="shared" si="171"/>
        <v>892.36200000000008</v>
      </c>
      <c r="W349" s="389">
        <f t="shared" si="171"/>
        <v>892.36200000000008</v>
      </c>
      <c r="X349" s="389">
        <v>892.36</v>
      </c>
      <c r="Y349" s="389">
        <v>892.36</v>
      </c>
      <c r="Z349" s="389">
        <f t="shared" si="172"/>
        <v>892.36200000000008</v>
      </c>
      <c r="AA349" s="389">
        <f t="shared" si="172"/>
        <v>892.36200000000008</v>
      </c>
      <c r="AB349" s="389">
        <f t="shared" ref="AB349:AB360" si="173">SUM($D349*$I349)/100</f>
        <v>892.36200000000008</v>
      </c>
      <c r="AC349" s="389">
        <f>17847.24-17401.05</f>
        <v>446.19000000000233</v>
      </c>
      <c r="AD349" s="389">
        <v>0</v>
      </c>
      <c r="AE349" s="389">
        <v>0</v>
      </c>
      <c r="AF349" s="389">
        <v>0</v>
      </c>
      <c r="AG349" s="389">
        <v>0</v>
      </c>
      <c r="AH349" s="389">
        <v>0</v>
      </c>
      <c r="AI349" s="389">
        <v>0</v>
      </c>
      <c r="AJ349" s="389">
        <v>0</v>
      </c>
      <c r="AK349" s="389">
        <v>0</v>
      </c>
    </row>
    <row r="350" spans="1:37" s="377" customFormat="1">
      <c r="B350" s="377" t="s">
        <v>784</v>
      </c>
      <c r="C350" s="386">
        <f>DATE(87,1,1)</f>
        <v>31778</v>
      </c>
      <c r="D350" s="387">
        <v>15568.7</v>
      </c>
      <c r="E350" s="387"/>
      <c r="F350" s="377">
        <f t="shared" si="169"/>
        <v>15568.694999999996</v>
      </c>
      <c r="G350" s="387">
        <v>389.22</v>
      </c>
      <c r="H350" s="377">
        <f t="shared" si="170"/>
        <v>15179.474999999997</v>
      </c>
      <c r="I350" s="388">
        <v>5</v>
      </c>
      <c r="J350" s="388"/>
      <c r="K350" s="389">
        <f t="shared" si="171"/>
        <v>778.43499999999995</v>
      </c>
      <c r="L350" s="389">
        <f t="shared" si="171"/>
        <v>778.43499999999995</v>
      </c>
      <c r="M350" s="389">
        <f t="shared" si="171"/>
        <v>778.43499999999995</v>
      </c>
      <c r="N350" s="389">
        <f t="shared" si="171"/>
        <v>778.43499999999995</v>
      </c>
      <c r="O350" s="389">
        <f t="shared" si="171"/>
        <v>778.43499999999995</v>
      </c>
      <c r="P350" s="389">
        <f t="shared" si="171"/>
        <v>778.43499999999995</v>
      </c>
      <c r="Q350" s="389">
        <f t="shared" si="171"/>
        <v>778.43499999999995</v>
      </c>
      <c r="R350" s="389">
        <f t="shared" si="171"/>
        <v>778.43499999999995</v>
      </c>
      <c r="S350" s="389">
        <f t="shared" si="171"/>
        <v>778.43499999999995</v>
      </c>
      <c r="T350" s="389">
        <f t="shared" si="171"/>
        <v>778.43499999999995</v>
      </c>
      <c r="U350" s="389">
        <f t="shared" si="171"/>
        <v>778.43499999999995</v>
      </c>
      <c r="V350" s="389">
        <f t="shared" si="171"/>
        <v>778.43499999999995</v>
      </c>
      <c r="W350" s="389">
        <f t="shared" si="171"/>
        <v>778.43499999999995</v>
      </c>
      <c r="X350" s="389">
        <v>778.44</v>
      </c>
      <c r="Y350" s="389">
        <v>778.44</v>
      </c>
      <c r="Z350" s="389">
        <f t="shared" si="172"/>
        <v>778.43499999999995</v>
      </c>
      <c r="AA350" s="389">
        <f t="shared" si="172"/>
        <v>778.43499999999995</v>
      </c>
      <c r="AB350" s="389">
        <f t="shared" si="173"/>
        <v>778.43499999999995</v>
      </c>
      <c r="AC350" s="389">
        <f t="shared" ref="AC350:AC360" si="174">SUM($D350*$I350)/100</f>
        <v>778.43499999999995</v>
      </c>
      <c r="AD350" s="389">
        <f>15568.7-14401.06-778.44</f>
        <v>389.20000000000118</v>
      </c>
      <c r="AE350" s="389">
        <v>0</v>
      </c>
      <c r="AF350" s="389">
        <v>0</v>
      </c>
      <c r="AG350" s="389">
        <v>0</v>
      </c>
      <c r="AH350" s="389">
        <v>0</v>
      </c>
      <c r="AI350" s="389">
        <v>0</v>
      </c>
      <c r="AJ350" s="389">
        <v>0</v>
      </c>
      <c r="AK350" s="389">
        <v>0</v>
      </c>
    </row>
    <row r="351" spans="1:37" s="377" customFormat="1">
      <c r="B351" s="377" t="s">
        <v>784</v>
      </c>
      <c r="C351" s="386">
        <f>DATE(88,1,1)</f>
        <v>32143</v>
      </c>
      <c r="D351" s="387">
        <v>24589.03</v>
      </c>
      <c r="E351" s="387"/>
      <c r="F351" s="377">
        <f t="shared" si="169"/>
        <v>24589.031249999993</v>
      </c>
      <c r="G351" s="387"/>
      <c r="H351" s="377">
        <f t="shared" si="170"/>
        <v>24589.031249999993</v>
      </c>
      <c r="I351" s="388">
        <v>5</v>
      </c>
      <c r="J351" s="388"/>
      <c r="K351" s="389">
        <f>SUM($D351*$I351)/100/2</f>
        <v>614.72574999999995</v>
      </c>
      <c r="L351" s="389">
        <f t="shared" ref="L351:W351" si="175">SUM($D351*$I351)/100</f>
        <v>1229.4514999999999</v>
      </c>
      <c r="M351" s="389">
        <f t="shared" si="175"/>
        <v>1229.4514999999999</v>
      </c>
      <c r="N351" s="389">
        <f t="shared" si="175"/>
        <v>1229.4514999999999</v>
      </c>
      <c r="O351" s="389">
        <f t="shared" si="175"/>
        <v>1229.4514999999999</v>
      </c>
      <c r="P351" s="389">
        <f t="shared" si="175"/>
        <v>1229.4514999999999</v>
      </c>
      <c r="Q351" s="389">
        <f t="shared" si="175"/>
        <v>1229.4514999999999</v>
      </c>
      <c r="R351" s="389">
        <f t="shared" si="175"/>
        <v>1229.4514999999999</v>
      </c>
      <c r="S351" s="389">
        <f t="shared" si="175"/>
        <v>1229.4514999999999</v>
      </c>
      <c r="T351" s="389">
        <f t="shared" si="175"/>
        <v>1229.4514999999999</v>
      </c>
      <c r="U351" s="389">
        <f t="shared" si="175"/>
        <v>1229.4514999999999</v>
      </c>
      <c r="V351" s="389">
        <f t="shared" si="175"/>
        <v>1229.4514999999999</v>
      </c>
      <c r="W351" s="389">
        <f t="shared" si="175"/>
        <v>1229.4514999999999</v>
      </c>
      <c r="X351" s="389">
        <v>1229.45</v>
      </c>
      <c r="Y351" s="389">
        <v>1229.45</v>
      </c>
      <c r="Z351" s="389">
        <f t="shared" si="172"/>
        <v>1229.4514999999999</v>
      </c>
      <c r="AA351" s="389">
        <f t="shared" si="172"/>
        <v>1229.4514999999999</v>
      </c>
      <c r="AB351" s="389">
        <f t="shared" si="173"/>
        <v>1229.4514999999999</v>
      </c>
      <c r="AC351" s="389">
        <f t="shared" si="174"/>
        <v>1229.4514999999999</v>
      </c>
      <c r="AD351" s="389">
        <f t="shared" ref="AD351:AD360" si="176">SUM($D351*$I351)/100</f>
        <v>1229.4514999999999</v>
      </c>
      <c r="AE351" s="389">
        <v>614.73</v>
      </c>
      <c r="AF351" s="389">
        <v>0</v>
      </c>
      <c r="AG351" s="389">
        <v>0</v>
      </c>
      <c r="AH351" s="389">
        <v>0</v>
      </c>
      <c r="AI351" s="389">
        <v>0</v>
      </c>
      <c r="AJ351" s="389">
        <v>0</v>
      </c>
      <c r="AK351" s="389">
        <v>0</v>
      </c>
    </row>
    <row r="352" spans="1:37" s="377" customFormat="1">
      <c r="B352" s="377" t="s">
        <v>784</v>
      </c>
      <c r="C352" s="386">
        <f>DATE(89,1,1)</f>
        <v>32509</v>
      </c>
      <c r="D352" s="387">
        <v>71308.800000000003</v>
      </c>
      <c r="E352" s="387"/>
      <c r="F352" s="377">
        <f t="shared" si="169"/>
        <v>71308.800000000017</v>
      </c>
      <c r="G352" s="387"/>
      <c r="H352" s="377">
        <f t="shared" si="170"/>
        <v>71308.800000000017</v>
      </c>
      <c r="I352" s="388">
        <v>5</v>
      </c>
      <c r="J352" s="388"/>
      <c r="K352" s="389">
        <v>0</v>
      </c>
      <c r="L352" s="389">
        <f>SUM($D352*$I352)/100/2</f>
        <v>1782.72</v>
      </c>
      <c r="M352" s="389">
        <f t="shared" ref="M352:W352" si="177">SUM($D352*$I352)/100</f>
        <v>3565.44</v>
      </c>
      <c r="N352" s="389">
        <f t="shared" si="177"/>
        <v>3565.44</v>
      </c>
      <c r="O352" s="389">
        <f t="shared" si="177"/>
        <v>3565.44</v>
      </c>
      <c r="P352" s="389">
        <f t="shared" si="177"/>
        <v>3565.44</v>
      </c>
      <c r="Q352" s="389">
        <f t="shared" si="177"/>
        <v>3565.44</v>
      </c>
      <c r="R352" s="389">
        <f t="shared" si="177"/>
        <v>3565.44</v>
      </c>
      <c r="S352" s="389">
        <f t="shared" si="177"/>
        <v>3565.44</v>
      </c>
      <c r="T352" s="389">
        <f t="shared" si="177"/>
        <v>3565.44</v>
      </c>
      <c r="U352" s="389">
        <f t="shared" si="177"/>
        <v>3565.44</v>
      </c>
      <c r="V352" s="389">
        <f t="shared" si="177"/>
        <v>3565.44</v>
      </c>
      <c r="W352" s="389">
        <f t="shared" si="177"/>
        <v>3565.44</v>
      </c>
      <c r="X352" s="389">
        <v>3565.44</v>
      </c>
      <c r="Y352" s="389">
        <v>3565.44</v>
      </c>
      <c r="Z352" s="389">
        <f t="shared" si="172"/>
        <v>3565.44</v>
      </c>
      <c r="AA352" s="389">
        <f t="shared" si="172"/>
        <v>3565.44</v>
      </c>
      <c r="AB352" s="389">
        <f t="shared" si="173"/>
        <v>3565.44</v>
      </c>
      <c r="AC352" s="389">
        <f t="shared" si="174"/>
        <v>3565.44</v>
      </c>
      <c r="AD352" s="389">
        <f t="shared" si="176"/>
        <v>3565.44</v>
      </c>
      <c r="AE352" s="389">
        <f t="shared" ref="AE352:AE360" si="178">SUM($D352*$I352)/100</f>
        <v>3565.44</v>
      </c>
      <c r="AF352" s="389">
        <v>1782.72</v>
      </c>
      <c r="AG352" s="389">
        <v>0</v>
      </c>
      <c r="AH352" s="389">
        <v>0</v>
      </c>
      <c r="AI352" s="389">
        <v>0</v>
      </c>
      <c r="AJ352" s="389">
        <v>0</v>
      </c>
      <c r="AK352" s="389">
        <v>0</v>
      </c>
    </row>
    <row r="353" spans="2:37" s="377" customFormat="1">
      <c r="B353" s="377" t="s">
        <v>784</v>
      </c>
      <c r="C353" s="386">
        <f>DATE(90,1,1)</f>
        <v>32874</v>
      </c>
      <c r="D353" s="387">
        <v>45060.79</v>
      </c>
      <c r="E353" s="387"/>
      <c r="F353" s="377">
        <f t="shared" si="169"/>
        <v>45060.791249999995</v>
      </c>
      <c r="G353" s="387"/>
      <c r="H353" s="377">
        <f t="shared" si="170"/>
        <v>45060.791249999995</v>
      </c>
      <c r="I353" s="388">
        <v>5</v>
      </c>
      <c r="J353" s="388"/>
      <c r="K353" s="389">
        <v>0</v>
      </c>
      <c r="L353" s="389">
        <v>0</v>
      </c>
      <c r="M353" s="389">
        <f>SUM($D353*$I353)/100/2</f>
        <v>1126.5197500000002</v>
      </c>
      <c r="N353" s="389">
        <f t="shared" ref="N353:W354" si="179">SUM($D353*$I353)/100</f>
        <v>2253.0395000000003</v>
      </c>
      <c r="O353" s="389">
        <f t="shared" si="179"/>
        <v>2253.0395000000003</v>
      </c>
      <c r="P353" s="389">
        <f t="shared" si="179"/>
        <v>2253.0395000000003</v>
      </c>
      <c r="Q353" s="389">
        <f t="shared" si="179"/>
        <v>2253.0395000000003</v>
      </c>
      <c r="R353" s="389">
        <f t="shared" si="179"/>
        <v>2253.0395000000003</v>
      </c>
      <c r="S353" s="389">
        <f t="shared" si="179"/>
        <v>2253.0395000000003</v>
      </c>
      <c r="T353" s="389">
        <f t="shared" si="179"/>
        <v>2253.0395000000003</v>
      </c>
      <c r="U353" s="389">
        <f t="shared" si="179"/>
        <v>2253.0395000000003</v>
      </c>
      <c r="V353" s="389">
        <f t="shared" si="179"/>
        <v>2253.0395000000003</v>
      </c>
      <c r="W353" s="389">
        <f t="shared" si="179"/>
        <v>2253.0395000000003</v>
      </c>
      <c r="X353" s="389">
        <v>2253.04</v>
      </c>
      <c r="Y353" s="389">
        <v>2253.04</v>
      </c>
      <c r="Z353" s="389">
        <f t="shared" si="172"/>
        <v>2253.0395000000003</v>
      </c>
      <c r="AA353" s="389">
        <f t="shared" si="172"/>
        <v>2253.0395000000003</v>
      </c>
      <c r="AB353" s="389">
        <f t="shared" si="173"/>
        <v>2253.0395000000003</v>
      </c>
      <c r="AC353" s="389">
        <f t="shared" si="174"/>
        <v>2253.0395000000003</v>
      </c>
      <c r="AD353" s="389">
        <f t="shared" si="176"/>
        <v>2253.0395000000003</v>
      </c>
      <c r="AE353" s="389">
        <f t="shared" si="178"/>
        <v>2253.0395000000003</v>
      </c>
      <c r="AF353" s="389">
        <f t="shared" ref="AF353:AF360" si="180">SUM($D353*$I353)/100</f>
        <v>2253.0395000000003</v>
      </c>
      <c r="AG353" s="389">
        <v>1126.52</v>
      </c>
      <c r="AH353" s="389">
        <v>0</v>
      </c>
      <c r="AI353" s="389">
        <v>0</v>
      </c>
      <c r="AJ353" s="389">
        <v>0</v>
      </c>
      <c r="AK353" s="389">
        <v>0</v>
      </c>
    </row>
    <row r="354" spans="2:37" s="377" customFormat="1">
      <c r="B354" s="377" t="s">
        <v>784</v>
      </c>
      <c r="C354" s="386">
        <f>DATE(91,1,1)</f>
        <v>33239</v>
      </c>
      <c r="D354" s="387">
        <v>18858.689999999999</v>
      </c>
      <c r="E354" s="387"/>
      <c r="F354" s="377">
        <f t="shared" si="169"/>
        <v>18858.686499999996</v>
      </c>
      <c r="G354" s="387"/>
      <c r="H354" s="377">
        <f t="shared" si="170"/>
        <v>18858.686499999996</v>
      </c>
      <c r="I354" s="388">
        <v>5</v>
      </c>
      <c r="J354" s="388"/>
      <c r="K354" s="389">
        <v>0</v>
      </c>
      <c r="L354" s="389">
        <v>0</v>
      </c>
      <c r="M354" s="389">
        <v>0</v>
      </c>
      <c r="N354" s="389">
        <f t="shared" si="179"/>
        <v>942.93449999999996</v>
      </c>
      <c r="O354" s="389">
        <f t="shared" si="179"/>
        <v>942.93449999999996</v>
      </c>
      <c r="P354" s="389">
        <f t="shared" si="179"/>
        <v>942.93449999999996</v>
      </c>
      <c r="Q354" s="389">
        <f t="shared" si="179"/>
        <v>942.93449999999996</v>
      </c>
      <c r="R354" s="389">
        <f t="shared" si="179"/>
        <v>942.93449999999996</v>
      </c>
      <c r="S354" s="389">
        <f t="shared" si="179"/>
        <v>942.93449999999996</v>
      </c>
      <c r="T354" s="389">
        <f t="shared" si="179"/>
        <v>942.93449999999996</v>
      </c>
      <c r="U354" s="389">
        <f t="shared" si="179"/>
        <v>942.93449999999996</v>
      </c>
      <c r="V354" s="389">
        <f t="shared" si="179"/>
        <v>942.93449999999996</v>
      </c>
      <c r="W354" s="389">
        <f t="shared" si="179"/>
        <v>942.93449999999996</v>
      </c>
      <c r="X354" s="389">
        <v>942.93</v>
      </c>
      <c r="Y354" s="389">
        <v>942.93</v>
      </c>
      <c r="Z354" s="389">
        <f t="shared" si="172"/>
        <v>942.93449999999996</v>
      </c>
      <c r="AA354" s="389">
        <f t="shared" si="172"/>
        <v>942.93449999999996</v>
      </c>
      <c r="AB354" s="389">
        <f t="shared" si="173"/>
        <v>942.93449999999996</v>
      </c>
      <c r="AC354" s="389">
        <f t="shared" si="174"/>
        <v>942.93449999999996</v>
      </c>
      <c r="AD354" s="389">
        <f t="shared" si="176"/>
        <v>942.93449999999996</v>
      </c>
      <c r="AE354" s="389">
        <f t="shared" si="178"/>
        <v>942.93449999999996</v>
      </c>
      <c r="AF354" s="389">
        <f t="shared" si="180"/>
        <v>942.93449999999996</v>
      </c>
      <c r="AG354" s="389">
        <v>942.94</v>
      </c>
      <c r="AH354" s="389">
        <v>0</v>
      </c>
      <c r="AI354" s="389">
        <v>0</v>
      </c>
      <c r="AJ354" s="389">
        <v>0</v>
      </c>
      <c r="AK354" s="389">
        <v>0</v>
      </c>
    </row>
    <row r="355" spans="2:37" s="377" customFormat="1">
      <c r="B355" s="377" t="s">
        <v>784</v>
      </c>
      <c r="C355" s="386">
        <f>DATE(92,1,1)</f>
        <v>33604</v>
      </c>
      <c r="D355" s="387">
        <v>32586.59</v>
      </c>
      <c r="E355" s="387"/>
      <c r="F355" s="377">
        <f t="shared" si="169"/>
        <v>32586.591</v>
      </c>
      <c r="G355" s="387"/>
      <c r="H355" s="377">
        <f t="shared" si="170"/>
        <v>32586.591</v>
      </c>
      <c r="I355" s="388">
        <v>5</v>
      </c>
      <c r="J355" s="388"/>
      <c r="K355" s="389"/>
      <c r="L355" s="389"/>
      <c r="M355" s="389"/>
      <c r="N355" s="389"/>
      <c r="O355" s="389">
        <f t="shared" ref="O355:W355" si="181">SUM($D355*$I355)/100</f>
        <v>1629.3295000000001</v>
      </c>
      <c r="P355" s="389">
        <f t="shared" si="181"/>
        <v>1629.3295000000001</v>
      </c>
      <c r="Q355" s="389">
        <f t="shared" si="181"/>
        <v>1629.3295000000001</v>
      </c>
      <c r="R355" s="389">
        <f t="shared" si="181"/>
        <v>1629.3295000000001</v>
      </c>
      <c r="S355" s="389">
        <f t="shared" si="181"/>
        <v>1629.3295000000001</v>
      </c>
      <c r="T355" s="389">
        <f t="shared" si="181"/>
        <v>1629.3295000000001</v>
      </c>
      <c r="U355" s="389">
        <f t="shared" si="181"/>
        <v>1629.3295000000001</v>
      </c>
      <c r="V355" s="389">
        <f t="shared" si="181"/>
        <v>1629.3295000000001</v>
      </c>
      <c r="W355" s="389">
        <f t="shared" si="181"/>
        <v>1629.3295000000001</v>
      </c>
      <c r="X355" s="389">
        <v>1629.33</v>
      </c>
      <c r="Y355" s="389">
        <v>1629.33</v>
      </c>
      <c r="Z355" s="389">
        <f t="shared" si="172"/>
        <v>1629.3295000000001</v>
      </c>
      <c r="AA355" s="389">
        <f t="shared" si="172"/>
        <v>1629.3295000000001</v>
      </c>
      <c r="AB355" s="389">
        <f t="shared" si="173"/>
        <v>1629.3295000000001</v>
      </c>
      <c r="AC355" s="389">
        <f t="shared" si="174"/>
        <v>1629.3295000000001</v>
      </c>
      <c r="AD355" s="389">
        <f t="shared" si="176"/>
        <v>1629.3295000000001</v>
      </c>
      <c r="AE355" s="389">
        <f t="shared" si="178"/>
        <v>1629.3295000000001</v>
      </c>
      <c r="AF355" s="389">
        <f t="shared" si="180"/>
        <v>1629.3295000000001</v>
      </c>
      <c r="AG355" s="389">
        <f t="shared" ref="AG355:AH360" si="182">SUM($D355*$I355)/100</f>
        <v>1629.3295000000001</v>
      </c>
      <c r="AH355" s="389">
        <f t="shared" si="182"/>
        <v>1629.3295000000001</v>
      </c>
      <c r="AI355" s="389">
        <v>0</v>
      </c>
      <c r="AJ355" s="389">
        <v>0</v>
      </c>
      <c r="AK355" s="389">
        <v>0</v>
      </c>
    </row>
    <row r="356" spans="2:37" s="377" customFormat="1">
      <c r="B356" s="377" t="s">
        <v>784</v>
      </c>
      <c r="C356" s="386">
        <f>DATE(93,1,1)</f>
        <v>33970</v>
      </c>
      <c r="D356" s="387">
        <f>33692.9+1776.62</f>
        <v>35469.520000000004</v>
      </c>
      <c r="E356" s="387"/>
      <c r="F356" s="377">
        <f t="shared" si="169"/>
        <v>35469.515999999996</v>
      </c>
      <c r="G356" s="387"/>
      <c r="H356" s="377">
        <f t="shared" si="170"/>
        <v>35469.515999999996</v>
      </c>
      <c r="I356" s="388">
        <v>5</v>
      </c>
      <c r="J356" s="388"/>
      <c r="K356" s="389"/>
      <c r="L356" s="389"/>
      <c r="M356" s="389"/>
      <c r="N356" s="389"/>
      <c r="O356" s="389"/>
      <c r="P356" s="389">
        <v>1684.64</v>
      </c>
      <c r="Q356" s="389">
        <f t="shared" ref="Q356:W357" si="183">SUM($D356*$I356)/100</f>
        <v>1773.4760000000003</v>
      </c>
      <c r="R356" s="389">
        <f t="shared" si="183"/>
        <v>1773.4760000000003</v>
      </c>
      <c r="S356" s="389">
        <f t="shared" si="183"/>
        <v>1773.4760000000003</v>
      </c>
      <c r="T356" s="389">
        <f t="shared" si="183"/>
        <v>1773.4760000000003</v>
      </c>
      <c r="U356" s="389">
        <f t="shared" si="183"/>
        <v>1773.4760000000003</v>
      </c>
      <c r="V356" s="389">
        <f t="shared" si="183"/>
        <v>1773.4760000000003</v>
      </c>
      <c r="W356" s="389">
        <f t="shared" si="183"/>
        <v>1773.4760000000003</v>
      </c>
      <c r="X356" s="389">
        <v>1773.48</v>
      </c>
      <c r="Y356" s="389">
        <v>1773.48</v>
      </c>
      <c r="Z356" s="389">
        <f t="shared" si="172"/>
        <v>1773.4760000000003</v>
      </c>
      <c r="AA356" s="389">
        <f t="shared" si="172"/>
        <v>1773.4760000000003</v>
      </c>
      <c r="AB356" s="389">
        <f t="shared" si="173"/>
        <v>1773.4760000000003</v>
      </c>
      <c r="AC356" s="389">
        <f t="shared" si="174"/>
        <v>1773.4760000000003</v>
      </c>
      <c r="AD356" s="389">
        <f t="shared" si="176"/>
        <v>1773.4760000000003</v>
      </c>
      <c r="AE356" s="389">
        <f t="shared" si="178"/>
        <v>1773.4760000000003</v>
      </c>
      <c r="AF356" s="389">
        <f t="shared" si="180"/>
        <v>1773.4760000000003</v>
      </c>
      <c r="AG356" s="389">
        <f t="shared" si="182"/>
        <v>1773.4760000000003</v>
      </c>
      <c r="AH356" s="389">
        <f t="shared" si="182"/>
        <v>1773.4760000000003</v>
      </c>
      <c r="AI356" s="389">
        <v>1862.3</v>
      </c>
      <c r="AJ356" s="389">
        <v>0</v>
      </c>
      <c r="AK356" s="389">
        <v>0</v>
      </c>
    </row>
    <row r="357" spans="2:37" s="377" customFormat="1">
      <c r="B357" s="377" t="s">
        <v>784</v>
      </c>
      <c r="C357" s="386">
        <f>DATE(94,1,1)</f>
        <v>34335</v>
      </c>
      <c r="D357" s="377">
        <v>68116.33</v>
      </c>
      <c r="F357" s="377">
        <f t="shared" si="169"/>
        <v>64710.520500000006</v>
      </c>
      <c r="G357" s="387"/>
      <c r="H357" s="377">
        <f t="shared" si="170"/>
        <v>64710.520500000006</v>
      </c>
      <c r="I357" s="388">
        <v>5</v>
      </c>
      <c r="J357" s="388"/>
      <c r="Q357" s="389">
        <f t="shared" si="183"/>
        <v>3405.8165000000004</v>
      </c>
      <c r="R357" s="389">
        <f t="shared" si="183"/>
        <v>3405.8165000000004</v>
      </c>
      <c r="S357" s="389">
        <f t="shared" si="183"/>
        <v>3405.8165000000004</v>
      </c>
      <c r="T357" s="389">
        <f t="shared" si="183"/>
        <v>3405.8165000000004</v>
      </c>
      <c r="U357" s="389">
        <f t="shared" si="183"/>
        <v>3405.8165000000004</v>
      </c>
      <c r="V357" s="389">
        <f t="shared" si="183"/>
        <v>3405.8165000000004</v>
      </c>
      <c r="W357" s="389">
        <f t="shared" si="183"/>
        <v>3405.8165000000004</v>
      </c>
      <c r="X357" s="389">
        <v>3405.82</v>
      </c>
      <c r="Y357" s="389">
        <v>3405.82</v>
      </c>
      <c r="Z357" s="389">
        <f t="shared" si="172"/>
        <v>3405.8165000000004</v>
      </c>
      <c r="AA357" s="389">
        <f t="shared" si="172"/>
        <v>3405.8165000000004</v>
      </c>
      <c r="AB357" s="389">
        <f t="shared" si="173"/>
        <v>3405.8165000000004</v>
      </c>
      <c r="AC357" s="389">
        <f t="shared" si="174"/>
        <v>3405.8165000000004</v>
      </c>
      <c r="AD357" s="389">
        <f t="shared" si="176"/>
        <v>3405.8165000000004</v>
      </c>
      <c r="AE357" s="389">
        <f t="shared" si="178"/>
        <v>3405.8165000000004</v>
      </c>
      <c r="AF357" s="389">
        <f t="shared" si="180"/>
        <v>3405.8165000000004</v>
      </c>
      <c r="AG357" s="389">
        <f t="shared" si="182"/>
        <v>3405.8165000000004</v>
      </c>
      <c r="AH357" s="389">
        <f t="shared" si="182"/>
        <v>3405.8165000000004</v>
      </c>
      <c r="AI357" s="389">
        <f>SUM($D357*$I357)/100</f>
        <v>3405.8165000000004</v>
      </c>
      <c r="AJ357" s="389">
        <v>3405.81</v>
      </c>
      <c r="AK357" s="389">
        <v>0</v>
      </c>
    </row>
    <row r="358" spans="2:37" s="377" customFormat="1">
      <c r="B358" s="377" t="s">
        <v>784</v>
      </c>
      <c r="C358" s="386">
        <f>DATE(95,1,1)</f>
        <v>34700</v>
      </c>
      <c r="D358" s="377">
        <v>107336.87</v>
      </c>
      <c r="F358" s="377">
        <f t="shared" si="169"/>
        <v>96603.176000000021</v>
      </c>
      <c r="G358" s="387"/>
      <c r="H358" s="377">
        <f t="shared" si="170"/>
        <v>96603.176000000021</v>
      </c>
      <c r="I358" s="388">
        <v>5</v>
      </c>
      <c r="J358" s="388"/>
      <c r="Q358" s="389"/>
      <c r="R358" s="389">
        <f t="shared" ref="R358:W358" si="184">SUM($D358*$I358)/100</f>
        <v>5366.8434999999999</v>
      </c>
      <c r="S358" s="389">
        <f t="shared" si="184"/>
        <v>5366.8434999999999</v>
      </c>
      <c r="T358" s="389">
        <f t="shared" si="184"/>
        <v>5366.8434999999999</v>
      </c>
      <c r="U358" s="389">
        <f t="shared" si="184"/>
        <v>5366.8434999999999</v>
      </c>
      <c r="V358" s="389">
        <f t="shared" si="184"/>
        <v>5366.8434999999999</v>
      </c>
      <c r="W358" s="389">
        <f t="shared" si="184"/>
        <v>5366.8434999999999</v>
      </c>
      <c r="X358" s="389">
        <v>5366.84</v>
      </c>
      <c r="Y358" s="389">
        <v>5366.84</v>
      </c>
      <c r="Z358" s="389">
        <f t="shared" si="172"/>
        <v>5366.8434999999999</v>
      </c>
      <c r="AA358" s="389">
        <f t="shared" si="172"/>
        <v>5366.8434999999999</v>
      </c>
      <c r="AB358" s="389">
        <f t="shared" si="173"/>
        <v>5366.8434999999999</v>
      </c>
      <c r="AC358" s="389">
        <f t="shared" si="174"/>
        <v>5366.8434999999999</v>
      </c>
      <c r="AD358" s="389">
        <f t="shared" si="176"/>
        <v>5366.8434999999999</v>
      </c>
      <c r="AE358" s="389">
        <f t="shared" si="178"/>
        <v>5366.8434999999999</v>
      </c>
      <c r="AF358" s="389">
        <f t="shared" si="180"/>
        <v>5366.8434999999999</v>
      </c>
      <c r="AG358" s="389">
        <f t="shared" si="182"/>
        <v>5366.8434999999999</v>
      </c>
      <c r="AH358" s="389">
        <f t="shared" si="182"/>
        <v>5366.8434999999999</v>
      </c>
      <c r="AI358" s="389">
        <f>SUM($D358*$I358)/100</f>
        <v>5366.8434999999999</v>
      </c>
      <c r="AJ358" s="389">
        <f>SUM($D358*$I358)/100</f>
        <v>5366.8434999999999</v>
      </c>
      <c r="AK358" s="389">
        <v>5366.85</v>
      </c>
    </row>
    <row r="359" spans="2:37" s="377" customFormat="1">
      <c r="B359" s="377" t="s">
        <v>784</v>
      </c>
      <c r="C359" s="386">
        <f>DATE(96,1,1)</f>
        <v>35065</v>
      </c>
      <c r="D359" s="377">
        <v>69229.960000000006</v>
      </c>
      <c r="F359" s="377">
        <f t="shared" si="169"/>
        <v>58845.47</v>
      </c>
      <c r="H359" s="377">
        <f t="shared" si="170"/>
        <v>58845.47</v>
      </c>
      <c r="I359" s="388">
        <v>5</v>
      </c>
      <c r="J359" s="388"/>
      <c r="K359" s="377">
        <v>0</v>
      </c>
      <c r="L359" s="377">
        <v>0</v>
      </c>
      <c r="M359" s="377">
        <v>0</v>
      </c>
      <c r="N359" s="389">
        <v>0</v>
      </c>
      <c r="O359" s="389">
        <v>0</v>
      </c>
      <c r="P359" s="389">
        <v>0</v>
      </c>
      <c r="Q359" s="389">
        <v>0</v>
      </c>
      <c r="R359" s="389">
        <v>0</v>
      </c>
      <c r="S359" s="389">
        <f>SUM($D359*$I359)/100</f>
        <v>3461.4980000000005</v>
      </c>
      <c r="T359" s="389">
        <f>SUM($D359*$I359)/100</f>
        <v>3461.4980000000005</v>
      </c>
      <c r="U359" s="389">
        <f>SUM($D359*$I359)/100</f>
        <v>3461.4980000000005</v>
      </c>
      <c r="V359" s="389">
        <f>SUM($D359*$I359)/100</f>
        <v>3461.4980000000005</v>
      </c>
      <c r="W359" s="389">
        <f>SUM($D359*$I359)/100</f>
        <v>3461.4980000000005</v>
      </c>
      <c r="X359" s="389">
        <v>3461.5</v>
      </c>
      <c r="Y359" s="389">
        <v>3461.5</v>
      </c>
      <c r="Z359" s="389">
        <f t="shared" si="172"/>
        <v>3461.4980000000005</v>
      </c>
      <c r="AA359" s="389">
        <f t="shared" si="172"/>
        <v>3461.4980000000005</v>
      </c>
      <c r="AB359" s="389">
        <f t="shared" si="173"/>
        <v>3461.4980000000005</v>
      </c>
      <c r="AC359" s="389">
        <f t="shared" si="174"/>
        <v>3461.4980000000005</v>
      </c>
      <c r="AD359" s="389">
        <f t="shared" si="176"/>
        <v>3461.4980000000005</v>
      </c>
      <c r="AE359" s="389">
        <f t="shared" si="178"/>
        <v>3461.4980000000005</v>
      </c>
      <c r="AF359" s="389">
        <f t="shared" si="180"/>
        <v>3461.4980000000005</v>
      </c>
      <c r="AG359" s="389">
        <f t="shared" si="182"/>
        <v>3461.4980000000005</v>
      </c>
      <c r="AH359" s="389">
        <f t="shared" si="182"/>
        <v>3461.4980000000005</v>
      </c>
      <c r="AI359" s="389">
        <f>SUM($D359*$I359)/100</f>
        <v>3461.4980000000005</v>
      </c>
      <c r="AJ359" s="389">
        <f>SUM($D359*$I359)/100</f>
        <v>3461.4980000000005</v>
      </c>
      <c r="AK359" s="389">
        <f>SUM($D359*$I359)/100</f>
        <v>3461.4980000000005</v>
      </c>
    </row>
    <row r="360" spans="2:37" s="377" customFormat="1">
      <c r="B360" s="377" t="s">
        <v>784</v>
      </c>
      <c r="C360" s="386">
        <f>DATE(97,1,1)</f>
        <v>35431</v>
      </c>
      <c r="D360" s="377">
        <v>11611.54</v>
      </c>
      <c r="F360" s="377">
        <f t="shared" si="169"/>
        <v>9289.2380000000012</v>
      </c>
      <c r="H360" s="377">
        <f t="shared" si="170"/>
        <v>9289.2380000000012</v>
      </c>
      <c r="I360" s="388">
        <v>5</v>
      </c>
      <c r="J360" s="388"/>
      <c r="L360" s="389"/>
      <c r="M360" s="389"/>
      <c r="N360" s="389"/>
      <c r="O360" s="389"/>
      <c r="P360" s="389"/>
      <c r="Q360" s="389"/>
      <c r="R360" s="389"/>
      <c r="S360" s="389"/>
      <c r="T360" s="389">
        <f>SUM($D360*$I360)/100</f>
        <v>580.577</v>
      </c>
      <c r="U360" s="389">
        <f>SUM($D360*$I360)/100</f>
        <v>580.577</v>
      </c>
      <c r="V360" s="389">
        <f>SUM($D360*$I360)/100</f>
        <v>580.577</v>
      </c>
      <c r="W360" s="389">
        <f>SUM($D360*$I360)/100</f>
        <v>580.577</v>
      </c>
      <c r="X360" s="389">
        <v>580.58000000000004</v>
      </c>
      <c r="Y360" s="389">
        <v>580.58000000000004</v>
      </c>
      <c r="Z360" s="389">
        <f t="shared" si="172"/>
        <v>580.577</v>
      </c>
      <c r="AA360" s="389">
        <f t="shared" si="172"/>
        <v>580.577</v>
      </c>
      <c r="AB360" s="389">
        <f t="shared" si="173"/>
        <v>580.577</v>
      </c>
      <c r="AC360" s="389">
        <f t="shared" si="174"/>
        <v>580.577</v>
      </c>
      <c r="AD360" s="389">
        <f t="shared" si="176"/>
        <v>580.577</v>
      </c>
      <c r="AE360" s="389">
        <f t="shared" si="178"/>
        <v>580.577</v>
      </c>
      <c r="AF360" s="389">
        <f t="shared" si="180"/>
        <v>580.577</v>
      </c>
      <c r="AG360" s="389">
        <f t="shared" si="182"/>
        <v>580.577</v>
      </c>
      <c r="AH360" s="389">
        <f t="shared" si="182"/>
        <v>580.577</v>
      </c>
      <c r="AI360" s="389">
        <f>SUM($D360*$I360)/100</f>
        <v>580.577</v>
      </c>
      <c r="AJ360" s="389">
        <f>SUM($D360*$I360)/100</f>
        <v>580.577</v>
      </c>
      <c r="AK360" s="389">
        <f>SUM($D360*$I360)/100</f>
        <v>580.577</v>
      </c>
    </row>
    <row r="361" spans="2:37" s="377" customFormat="1">
      <c r="B361" s="377" t="s">
        <v>784</v>
      </c>
      <c r="C361" s="386">
        <f>DATE(98,1,1)</f>
        <v>35796</v>
      </c>
      <c r="D361" s="387">
        <v>66309.56</v>
      </c>
      <c r="E361" s="387"/>
      <c r="F361" s="387">
        <f t="shared" ref="F361:F397" si="185">H361</f>
        <v>49732.174000000014</v>
      </c>
      <c r="H361" s="377">
        <f t="shared" si="170"/>
        <v>49732.174000000014</v>
      </c>
      <c r="I361" s="388">
        <v>2</v>
      </c>
      <c r="J361" s="404">
        <v>5</v>
      </c>
      <c r="L361" s="389">
        <v>0</v>
      </c>
      <c r="M361" s="389">
        <v>0</v>
      </c>
      <c r="N361" s="389">
        <v>0</v>
      </c>
      <c r="O361" s="389">
        <v>0</v>
      </c>
      <c r="P361" s="389">
        <v>0</v>
      </c>
      <c r="Q361" s="389">
        <v>0</v>
      </c>
      <c r="R361" s="389">
        <v>0</v>
      </c>
      <c r="S361" s="389">
        <v>0</v>
      </c>
      <c r="T361" s="389">
        <v>0</v>
      </c>
      <c r="U361" s="389">
        <f>SUM($D361*$J361)/100</f>
        <v>3315.4780000000001</v>
      </c>
      <c r="V361" s="389">
        <f>SUM($D361*$J361)/100</f>
        <v>3315.4780000000001</v>
      </c>
      <c r="W361" s="389">
        <f>SUM($D361*$J361)/100</f>
        <v>3315.4780000000001</v>
      </c>
      <c r="X361" s="389">
        <v>3315.48</v>
      </c>
      <c r="Y361" s="389">
        <v>3315.48</v>
      </c>
      <c r="Z361" s="389">
        <f t="shared" ref="Z361:AK366" si="186">SUM($D361*$J361)/100</f>
        <v>3315.4780000000001</v>
      </c>
      <c r="AA361" s="389">
        <f t="shared" si="186"/>
        <v>3315.4780000000001</v>
      </c>
      <c r="AB361" s="389">
        <f t="shared" si="186"/>
        <v>3315.4780000000001</v>
      </c>
      <c r="AC361" s="389">
        <f t="shared" si="186"/>
        <v>3315.4780000000001</v>
      </c>
      <c r="AD361" s="389">
        <f t="shared" si="186"/>
        <v>3315.4780000000001</v>
      </c>
      <c r="AE361" s="389">
        <f t="shared" si="186"/>
        <v>3315.4780000000001</v>
      </c>
      <c r="AF361" s="389">
        <f t="shared" si="186"/>
        <v>3315.4780000000001</v>
      </c>
      <c r="AG361" s="389">
        <f t="shared" si="186"/>
        <v>3315.4780000000001</v>
      </c>
      <c r="AH361" s="389">
        <f t="shared" si="186"/>
        <v>3315.4780000000001</v>
      </c>
      <c r="AI361" s="389">
        <f t="shared" si="186"/>
        <v>3315.4780000000001</v>
      </c>
      <c r="AJ361" s="389">
        <f t="shared" si="186"/>
        <v>3315.4780000000001</v>
      </c>
      <c r="AK361" s="389">
        <f t="shared" si="186"/>
        <v>3315.4780000000001</v>
      </c>
    </row>
    <row r="362" spans="2:37" s="377" customFormat="1">
      <c r="B362" s="377" t="s">
        <v>784</v>
      </c>
      <c r="C362" s="386">
        <f>DATE(99,7,1)</f>
        <v>36342</v>
      </c>
      <c r="D362" s="387">
        <v>95768.97</v>
      </c>
      <c r="E362" s="387"/>
      <c r="F362" s="387">
        <f t="shared" si="185"/>
        <v>67038.281999999992</v>
      </c>
      <c r="H362" s="377">
        <f t="shared" si="170"/>
        <v>67038.281999999992</v>
      </c>
      <c r="I362" s="388">
        <v>2</v>
      </c>
      <c r="J362" s="404">
        <v>5</v>
      </c>
      <c r="L362" s="389">
        <v>0</v>
      </c>
      <c r="M362" s="389">
        <v>0</v>
      </c>
      <c r="N362" s="389">
        <v>0</v>
      </c>
      <c r="O362" s="389">
        <v>0</v>
      </c>
      <c r="P362" s="389">
        <v>0</v>
      </c>
      <c r="Q362" s="389">
        <v>0</v>
      </c>
      <c r="R362" s="389">
        <v>0</v>
      </c>
      <c r="S362" s="389">
        <v>0</v>
      </c>
      <c r="T362" s="389">
        <v>0</v>
      </c>
      <c r="U362" s="389">
        <v>0</v>
      </c>
      <c r="V362" s="389">
        <f>SUM($D362*$J362)/100</f>
        <v>4788.4484999999995</v>
      </c>
      <c r="W362" s="389">
        <f>SUM($D362*$J362)/100</f>
        <v>4788.4484999999995</v>
      </c>
      <c r="X362" s="389">
        <v>4788.45</v>
      </c>
      <c r="Y362" s="389">
        <v>4788.45</v>
      </c>
      <c r="Z362" s="389">
        <f t="shared" si="186"/>
        <v>4788.4484999999995</v>
      </c>
      <c r="AA362" s="389">
        <f t="shared" si="186"/>
        <v>4788.4484999999995</v>
      </c>
      <c r="AB362" s="389">
        <f t="shared" si="186"/>
        <v>4788.4484999999995</v>
      </c>
      <c r="AC362" s="389">
        <f t="shared" si="186"/>
        <v>4788.4484999999995</v>
      </c>
      <c r="AD362" s="389">
        <f t="shared" si="186"/>
        <v>4788.4484999999995</v>
      </c>
      <c r="AE362" s="389">
        <f t="shared" si="186"/>
        <v>4788.4484999999995</v>
      </c>
      <c r="AF362" s="389">
        <f t="shared" si="186"/>
        <v>4788.4484999999995</v>
      </c>
      <c r="AG362" s="389">
        <f t="shared" si="186"/>
        <v>4788.4484999999995</v>
      </c>
      <c r="AH362" s="389">
        <f t="shared" si="186"/>
        <v>4788.4484999999995</v>
      </c>
      <c r="AI362" s="389">
        <f t="shared" si="186"/>
        <v>4788.4484999999995</v>
      </c>
      <c r="AJ362" s="389">
        <f t="shared" si="186"/>
        <v>4788.4484999999995</v>
      </c>
      <c r="AK362" s="389">
        <f t="shared" si="186"/>
        <v>4788.4484999999995</v>
      </c>
    </row>
    <row r="363" spans="2:37" s="377" customFormat="1">
      <c r="B363" s="377" t="s">
        <v>784</v>
      </c>
      <c r="C363" s="386">
        <f>DATE(2000,7,1)</f>
        <v>36708</v>
      </c>
      <c r="D363" s="387">
        <v>94052.33</v>
      </c>
      <c r="E363" s="387"/>
      <c r="F363" s="387">
        <f t="shared" si="185"/>
        <v>61134.021500000017</v>
      </c>
      <c r="H363" s="377">
        <f t="shared" si="170"/>
        <v>61134.021500000017</v>
      </c>
      <c r="I363" s="388">
        <v>2</v>
      </c>
      <c r="J363" s="404">
        <v>5</v>
      </c>
      <c r="L363" s="389">
        <v>0</v>
      </c>
      <c r="M363" s="389">
        <v>0</v>
      </c>
      <c r="N363" s="389">
        <v>0</v>
      </c>
      <c r="O363" s="389">
        <v>0</v>
      </c>
      <c r="P363" s="389">
        <v>0</v>
      </c>
      <c r="Q363" s="389">
        <v>0</v>
      </c>
      <c r="R363" s="389">
        <v>0</v>
      </c>
      <c r="S363" s="389">
        <v>0</v>
      </c>
      <c r="T363" s="389">
        <v>0</v>
      </c>
      <c r="U363" s="389">
        <v>0</v>
      </c>
      <c r="V363" s="389">
        <v>0</v>
      </c>
      <c r="W363" s="389">
        <f>SUM($D363*$J363)/100</f>
        <v>4702.6165000000001</v>
      </c>
      <c r="X363" s="389">
        <v>4702.62</v>
      </c>
      <c r="Y363" s="389">
        <v>4702.62</v>
      </c>
      <c r="Z363" s="389">
        <f t="shared" si="186"/>
        <v>4702.6165000000001</v>
      </c>
      <c r="AA363" s="389">
        <f t="shared" si="186"/>
        <v>4702.6165000000001</v>
      </c>
      <c r="AB363" s="389">
        <f t="shared" si="186"/>
        <v>4702.6165000000001</v>
      </c>
      <c r="AC363" s="389">
        <f t="shared" si="186"/>
        <v>4702.6165000000001</v>
      </c>
      <c r="AD363" s="389">
        <f t="shared" si="186"/>
        <v>4702.6165000000001</v>
      </c>
      <c r="AE363" s="389">
        <f t="shared" si="186"/>
        <v>4702.6165000000001</v>
      </c>
      <c r="AF363" s="389">
        <f t="shared" si="186"/>
        <v>4702.6165000000001</v>
      </c>
      <c r="AG363" s="389">
        <f t="shared" si="186"/>
        <v>4702.6165000000001</v>
      </c>
      <c r="AH363" s="389">
        <f t="shared" si="186"/>
        <v>4702.6165000000001</v>
      </c>
      <c r="AI363" s="389">
        <f t="shared" si="186"/>
        <v>4702.6165000000001</v>
      </c>
      <c r="AJ363" s="389">
        <f t="shared" si="186"/>
        <v>4702.6165000000001</v>
      </c>
      <c r="AK363" s="389">
        <f t="shared" si="186"/>
        <v>4702.6165000000001</v>
      </c>
    </row>
    <row r="364" spans="2:37" s="377" customFormat="1">
      <c r="B364" s="377" t="s">
        <v>784</v>
      </c>
      <c r="C364" s="386">
        <f>DATE(2001,7,1)</f>
        <v>37073</v>
      </c>
      <c r="D364" s="387">
        <v>102218.02</v>
      </c>
      <c r="E364" s="387"/>
      <c r="F364" s="387">
        <f t="shared" si="185"/>
        <v>61330.81</v>
      </c>
      <c r="H364" s="377">
        <f t="shared" si="170"/>
        <v>61330.81</v>
      </c>
      <c r="I364" s="388">
        <v>2</v>
      </c>
      <c r="J364" s="404">
        <v>5</v>
      </c>
      <c r="L364" s="389">
        <v>0</v>
      </c>
      <c r="M364" s="389">
        <v>0</v>
      </c>
      <c r="N364" s="389">
        <v>0</v>
      </c>
      <c r="O364" s="389">
        <v>0</v>
      </c>
      <c r="P364" s="389">
        <v>0</v>
      </c>
      <c r="Q364" s="389">
        <v>0</v>
      </c>
      <c r="R364" s="389">
        <v>0</v>
      </c>
      <c r="S364" s="389">
        <v>0</v>
      </c>
      <c r="T364" s="389">
        <v>0</v>
      </c>
      <c r="U364" s="389">
        <v>0</v>
      </c>
      <c r="V364" s="389">
        <v>0</v>
      </c>
      <c r="W364" s="389">
        <v>0</v>
      </c>
      <c r="X364" s="389">
        <v>5110.8999999999996</v>
      </c>
      <c r="Y364" s="389">
        <v>5110.8999999999996</v>
      </c>
      <c r="Z364" s="389">
        <f t="shared" si="186"/>
        <v>5110.9010000000007</v>
      </c>
      <c r="AA364" s="389">
        <f t="shared" si="186"/>
        <v>5110.9010000000007</v>
      </c>
      <c r="AB364" s="389">
        <f t="shared" si="186"/>
        <v>5110.9010000000007</v>
      </c>
      <c r="AC364" s="389">
        <f t="shared" si="186"/>
        <v>5110.9010000000007</v>
      </c>
      <c r="AD364" s="389">
        <f t="shared" si="186"/>
        <v>5110.9010000000007</v>
      </c>
      <c r="AE364" s="389">
        <f t="shared" si="186"/>
        <v>5110.9010000000007</v>
      </c>
      <c r="AF364" s="389">
        <f t="shared" si="186"/>
        <v>5110.9010000000007</v>
      </c>
      <c r="AG364" s="389">
        <f t="shared" si="186"/>
        <v>5110.9010000000007</v>
      </c>
      <c r="AH364" s="389">
        <f t="shared" si="186"/>
        <v>5110.9010000000007</v>
      </c>
      <c r="AI364" s="389">
        <f t="shared" si="186"/>
        <v>5110.9010000000007</v>
      </c>
      <c r="AJ364" s="389">
        <f t="shared" si="186"/>
        <v>5110.9010000000007</v>
      </c>
      <c r="AK364" s="389">
        <f t="shared" si="186"/>
        <v>5110.9010000000007</v>
      </c>
    </row>
    <row r="365" spans="2:37" s="377" customFormat="1">
      <c r="B365" s="377" t="s">
        <v>784</v>
      </c>
      <c r="C365" s="386">
        <f>DATE(2002,7,1)</f>
        <v>37438</v>
      </c>
      <c r="D365" s="387">
        <f>26800.61+41122.6</f>
        <v>67923.209999999992</v>
      </c>
      <c r="E365" s="387"/>
      <c r="F365" s="387">
        <f t="shared" si="185"/>
        <v>37357.764999999992</v>
      </c>
      <c r="H365" s="377">
        <f t="shared" si="170"/>
        <v>37357.764999999992</v>
      </c>
      <c r="I365" s="388">
        <v>2</v>
      </c>
      <c r="J365" s="404">
        <v>5</v>
      </c>
      <c r="L365" s="389">
        <v>0</v>
      </c>
      <c r="M365" s="389">
        <v>0</v>
      </c>
      <c r="N365" s="389">
        <v>0</v>
      </c>
      <c r="O365" s="389">
        <v>0</v>
      </c>
      <c r="P365" s="389">
        <v>0</v>
      </c>
      <c r="Q365" s="389">
        <v>0</v>
      </c>
      <c r="R365" s="389">
        <v>0</v>
      </c>
      <c r="S365" s="389">
        <v>0</v>
      </c>
      <c r="T365" s="389">
        <v>0</v>
      </c>
      <c r="U365" s="389">
        <v>0</v>
      </c>
      <c r="V365" s="389">
        <v>0</v>
      </c>
      <c r="W365" s="389">
        <v>0</v>
      </c>
      <c r="X365" s="389">
        <v>0</v>
      </c>
      <c r="Y365" s="389">
        <v>3396.16</v>
      </c>
      <c r="Z365" s="389">
        <f t="shared" si="186"/>
        <v>3396.1604999999995</v>
      </c>
      <c r="AA365" s="389">
        <f t="shared" si="186"/>
        <v>3396.1604999999995</v>
      </c>
      <c r="AB365" s="389">
        <f t="shared" si="186"/>
        <v>3396.1604999999995</v>
      </c>
      <c r="AC365" s="389">
        <f t="shared" si="186"/>
        <v>3396.1604999999995</v>
      </c>
      <c r="AD365" s="389">
        <f t="shared" si="186"/>
        <v>3396.1604999999995</v>
      </c>
      <c r="AE365" s="389">
        <f t="shared" si="186"/>
        <v>3396.1604999999995</v>
      </c>
      <c r="AF365" s="389">
        <f t="shared" si="186"/>
        <v>3396.1604999999995</v>
      </c>
      <c r="AG365" s="389">
        <f t="shared" si="186"/>
        <v>3396.1604999999995</v>
      </c>
      <c r="AH365" s="389">
        <f t="shared" si="186"/>
        <v>3396.1604999999995</v>
      </c>
      <c r="AI365" s="389">
        <f t="shared" si="186"/>
        <v>3396.1604999999995</v>
      </c>
      <c r="AJ365" s="389">
        <f t="shared" si="186"/>
        <v>3396.1604999999995</v>
      </c>
      <c r="AK365" s="389">
        <f t="shared" si="186"/>
        <v>3396.1604999999995</v>
      </c>
    </row>
    <row r="366" spans="2:37" s="377" customFormat="1">
      <c r="B366" s="377" t="s">
        <v>784</v>
      </c>
      <c r="C366" s="386">
        <f>DATE(2003,7,1)</f>
        <v>37803</v>
      </c>
      <c r="D366" s="387">
        <v>69560</v>
      </c>
      <c r="E366" s="387"/>
      <c r="F366" s="387">
        <f t="shared" si="185"/>
        <v>34780</v>
      </c>
      <c r="H366" s="377">
        <f t="shared" si="170"/>
        <v>34780</v>
      </c>
      <c r="I366" s="388">
        <v>2</v>
      </c>
      <c r="J366" s="404">
        <v>5</v>
      </c>
      <c r="L366" s="389">
        <v>0</v>
      </c>
      <c r="M366" s="389">
        <v>0</v>
      </c>
      <c r="N366" s="389">
        <v>0</v>
      </c>
      <c r="O366" s="389">
        <v>0</v>
      </c>
      <c r="P366" s="389">
        <v>0</v>
      </c>
      <c r="Q366" s="389">
        <v>0</v>
      </c>
      <c r="R366" s="389">
        <v>0</v>
      </c>
      <c r="S366" s="389">
        <v>0</v>
      </c>
      <c r="T366" s="389">
        <v>0</v>
      </c>
      <c r="U366" s="389">
        <v>0</v>
      </c>
      <c r="V366" s="389">
        <v>0</v>
      </c>
      <c r="W366" s="389">
        <v>0</v>
      </c>
      <c r="X366" s="389">
        <v>0</v>
      </c>
      <c r="Y366" s="389">
        <v>0</v>
      </c>
      <c r="Z366" s="389">
        <f t="shared" si="186"/>
        <v>3478</v>
      </c>
      <c r="AA366" s="389">
        <f t="shared" si="186"/>
        <v>3478</v>
      </c>
      <c r="AB366" s="389">
        <f t="shared" si="186"/>
        <v>3478</v>
      </c>
      <c r="AC366" s="389">
        <f t="shared" si="186"/>
        <v>3478</v>
      </c>
      <c r="AD366" s="389">
        <f t="shared" si="186"/>
        <v>3478</v>
      </c>
      <c r="AE366" s="389">
        <f t="shared" si="186"/>
        <v>3478</v>
      </c>
      <c r="AF366" s="389">
        <f t="shared" si="186"/>
        <v>3478</v>
      </c>
      <c r="AG366" s="389">
        <f t="shared" si="186"/>
        <v>3478</v>
      </c>
      <c r="AH366" s="389">
        <f t="shared" si="186"/>
        <v>3478</v>
      </c>
      <c r="AI366" s="389">
        <f t="shared" si="186"/>
        <v>3478</v>
      </c>
      <c r="AJ366" s="389">
        <f t="shared" si="186"/>
        <v>3478</v>
      </c>
      <c r="AK366" s="389">
        <f t="shared" si="186"/>
        <v>3478</v>
      </c>
    </row>
    <row r="367" spans="2:37" s="377" customFormat="1">
      <c r="B367" s="377" t="s">
        <v>784</v>
      </c>
      <c r="C367" s="386">
        <f>DATE(2004,7,1)</f>
        <v>38169</v>
      </c>
      <c r="D367" s="387">
        <v>161642.23999999999</v>
      </c>
      <c r="E367" s="387"/>
      <c r="F367" s="387">
        <f t="shared" si="185"/>
        <v>72739.008000000002</v>
      </c>
      <c r="H367" s="377">
        <f t="shared" si="170"/>
        <v>72739.008000000002</v>
      </c>
      <c r="I367" s="388">
        <v>2</v>
      </c>
      <c r="J367" s="404">
        <v>5</v>
      </c>
      <c r="L367" s="389">
        <v>0</v>
      </c>
      <c r="M367" s="389">
        <v>0</v>
      </c>
      <c r="N367" s="389">
        <v>0</v>
      </c>
      <c r="O367" s="389">
        <v>0</v>
      </c>
      <c r="P367" s="389">
        <v>0</v>
      </c>
      <c r="Q367" s="389">
        <v>0</v>
      </c>
      <c r="R367" s="389">
        <v>0</v>
      </c>
      <c r="S367" s="389">
        <v>0</v>
      </c>
      <c r="T367" s="389">
        <v>0</v>
      </c>
      <c r="U367" s="389">
        <v>0</v>
      </c>
      <c r="V367" s="389">
        <v>0</v>
      </c>
      <c r="W367" s="389">
        <v>0</v>
      </c>
      <c r="X367" s="389">
        <v>0</v>
      </c>
      <c r="Y367" s="389">
        <v>0</v>
      </c>
      <c r="Z367" s="389">
        <v>0</v>
      </c>
      <c r="AA367" s="389">
        <f t="shared" ref="AA367:AK367" si="187">SUM($D367*$J367)/100</f>
        <v>8082.1119999999992</v>
      </c>
      <c r="AB367" s="389">
        <f t="shared" si="187"/>
        <v>8082.1119999999992</v>
      </c>
      <c r="AC367" s="389">
        <f t="shared" si="187"/>
        <v>8082.1119999999992</v>
      </c>
      <c r="AD367" s="389">
        <f t="shared" si="187"/>
        <v>8082.1119999999992</v>
      </c>
      <c r="AE367" s="389">
        <f t="shared" si="187"/>
        <v>8082.1119999999992</v>
      </c>
      <c r="AF367" s="389">
        <f t="shared" si="187"/>
        <v>8082.1119999999992</v>
      </c>
      <c r="AG367" s="389">
        <f t="shared" si="187"/>
        <v>8082.1119999999992</v>
      </c>
      <c r="AH367" s="389">
        <f t="shared" si="187"/>
        <v>8082.1119999999992</v>
      </c>
      <c r="AI367" s="389">
        <f t="shared" si="187"/>
        <v>8082.1119999999992</v>
      </c>
      <c r="AJ367" s="389">
        <f t="shared" si="187"/>
        <v>8082.1119999999992</v>
      </c>
      <c r="AK367" s="389">
        <f t="shared" si="187"/>
        <v>8082.1119999999992</v>
      </c>
    </row>
    <row r="368" spans="2:37" s="377" customFormat="1">
      <c r="B368" s="377" t="s">
        <v>784</v>
      </c>
      <c r="C368" s="386">
        <f>DATE(2005,7,1)</f>
        <v>38534</v>
      </c>
      <c r="D368" s="387">
        <v>80719.08</v>
      </c>
      <c r="E368" s="387"/>
      <c r="F368" s="387">
        <f t="shared" si="185"/>
        <v>32287.632000000005</v>
      </c>
      <c r="H368" s="377">
        <f t="shared" si="170"/>
        <v>32287.632000000005</v>
      </c>
      <c r="I368" s="388">
        <v>2</v>
      </c>
      <c r="J368" s="404">
        <v>5</v>
      </c>
      <c r="L368" s="389">
        <v>0</v>
      </c>
      <c r="M368" s="389">
        <v>0</v>
      </c>
      <c r="N368" s="389">
        <v>0</v>
      </c>
      <c r="O368" s="389">
        <v>0</v>
      </c>
      <c r="P368" s="389">
        <v>0</v>
      </c>
      <c r="Q368" s="389">
        <v>0</v>
      </c>
      <c r="R368" s="389">
        <v>0</v>
      </c>
      <c r="S368" s="389">
        <v>0</v>
      </c>
      <c r="T368" s="389">
        <v>0</v>
      </c>
      <c r="U368" s="389">
        <v>0</v>
      </c>
      <c r="V368" s="389">
        <v>0</v>
      </c>
      <c r="W368" s="389">
        <v>0</v>
      </c>
      <c r="X368" s="389">
        <v>0</v>
      </c>
      <c r="Y368" s="389">
        <v>0</v>
      </c>
      <c r="Z368" s="389">
        <v>0</v>
      </c>
      <c r="AA368" s="389">
        <v>0</v>
      </c>
      <c r="AB368" s="389">
        <f t="shared" ref="AB368:AK368" si="188">SUM($D368*$J368)/100</f>
        <v>4035.9540000000002</v>
      </c>
      <c r="AC368" s="389">
        <f t="shared" si="188"/>
        <v>4035.9540000000002</v>
      </c>
      <c r="AD368" s="389">
        <f t="shared" si="188"/>
        <v>4035.9540000000002</v>
      </c>
      <c r="AE368" s="389">
        <f t="shared" si="188"/>
        <v>4035.9540000000002</v>
      </c>
      <c r="AF368" s="389">
        <f t="shared" si="188"/>
        <v>4035.9540000000002</v>
      </c>
      <c r="AG368" s="389">
        <f t="shared" si="188"/>
        <v>4035.9540000000002</v>
      </c>
      <c r="AH368" s="389">
        <f t="shared" si="188"/>
        <v>4035.9540000000002</v>
      </c>
      <c r="AI368" s="389">
        <f t="shared" si="188"/>
        <v>4035.9540000000002</v>
      </c>
      <c r="AJ368" s="389">
        <f t="shared" si="188"/>
        <v>4035.9540000000002</v>
      </c>
      <c r="AK368" s="389">
        <f t="shared" si="188"/>
        <v>4035.9540000000002</v>
      </c>
    </row>
    <row r="369" spans="2:37" s="377" customFormat="1">
      <c r="B369" s="377" t="s">
        <v>784</v>
      </c>
      <c r="C369" s="386">
        <f>DATE(2006,7,1)</f>
        <v>38899</v>
      </c>
      <c r="D369" s="387">
        <f>2784939.21-2520545.09-113460.34</f>
        <v>150933.78000000012</v>
      </c>
      <c r="E369" s="387"/>
      <c r="F369" s="387">
        <f t="shared" si="185"/>
        <v>52826.82300000004</v>
      </c>
      <c r="H369" s="377">
        <f t="shared" si="170"/>
        <v>52826.82300000004</v>
      </c>
      <c r="I369" s="388">
        <v>2</v>
      </c>
      <c r="J369" s="404">
        <v>5</v>
      </c>
      <c r="L369" s="389">
        <v>0</v>
      </c>
      <c r="M369" s="389">
        <v>0</v>
      </c>
      <c r="N369" s="389">
        <v>0</v>
      </c>
      <c r="O369" s="389">
        <v>0</v>
      </c>
      <c r="P369" s="389">
        <v>0</v>
      </c>
      <c r="Q369" s="389">
        <v>0</v>
      </c>
      <c r="R369" s="389">
        <v>0</v>
      </c>
      <c r="S369" s="389">
        <v>0</v>
      </c>
      <c r="T369" s="389">
        <v>0</v>
      </c>
      <c r="U369" s="389">
        <v>0</v>
      </c>
      <c r="V369" s="389">
        <v>0</v>
      </c>
      <c r="W369" s="389">
        <v>0</v>
      </c>
      <c r="X369" s="389">
        <v>0</v>
      </c>
      <c r="Y369" s="389">
        <v>0</v>
      </c>
      <c r="Z369" s="389">
        <v>0</v>
      </c>
      <c r="AA369" s="389">
        <v>0</v>
      </c>
      <c r="AB369" s="389">
        <v>0</v>
      </c>
      <c r="AC369" s="389">
        <f t="shared" ref="AC369:AK369" si="189">SUM($D369*$J369)/100</f>
        <v>7546.6890000000058</v>
      </c>
      <c r="AD369" s="389">
        <f t="shared" si="189"/>
        <v>7546.6890000000058</v>
      </c>
      <c r="AE369" s="389">
        <f t="shared" si="189"/>
        <v>7546.6890000000058</v>
      </c>
      <c r="AF369" s="389">
        <f t="shared" si="189"/>
        <v>7546.6890000000058</v>
      </c>
      <c r="AG369" s="389">
        <f t="shared" si="189"/>
        <v>7546.6890000000058</v>
      </c>
      <c r="AH369" s="389">
        <f t="shared" si="189"/>
        <v>7546.6890000000058</v>
      </c>
      <c r="AI369" s="389">
        <f t="shared" si="189"/>
        <v>7546.6890000000058</v>
      </c>
      <c r="AJ369" s="389">
        <f t="shared" si="189"/>
        <v>7546.6890000000058</v>
      </c>
      <c r="AK369" s="389">
        <f t="shared" si="189"/>
        <v>7546.6890000000058</v>
      </c>
    </row>
    <row r="370" spans="2:37" s="377" customFormat="1">
      <c r="B370" s="377" t="s">
        <v>784</v>
      </c>
      <c r="C370" s="386">
        <f>DATE(2007,7,1)</f>
        <v>39264</v>
      </c>
      <c r="D370" s="387">
        <v>169496.98</v>
      </c>
      <c r="E370" s="387"/>
      <c r="F370" s="387">
        <f t="shared" si="185"/>
        <v>50849.094000000005</v>
      </c>
      <c r="H370" s="377">
        <f t="shared" si="170"/>
        <v>50849.094000000005</v>
      </c>
      <c r="I370" s="388">
        <v>2</v>
      </c>
      <c r="J370" s="404">
        <v>5</v>
      </c>
      <c r="L370" s="389">
        <v>0</v>
      </c>
      <c r="M370" s="389">
        <v>0</v>
      </c>
      <c r="N370" s="389">
        <v>0</v>
      </c>
      <c r="O370" s="389">
        <v>0</v>
      </c>
      <c r="P370" s="389">
        <v>0</v>
      </c>
      <c r="Q370" s="389">
        <v>0</v>
      </c>
      <c r="R370" s="389">
        <v>0</v>
      </c>
      <c r="S370" s="389">
        <v>0</v>
      </c>
      <c r="T370" s="389">
        <v>0</v>
      </c>
      <c r="U370" s="389">
        <v>0</v>
      </c>
      <c r="V370" s="389">
        <v>0</v>
      </c>
      <c r="W370" s="389">
        <v>0</v>
      </c>
      <c r="X370" s="389">
        <v>0</v>
      </c>
      <c r="Y370" s="389">
        <v>0</v>
      </c>
      <c r="Z370" s="389">
        <v>0</v>
      </c>
      <c r="AA370" s="389">
        <v>0</v>
      </c>
      <c r="AB370" s="389">
        <v>0</v>
      </c>
      <c r="AC370" s="389">
        <v>0</v>
      </c>
      <c r="AD370" s="389">
        <f t="shared" ref="AD370:AK370" si="190">SUM($D370*$J370)/100</f>
        <v>8474.8490000000002</v>
      </c>
      <c r="AE370" s="389">
        <f t="shared" si="190"/>
        <v>8474.8490000000002</v>
      </c>
      <c r="AF370" s="389">
        <f t="shared" si="190"/>
        <v>8474.8490000000002</v>
      </c>
      <c r="AG370" s="389">
        <f t="shared" si="190"/>
        <v>8474.8490000000002</v>
      </c>
      <c r="AH370" s="389">
        <f t="shared" si="190"/>
        <v>8474.8490000000002</v>
      </c>
      <c r="AI370" s="389">
        <f t="shared" si="190"/>
        <v>8474.8490000000002</v>
      </c>
      <c r="AJ370" s="389">
        <f t="shared" si="190"/>
        <v>8474.8490000000002</v>
      </c>
      <c r="AK370" s="389">
        <f t="shared" si="190"/>
        <v>8474.8490000000002</v>
      </c>
    </row>
    <row r="371" spans="2:37" s="377" customFormat="1">
      <c r="B371" s="377" t="s">
        <v>784</v>
      </c>
      <c r="C371" s="386">
        <f>DATE(2008,7,1)</f>
        <v>39630</v>
      </c>
      <c r="D371" s="387">
        <v>53081.65</v>
      </c>
      <c r="E371" s="387"/>
      <c r="F371" s="387">
        <f t="shared" si="185"/>
        <v>13270.4125</v>
      </c>
      <c r="H371" s="377">
        <f t="shared" si="170"/>
        <v>13270.4125</v>
      </c>
      <c r="I371" s="388">
        <v>2</v>
      </c>
      <c r="J371" s="404">
        <v>5</v>
      </c>
      <c r="L371" s="389">
        <v>0</v>
      </c>
      <c r="M371" s="389">
        <v>0</v>
      </c>
      <c r="N371" s="389">
        <v>0</v>
      </c>
      <c r="O371" s="389">
        <v>0</v>
      </c>
      <c r="P371" s="389">
        <v>0</v>
      </c>
      <c r="Q371" s="389">
        <v>0</v>
      </c>
      <c r="R371" s="389">
        <v>0</v>
      </c>
      <c r="S371" s="389">
        <v>0</v>
      </c>
      <c r="T371" s="389">
        <v>0</v>
      </c>
      <c r="U371" s="389">
        <v>0</v>
      </c>
      <c r="V371" s="389">
        <v>0</v>
      </c>
      <c r="W371" s="389">
        <v>0</v>
      </c>
      <c r="X371" s="389">
        <v>0</v>
      </c>
      <c r="Y371" s="389">
        <v>0</v>
      </c>
      <c r="Z371" s="389">
        <v>0</v>
      </c>
      <c r="AA371" s="389">
        <v>0</v>
      </c>
      <c r="AB371" s="389">
        <v>0</v>
      </c>
      <c r="AC371" s="389">
        <v>0</v>
      </c>
      <c r="AD371" s="389">
        <v>0</v>
      </c>
      <c r="AE371" s="389">
        <f t="shared" ref="AE371:AK371" si="191">SUM($D371*$J371)/100</f>
        <v>2654.0825</v>
      </c>
      <c r="AF371" s="389">
        <f t="shared" si="191"/>
        <v>2654.0825</v>
      </c>
      <c r="AG371" s="389">
        <f t="shared" si="191"/>
        <v>2654.0825</v>
      </c>
      <c r="AH371" s="389">
        <f t="shared" si="191"/>
        <v>2654.0825</v>
      </c>
      <c r="AI371" s="389">
        <f t="shared" si="191"/>
        <v>2654.0825</v>
      </c>
      <c r="AJ371" s="389">
        <f t="shared" si="191"/>
        <v>2654.0825</v>
      </c>
      <c r="AK371" s="389">
        <f t="shared" si="191"/>
        <v>2654.0825</v>
      </c>
    </row>
    <row r="372" spans="2:37" s="377" customFormat="1">
      <c r="B372" s="377" t="s">
        <v>784</v>
      </c>
      <c r="C372" s="386">
        <f>DATE(2009,7,1)</f>
        <v>39995</v>
      </c>
      <c r="D372" s="387">
        <v>81774.37</v>
      </c>
      <c r="E372" s="387"/>
      <c r="F372" s="387">
        <f t="shared" si="185"/>
        <v>16354.874</v>
      </c>
      <c r="H372" s="377">
        <f t="shared" si="170"/>
        <v>16354.874</v>
      </c>
      <c r="I372" s="388">
        <v>2</v>
      </c>
      <c r="J372" s="404">
        <v>5</v>
      </c>
      <c r="L372" s="389">
        <v>0</v>
      </c>
      <c r="M372" s="389">
        <v>0</v>
      </c>
      <c r="N372" s="389">
        <v>0</v>
      </c>
      <c r="O372" s="389">
        <v>0</v>
      </c>
      <c r="P372" s="389">
        <v>0</v>
      </c>
      <c r="Q372" s="389">
        <v>0</v>
      </c>
      <c r="R372" s="389">
        <v>0</v>
      </c>
      <c r="S372" s="389">
        <v>0</v>
      </c>
      <c r="T372" s="389">
        <v>0</v>
      </c>
      <c r="U372" s="389">
        <v>0</v>
      </c>
      <c r="V372" s="389">
        <v>0</v>
      </c>
      <c r="W372" s="389">
        <v>0</v>
      </c>
      <c r="X372" s="389">
        <v>0</v>
      </c>
      <c r="Y372" s="389">
        <v>0</v>
      </c>
      <c r="Z372" s="389">
        <v>0</v>
      </c>
      <c r="AA372" s="389">
        <v>0</v>
      </c>
      <c r="AB372" s="389">
        <v>0</v>
      </c>
      <c r="AC372" s="389">
        <v>0</v>
      </c>
      <c r="AD372" s="389">
        <v>0</v>
      </c>
      <c r="AE372" s="389">
        <v>0</v>
      </c>
      <c r="AF372" s="389">
        <f t="shared" ref="AF372:AK374" si="192">SUM($D372*$J372)/100</f>
        <v>4088.7184999999999</v>
      </c>
      <c r="AG372" s="389">
        <f t="shared" si="192"/>
        <v>4088.7184999999999</v>
      </c>
      <c r="AH372" s="389">
        <f t="shared" si="192"/>
        <v>4088.7184999999999</v>
      </c>
      <c r="AI372" s="389">
        <f t="shared" si="192"/>
        <v>4088.7184999999999</v>
      </c>
      <c r="AJ372" s="389">
        <f t="shared" si="192"/>
        <v>4088.7184999999999</v>
      </c>
      <c r="AK372" s="389">
        <f t="shared" si="192"/>
        <v>4088.7184999999999</v>
      </c>
    </row>
    <row r="373" spans="2:37" s="377" customFormat="1">
      <c r="B373" s="377" t="s">
        <v>784</v>
      </c>
      <c r="C373" s="386">
        <f>DATE(2009,7,1)</f>
        <v>39995</v>
      </c>
      <c r="D373" s="387">
        <v>26352.48</v>
      </c>
      <c r="E373" s="387"/>
      <c r="F373" s="387">
        <f t="shared" si="185"/>
        <v>5270.4960000000001</v>
      </c>
      <c r="H373" s="377">
        <f t="shared" si="170"/>
        <v>5270.4960000000001</v>
      </c>
      <c r="I373" s="388">
        <v>2</v>
      </c>
      <c r="J373" s="404">
        <v>5</v>
      </c>
      <c r="L373" s="389">
        <v>0</v>
      </c>
      <c r="M373" s="389">
        <v>0</v>
      </c>
      <c r="N373" s="389">
        <v>0</v>
      </c>
      <c r="O373" s="389">
        <v>0</v>
      </c>
      <c r="P373" s="389">
        <v>0</v>
      </c>
      <c r="Q373" s="389">
        <v>0</v>
      </c>
      <c r="R373" s="389">
        <v>0</v>
      </c>
      <c r="S373" s="389">
        <v>0</v>
      </c>
      <c r="T373" s="389">
        <v>0</v>
      </c>
      <c r="U373" s="389">
        <v>0</v>
      </c>
      <c r="V373" s="389">
        <v>0</v>
      </c>
      <c r="W373" s="389">
        <v>0</v>
      </c>
      <c r="X373" s="389">
        <v>0</v>
      </c>
      <c r="Y373" s="389">
        <v>0</v>
      </c>
      <c r="Z373" s="389">
        <v>0</v>
      </c>
      <c r="AA373" s="389">
        <v>0</v>
      </c>
      <c r="AB373" s="389">
        <v>0</v>
      </c>
      <c r="AC373" s="389">
        <v>0</v>
      </c>
      <c r="AD373" s="389">
        <v>0</v>
      </c>
      <c r="AE373" s="389">
        <v>0</v>
      </c>
      <c r="AF373" s="389">
        <f t="shared" si="192"/>
        <v>1317.624</v>
      </c>
      <c r="AG373" s="389">
        <f t="shared" si="192"/>
        <v>1317.624</v>
      </c>
      <c r="AH373" s="389">
        <f t="shared" si="192"/>
        <v>1317.624</v>
      </c>
      <c r="AI373" s="389">
        <f t="shared" si="192"/>
        <v>1317.624</v>
      </c>
      <c r="AJ373" s="389">
        <f t="shared" si="192"/>
        <v>1317.624</v>
      </c>
      <c r="AK373" s="389">
        <f t="shared" si="192"/>
        <v>1317.624</v>
      </c>
    </row>
    <row r="374" spans="2:37" s="377" customFormat="1">
      <c r="B374" s="377" t="s">
        <v>783</v>
      </c>
      <c r="C374" s="386">
        <f>DATE(2009,7,1)</f>
        <v>39995</v>
      </c>
      <c r="D374" s="387">
        <v>372538.65</v>
      </c>
      <c r="E374" s="387"/>
      <c r="F374" s="387">
        <f t="shared" si="185"/>
        <v>74507.73</v>
      </c>
      <c r="H374" s="377">
        <f t="shared" ref="H374:H408" si="193">SUM(K374:AI374)</f>
        <v>74507.73</v>
      </c>
      <c r="I374" s="388"/>
      <c r="J374" s="404">
        <v>5</v>
      </c>
      <c r="L374" s="389"/>
      <c r="M374" s="389"/>
      <c r="N374" s="389"/>
      <c r="O374" s="389"/>
      <c r="P374" s="389"/>
      <c r="Q374" s="389"/>
      <c r="R374" s="389"/>
      <c r="S374" s="389"/>
      <c r="T374" s="389"/>
      <c r="U374" s="389"/>
      <c r="V374" s="389"/>
      <c r="W374" s="389"/>
      <c r="X374" s="389"/>
      <c r="Y374" s="389"/>
      <c r="Z374" s="389"/>
      <c r="AA374" s="389"/>
      <c r="AB374" s="389"/>
      <c r="AC374" s="389"/>
      <c r="AD374" s="389"/>
      <c r="AE374" s="389">
        <v>0</v>
      </c>
      <c r="AF374" s="389">
        <f t="shared" si="192"/>
        <v>18626.932499999999</v>
      </c>
      <c r="AG374" s="389">
        <f t="shared" si="192"/>
        <v>18626.932499999999</v>
      </c>
      <c r="AH374" s="389">
        <f t="shared" si="192"/>
        <v>18626.932499999999</v>
      </c>
      <c r="AI374" s="389">
        <f t="shared" si="192"/>
        <v>18626.932499999999</v>
      </c>
      <c r="AJ374" s="389">
        <f t="shared" si="192"/>
        <v>18626.932499999999</v>
      </c>
      <c r="AK374" s="389">
        <f t="shared" si="192"/>
        <v>18626.932499999999</v>
      </c>
    </row>
    <row r="375" spans="2:37" s="377" customFormat="1">
      <c r="B375" s="377" t="s">
        <v>782</v>
      </c>
      <c r="C375" s="386">
        <f t="shared" ref="C375:C381" si="194">DATE(2010,7,1)</f>
        <v>40360</v>
      </c>
      <c r="D375" s="387">
        <v>28928.92</v>
      </c>
      <c r="E375" s="387"/>
      <c r="F375" s="387">
        <f t="shared" si="185"/>
        <v>4339.3379999999988</v>
      </c>
      <c r="H375" s="377">
        <f t="shared" si="193"/>
        <v>4339.3379999999988</v>
      </c>
      <c r="I375" s="388"/>
      <c r="J375" s="404">
        <v>5</v>
      </c>
      <c r="L375" s="389"/>
      <c r="M375" s="389"/>
      <c r="N375" s="389"/>
      <c r="O375" s="389"/>
      <c r="P375" s="389"/>
      <c r="Q375" s="389"/>
      <c r="R375" s="389"/>
      <c r="S375" s="389"/>
      <c r="T375" s="389"/>
      <c r="U375" s="389"/>
      <c r="V375" s="389"/>
      <c r="W375" s="389"/>
      <c r="X375" s="389"/>
      <c r="Y375" s="389"/>
      <c r="Z375" s="389"/>
      <c r="AA375" s="389"/>
      <c r="AB375" s="389"/>
      <c r="AC375" s="389"/>
      <c r="AD375" s="389"/>
      <c r="AE375" s="389">
        <v>0</v>
      </c>
      <c r="AF375" s="389">
        <v>0</v>
      </c>
      <c r="AG375" s="389">
        <f t="shared" ref="AG375:AK381" si="195">SUM($D375*$J375)/100</f>
        <v>1446.4459999999997</v>
      </c>
      <c r="AH375" s="389">
        <f t="shared" si="195"/>
        <v>1446.4459999999997</v>
      </c>
      <c r="AI375" s="389">
        <f t="shared" si="195"/>
        <v>1446.4459999999997</v>
      </c>
      <c r="AJ375" s="389">
        <f t="shared" si="195"/>
        <v>1446.4459999999997</v>
      </c>
      <c r="AK375" s="389">
        <f t="shared" si="195"/>
        <v>1446.4459999999997</v>
      </c>
    </row>
    <row r="376" spans="2:37" s="377" customFormat="1">
      <c r="B376" s="377" t="s">
        <v>781</v>
      </c>
      <c r="C376" s="386">
        <f t="shared" si="194"/>
        <v>40360</v>
      </c>
      <c r="D376" s="387">
        <v>3790.47</v>
      </c>
      <c r="E376" s="387"/>
      <c r="F376" s="387">
        <f t="shared" si="185"/>
        <v>568.57049999999992</v>
      </c>
      <c r="H376" s="377">
        <f t="shared" si="193"/>
        <v>568.57049999999992</v>
      </c>
      <c r="I376" s="388"/>
      <c r="J376" s="404">
        <v>5</v>
      </c>
      <c r="L376" s="389"/>
      <c r="M376" s="389"/>
      <c r="N376" s="389"/>
      <c r="O376" s="389"/>
      <c r="P376" s="389"/>
      <c r="Q376" s="389"/>
      <c r="R376" s="389"/>
      <c r="S376" s="389"/>
      <c r="T376" s="389"/>
      <c r="U376" s="389"/>
      <c r="V376" s="389"/>
      <c r="W376" s="389"/>
      <c r="X376" s="389"/>
      <c r="Y376" s="389"/>
      <c r="Z376" s="389"/>
      <c r="AA376" s="389"/>
      <c r="AB376" s="389"/>
      <c r="AC376" s="389"/>
      <c r="AD376" s="389"/>
      <c r="AE376" s="389">
        <v>0</v>
      </c>
      <c r="AF376" s="389">
        <v>0</v>
      </c>
      <c r="AG376" s="389">
        <f t="shared" si="195"/>
        <v>189.52349999999998</v>
      </c>
      <c r="AH376" s="389">
        <f t="shared" si="195"/>
        <v>189.52349999999998</v>
      </c>
      <c r="AI376" s="389">
        <f t="shared" si="195"/>
        <v>189.52349999999998</v>
      </c>
      <c r="AJ376" s="389">
        <f t="shared" si="195"/>
        <v>189.52349999999998</v>
      </c>
      <c r="AK376" s="389">
        <f t="shared" si="195"/>
        <v>189.52349999999998</v>
      </c>
    </row>
    <row r="377" spans="2:37" s="377" customFormat="1">
      <c r="B377" s="377" t="s">
        <v>775</v>
      </c>
      <c r="C377" s="386">
        <f t="shared" si="194"/>
        <v>40360</v>
      </c>
      <c r="D377" s="387">
        <v>24607.07</v>
      </c>
      <c r="E377" s="387"/>
      <c r="F377" s="387">
        <f t="shared" si="185"/>
        <v>3691.0605000000005</v>
      </c>
      <c r="H377" s="377">
        <f t="shared" si="193"/>
        <v>3691.0605000000005</v>
      </c>
      <c r="I377" s="388"/>
      <c r="J377" s="404">
        <v>5</v>
      </c>
      <c r="L377" s="389"/>
      <c r="M377" s="389"/>
      <c r="N377" s="389"/>
      <c r="O377" s="389"/>
      <c r="P377" s="389"/>
      <c r="Q377" s="389"/>
      <c r="R377" s="389"/>
      <c r="S377" s="389"/>
      <c r="T377" s="389"/>
      <c r="U377" s="389"/>
      <c r="V377" s="389"/>
      <c r="W377" s="389"/>
      <c r="X377" s="389"/>
      <c r="Y377" s="389"/>
      <c r="Z377" s="389"/>
      <c r="AA377" s="389"/>
      <c r="AB377" s="389"/>
      <c r="AC377" s="389"/>
      <c r="AD377" s="389"/>
      <c r="AE377" s="389">
        <v>0</v>
      </c>
      <c r="AF377" s="389">
        <v>0</v>
      </c>
      <c r="AG377" s="389">
        <f t="shared" si="195"/>
        <v>1230.3535000000002</v>
      </c>
      <c r="AH377" s="389">
        <f t="shared" si="195"/>
        <v>1230.3535000000002</v>
      </c>
      <c r="AI377" s="389">
        <f t="shared" si="195"/>
        <v>1230.3535000000002</v>
      </c>
      <c r="AJ377" s="389">
        <f t="shared" si="195"/>
        <v>1230.3535000000002</v>
      </c>
      <c r="AK377" s="389">
        <f t="shared" si="195"/>
        <v>1230.3535000000002</v>
      </c>
    </row>
    <row r="378" spans="2:37" s="377" customFormat="1">
      <c r="B378" s="377" t="s">
        <v>775</v>
      </c>
      <c r="C378" s="386">
        <f t="shared" si="194"/>
        <v>40360</v>
      </c>
      <c r="D378" s="387">
        <v>11650.66</v>
      </c>
      <c r="E378" s="387"/>
      <c r="F378" s="387">
        <f t="shared" si="185"/>
        <v>1747.5990000000002</v>
      </c>
      <c r="H378" s="377">
        <f t="shared" si="193"/>
        <v>1747.5990000000002</v>
      </c>
      <c r="I378" s="388"/>
      <c r="J378" s="404">
        <v>5</v>
      </c>
      <c r="L378" s="389"/>
      <c r="M378" s="389"/>
      <c r="N378" s="389"/>
      <c r="O378" s="389"/>
      <c r="P378" s="389"/>
      <c r="Q378" s="389"/>
      <c r="R378" s="389"/>
      <c r="S378" s="389"/>
      <c r="T378" s="389"/>
      <c r="U378" s="389"/>
      <c r="V378" s="389"/>
      <c r="W378" s="389"/>
      <c r="X378" s="389"/>
      <c r="Y378" s="389"/>
      <c r="Z378" s="389"/>
      <c r="AA378" s="389"/>
      <c r="AB378" s="389"/>
      <c r="AC378" s="389"/>
      <c r="AD378" s="389"/>
      <c r="AE378" s="389">
        <v>0</v>
      </c>
      <c r="AF378" s="389">
        <v>0</v>
      </c>
      <c r="AG378" s="389">
        <f t="shared" si="195"/>
        <v>582.53300000000002</v>
      </c>
      <c r="AH378" s="389">
        <f t="shared" si="195"/>
        <v>582.53300000000002</v>
      </c>
      <c r="AI378" s="389">
        <f t="shared" si="195"/>
        <v>582.53300000000002</v>
      </c>
      <c r="AJ378" s="389">
        <f t="shared" si="195"/>
        <v>582.53300000000002</v>
      </c>
      <c r="AK378" s="389">
        <f t="shared" si="195"/>
        <v>582.53300000000002</v>
      </c>
    </row>
    <row r="379" spans="2:37" s="377" customFormat="1">
      <c r="B379" s="377" t="s">
        <v>780</v>
      </c>
      <c r="C379" s="386">
        <f t="shared" si="194"/>
        <v>40360</v>
      </c>
      <c r="D379" s="387">
        <v>1900.55</v>
      </c>
      <c r="E379" s="387"/>
      <c r="F379" s="387">
        <f t="shared" si="185"/>
        <v>285.08249999999998</v>
      </c>
      <c r="H379" s="377">
        <f t="shared" si="193"/>
        <v>285.08249999999998</v>
      </c>
      <c r="I379" s="388"/>
      <c r="J379" s="404">
        <v>5</v>
      </c>
      <c r="L379" s="389"/>
      <c r="M379" s="389"/>
      <c r="N379" s="389"/>
      <c r="O379" s="389"/>
      <c r="P379" s="389"/>
      <c r="Q379" s="389"/>
      <c r="R379" s="389"/>
      <c r="S379" s="389"/>
      <c r="T379" s="389"/>
      <c r="U379" s="389"/>
      <c r="V379" s="389"/>
      <c r="W379" s="389"/>
      <c r="X379" s="389"/>
      <c r="Y379" s="389"/>
      <c r="Z379" s="389"/>
      <c r="AA379" s="389"/>
      <c r="AB379" s="389"/>
      <c r="AC379" s="389"/>
      <c r="AD379" s="389"/>
      <c r="AE379" s="389">
        <v>0</v>
      </c>
      <c r="AF379" s="389">
        <v>0</v>
      </c>
      <c r="AG379" s="389">
        <f t="shared" si="195"/>
        <v>95.027500000000003</v>
      </c>
      <c r="AH379" s="389">
        <f t="shared" si="195"/>
        <v>95.027500000000003</v>
      </c>
      <c r="AI379" s="389">
        <f t="shared" si="195"/>
        <v>95.027500000000003</v>
      </c>
      <c r="AJ379" s="389">
        <f t="shared" si="195"/>
        <v>95.027500000000003</v>
      </c>
      <c r="AK379" s="389">
        <f t="shared" si="195"/>
        <v>95.027500000000003</v>
      </c>
    </row>
    <row r="380" spans="2:37" s="377" customFormat="1">
      <c r="B380" s="377" t="s">
        <v>779</v>
      </c>
      <c r="C380" s="386">
        <f t="shared" si="194"/>
        <v>40360</v>
      </c>
      <c r="D380" s="387">
        <v>2871.88</v>
      </c>
      <c r="E380" s="387"/>
      <c r="F380" s="387">
        <f t="shared" si="185"/>
        <v>430.78200000000004</v>
      </c>
      <c r="H380" s="377">
        <f t="shared" si="193"/>
        <v>430.78200000000004</v>
      </c>
      <c r="I380" s="388"/>
      <c r="J380" s="404">
        <v>5</v>
      </c>
      <c r="L380" s="389"/>
      <c r="M380" s="389"/>
      <c r="N380" s="389"/>
      <c r="O380" s="389"/>
      <c r="P380" s="389"/>
      <c r="Q380" s="389"/>
      <c r="R380" s="389"/>
      <c r="S380" s="389"/>
      <c r="T380" s="389"/>
      <c r="U380" s="389"/>
      <c r="V380" s="389"/>
      <c r="W380" s="389"/>
      <c r="X380" s="389"/>
      <c r="Y380" s="389"/>
      <c r="Z380" s="389"/>
      <c r="AA380" s="389"/>
      <c r="AB380" s="389"/>
      <c r="AC380" s="389"/>
      <c r="AD380" s="389"/>
      <c r="AE380" s="389">
        <v>0</v>
      </c>
      <c r="AF380" s="389">
        <v>0</v>
      </c>
      <c r="AG380" s="389">
        <f t="shared" si="195"/>
        <v>143.59400000000002</v>
      </c>
      <c r="AH380" s="389">
        <f t="shared" si="195"/>
        <v>143.59400000000002</v>
      </c>
      <c r="AI380" s="389">
        <f t="shared" si="195"/>
        <v>143.59400000000002</v>
      </c>
      <c r="AJ380" s="389">
        <f t="shared" si="195"/>
        <v>143.59400000000002</v>
      </c>
      <c r="AK380" s="389">
        <f t="shared" si="195"/>
        <v>143.59400000000002</v>
      </c>
    </row>
    <row r="381" spans="2:37" s="377" customFormat="1">
      <c r="B381" s="377" t="s">
        <v>778</v>
      </c>
      <c r="C381" s="386">
        <f t="shared" si="194"/>
        <v>40360</v>
      </c>
      <c r="D381" s="387">
        <v>12789.73</v>
      </c>
      <c r="E381" s="387"/>
      <c r="F381" s="387">
        <f t="shared" si="185"/>
        <v>1918.4594999999999</v>
      </c>
      <c r="H381" s="377">
        <f t="shared" si="193"/>
        <v>1918.4594999999999</v>
      </c>
      <c r="I381" s="388"/>
      <c r="J381" s="404">
        <v>5</v>
      </c>
      <c r="L381" s="389"/>
      <c r="M381" s="389"/>
      <c r="N381" s="389"/>
      <c r="O381" s="389"/>
      <c r="P381" s="389"/>
      <c r="Q381" s="389"/>
      <c r="R381" s="389"/>
      <c r="S381" s="389"/>
      <c r="T381" s="389"/>
      <c r="U381" s="389"/>
      <c r="V381" s="389"/>
      <c r="W381" s="389"/>
      <c r="X381" s="389"/>
      <c r="Y381" s="389"/>
      <c r="Z381" s="389"/>
      <c r="AA381" s="389"/>
      <c r="AB381" s="389"/>
      <c r="AC381" s="389"/>
      <c r="AD381" s="389"/>
      <c r="AE381" s="389">
        <v>0</v>
      </c>
      <c r="AF381" s="389">
        <v>0</v>
      </c>
      <c r="AG381" s="389">
        <f t="shared" si="195"/>
        <v>639.48649999999998</v>
      </c>
      <c r="AH381" s="389">
        <f t="shared" si="195"/>
        <v>639.48649999999998</v>
      </c>
      <c r="AI381" s="389">
        <f t="shared" si="195"/>
        <v>639.48649999999998</v>
      </c>
      <c r="AJ381" s="389">
        <f t="shared" si="195"/>
        <v>639.48649999999998</v>
      </c>
      <c r="AK381" s="389">
        <f t="shared" si="195"/>
        <v>639.48649999999998</v>
      </c>
    </row>
    <row r="382" spans="2:37" s="377" customFormat="1">
      <c r="B382" s="377" t="s">
        <v>777</v>
      </c>
      <c r="C382" s="386">
        <f t="shared" ref="C382:C389" si="196">DATE(2011,7,1)</f>
        <v>40725</v>
      </c>
      <c r="D382" s="387">
        <v>2787.68</v>
      </c>
      <c r="E382" s="387"/>
      <c r="F382" s="387">
        <f t="shared" si="185"/>
        <v>278.76799999999997</v>
      </c>
      <c r="H382" s="377">
        <f t="shared" si="193"/>
        <v>278.76799999999997</v>
      </c>
      <c r="I382" s="388"/>
      <c r="J382" s="404">
        <v>5</v>
      </c>
      <c r="L382" s="389"/>
      <c r="M382" s="389"/>
      <c r="N382" s="389"/>
      <c r="O382" s="389"/>
      <c r="P382" s="389"/>
      <c r="Q382" s="389"/>
      <c r="R382" s="389"/>
      <c r="S382" s="389"/>
      <c r="T382" s="389"/>
      <c r="U382" s="389"/>
      <c r="V382" s="389"/>
      <c r="W382" s="389"/>
      <c r="X382" s="389"/>
      <c r="Y382" s="389"/>
      <c r="Z382" s="389"/>
      <c r="AA382" s="389"/>
      <c r="AB382" s="389"/>
      <c r="AC382" s="389"/>
      <c r="AD382" s="389"/>
      <c r="AE382" s="389"/>
      <c r="AF382" s="389"/>
      <c r="AG382" s="389"/>
      <c r="AH382" s="389">
        <f t="shared" ref="AH382:AK389" si="197">SUM($D382*$J382)/100</f>
        <v>139.38399999999999</v>
      </c>
      <c r="AI382" s="389">
        <f t="shared" si="197"/>
        <v>139.38399999999999</v>
      </c>
      <c r="AJ382" s="389">
        <f t="shared" si="197"/>
        <v>139.38399999999999</v>
      </c>
      <c r="AK382" s="389">
        <f t="shared" si="197"/>
        <v>139.38399999999999</v>
      </c>
    </row>
    <row r="383" spans="2:37" s="377" customFormat="1">
      <c r="B383" s="377" t="s">
        <v>776</v>
      </c>
      <c r="C383" s="386">
        <f t="shared" si="196"/>
        <v>40725</v>
      </c>
      <c r="D383" s="387">
        <v>15344.38</v>
      </c>
      <c r="E383" s="387"/>
      <c r="F383" s="387">
        <f t="shared" si="185"/>
        <v>1534.4379999999999</v>
      </c>
      <c r="H383" s="377">
        <f t="shared" si="193"/>
        <v>1534.4379999999999</v>
      </c>
      <c r="I383" s="388"/>
      <c r="J383" s="404">
        <v>5</v>
      </c>
      <c r="L383" s="389"/>
      <c r="M383" s="389"/>
      <c r="N383" s="389"/>
      <c r="O383" s="389"/>
      <c r="P383" s="389"/>
      <c r="Q383" s="389"/>
      <c r="R383" s="389"/>
      <c r="S383" s="389"/>
      <c r="T383" s="389"/>
      <c r="U383" s="389"/>
      <c r="V383" s="389"/>
      <c r="W383" s="389"/>
      <c r="X383" s="389"/>
      <c r="Y383" s="389"/>
      <c r="Z383" s="389"/>
      <c r="AA383" s="389"/>
      <c r="AB383" s="389"/>
      <c r="AC383" s="389"/>
      <c r="AD383" s="389"/>
      <c r="AE383" s="389"/>
      <c r="AF383" s="389"/>
      <c r="AG383" s="389"/>
      <c r="AH383" s="389">
        <f t="shared" si="197"/>
        <v>767.21899999999994</v>
      </c>
      <c r="AI383" s="389">
        <f t="shared" si="197"/>
        <v>767.21899999999994</v>
      </c>
      <c r="AJ383" s="389">
        <f t="shared" si="197"/>
        <v>767.21899999999994</v>
      </c>
      <c r="AK383" s="389">
        <f t="shared" si="197"/>
        <v>767.21899999999994</v>
      </c>
    </row>
    <row r="384" spans="2:37" s="377" customFormat="1">
      <c r="B384" s="377" t="s">
        <v>775</v>
      </c>
      <c r="C384" s="386">
        <f t="shared" si="196"/>
        <v>40725</v>
      </c>
      <c r="D384" s="387">
        <v>2952.08</v>
      </c>
      <c r="E384" s="387"/>
      <c r="F384" s="387">
        <f t="shared" si="185"/>
        <v>295.20799999999997</v>
      </c>
      <c r="H384" s="377">
        <f t="shared" si="193"/>
        <v>295.20799999999997</v>
      </c>
      <c r="I384" s="388"/>
      <c r="J384" s="404">
        <v>5</v>
      </c>
      <c r="L384" s="389"/>
      <c r="M384" s="389"/>
      <c r="N384" s="389"/>
      <c r="O384" s="389"/>
      <c r="P384" s="389"/>
      <c r="Q384" s="389"/>
      <c r="R384" s="389"/>
      <c r="S384" s="389"/>
      <c r="T384" s="389"/>
      <c r="U384" s="389"/>
      <c r="V384" s="389"/>
      <c r="W384" s="389"/>
      <c r="X384" s="389"/>
      <c r="Y384" s="389"/>
      <c r="Z384" s="389"/>
      <c r="AA384" s="389"/>
      <c r="AB384" s="389"/>
      <c r="AC384" s="389"/>
      <c r="AD384" s="389"/>
      <c r="AE384" s="389"/>
      <c r="AF384" s="389"/>
      <c r="AG384" s="389"/>
      <c r="AH384" s="389">
        <f t="shared" si="197"/>
        <v>147.60399999999998</v>
      </c>
      <c r="AI384" s="389">
        <f t="shared" si="197"/>
        <v>147.60399999999998</v>
      </c>
      <c r="AJ384" s="389">
        <f t="shared" si="197"/>
        <v>147.60399999999998</v>
      </c>
      <c r="AK384" s="389">
        <f t="shared" si="197"/>
        <v>147.60399999999998</v>
      </c>
    </row>
    <row r="385" spans="2:37" s="377" customFormat="1">
      <c r="B385" s="377" t="s">
        <v>774</v>
      </c>
      <c r="C385" s="386">
        <f t="shared" si="196"/>
        <v>40725</v>
      </c>
      <c r="D385" s="387">
        <v>1733.86</v>
      </c>
      <c r="E385" s="387"/>
      <c r="F385" s="387">
        <f t="shared" si="185"/>
        <v>173.386</v>
      </c>
      <c r="H385" s="377">
        <f t="shared" si="193"/>
        <v>173.386</v>
      </c>
      <c r="I385" s="388"/>
      <c r="J385" s="404">
        <v>5</v>
      </c>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89"/>
      <c r="AH385" s="389">
        <f t="shared" si="197"/>
        <v>86.692999999999998</v>
      </c>
      <c r="AI385" s="389">
        <f t="shared" si="197"/>
        <v>86.692999999999998</v>
      </c>
      <c r="AJ385" s="389">
        <f t="shared" si="197"/>
        <v>86.692999999999998</v>
      </c>
      <c r="AK385" s="389">
        <f t="shared" si="197"/>
        <v>86.692999999999998</v>
      </c>
    </row>
    <row r="386" spans="2:37" s="377" customFormat="1">
      <c r="B386" s="377" t="s">
        <v>773</v>
      </c>
      <c r="C386" s="386">
        <f t="shared" si="196"/>
        <v>40725</v>
      </c>
      <c r="D386" s="387">
        <v>7849.63</v>
      </c>
      <c r="E386" s="387"/>
      <c r="F386" s="387">
        <f t="shared" si="185"/>
        <v>784.96300000000008</v>
      </c>
      <c r="H386" s="377">
        <f t="shared" si="193"/>
        <v>784.96300000000008</v>
      </c>
      <c r="I386" s="388"/>
      <c r="J386" s="404">
        <v>5</v>
      </c>
      <c r="L386" s="389"/>
      <c r="M386" s="389"/>
      <c r="N386" s="389"/>
      <c r="O386" s="389"/>
      <c r="P386" s="389"/>
      <c r="Q386" s="389"/>
      <c r="R386" s="389"/>
      <c r="S386" s="389"/>
      <c r="T386" s="389"/>
      <c r="U386" s="389"/>
      <c r="V386" s="389"/>
      <c r="W386" s="389"/>
      <c r="X386" s="389"/>
      <c r="Y386" s="389"/>
      <c r="Z386" s="389"/>
      <c r="AA386" s="389"/>
      <c r="AB386" s="389"/>
      <c r="AC386" s="389"/>
      <c r="AD386" s="389"/>
      <c r="AE386" s="389"/>
      <c r="AF386" s="389"/>
      <c r="AG386" s="389"/>
      <c r="AH386" s="389">
        <f t="shared" si="197"/>
        <v>392.48150000000004</v>
      </c>
      <c r="AI386" s="389">
        <f t="shared" si="197"/>
        <v>392.48150000000004</v>
      </c>
      <c r="AJ386" s="389">
        <f t="shared" si="197"/>
        <v>392.48150000000004</v>
      </c>
      <c r="AK386" s="389">
        <f t="shared" si="197"/>
        <v>392.48150000000004</v>
      </c>
    </row>
    <row r="387" spans="2:37" s="377" customFormat="1">
      <c r="B387" s="377" t="s">
        <v>772</v>
      </c>
      <c r="C387" s="386">
        <f t="shared" si="196"/>
        <v>40725</v>
      </c>
      <c r="D387" s="387">
        <v>6535.41</v>
      </c>
      <c r="E387" s="387"/>
      <c r="F387" s="387">
        <f t="shared" si="185"/>
        <v>653.54099999999994</v>
      </c>
      <c r="H387" s="377">
        <f t="shared" si="193"/>
        <v>653.54099999999994</v>
      </c>
      <c r="I387" s="388"/>
      <c r="J387" s="404">
        <v>5</v>
      </c>
      <c r="L387" s="389"/>
      <c r="M387" s="389"/>
      <c r="N387" s="389"/>
      <c r="O387" s="389"/>
      <c r="P387" s="389"/>
      <c r="Q387" s="389"/>
      <c r="R387" s="389"/>
      <c r="S387" s="389"/>
      <c r="T387" s="389"/>
      <c r="U387" s="389"/>
      <c r="V387" s="389"/>
      <c r="W387" s="389"/>
      <c r="X387" s="389"/>
      <c r="Y387" s="389"/>
      <c r="Z387" s="389"/>
      <c r="AA387" s="389"/>
      <c r="AB387" s="389"/>
      <c r="AC387" s="389"/>
      <c r="AD387" s="389"/>
      <c r="AE387" s="389"/>
      <c r="AF387" s="389"/>
      <c r="AG387" s="389"/>
      <c r="AH387" s="389">
        <f t="shared" si="197"/>
        <v>326.77049999999997</v>
      </c>
      <c r="AI387" s="389">
        <f t="shared" si="197"/>
        <v>326.77049999999997</v>
      </c>
      <c r="AJ387" s="389">
        <f t="shared" si="197"/>
        <v>326.77049999999997</v>
      </c>
      <c r="AK387" s="389">
        <f t="shared" si="197"/>
        <v>326.77049999999997</v>
      </c>
    </row>
    <row r="388" spans="2:37" s="377" customFormat="1">
      <c r="B388" s="377" t="s">
        <v>771</v>
      </c>
      <c r="C388" s="386">
        <f t="shared" si="196"/>
        <v>40725</v>
      </c>
      <c r="D388" s="387">
        <v>7815.09</v>
      </c>
      <c r="E388" s="387"/>
      <c r="F388" s="387">
        <f t="shared" si="185"/>
        <v>781.5089999999999</v>
      </c>
      <c r="H388" s="377">
        <f t="shared" si="193"/>
        <v>781.5089999999999</v>
      </c>
      <c r="I388" s="388"/>
      <c r="J388" s="404">
        <v>5</v>
      </c>
      <c r="L388" s="389"/>
      <c r="M388" s="389"/>
      <c r="N388" s="389"/>
      <c r="O388" s="389"/>
      <c r="P388" s="389"/>
      <c r="Q388" s="389"/>
      <c r="R388" s="389"/>
      <c r="S388" s="389"/>
      <c r="T388" s="389"/>
      <c r="U388" s="389"/>
      <c r="V388" s="389"/>
      <c r="W388" s="389"/>
      <c r="X388" s="389"/>
      <c r="Y388" s="389"/>
      <c r="Z388" s="389"/>
      <c r="AA388" s="389"/>
      <c r="AB388" s="389"/>
      <c r="AC388" s="389"/>
      <c r="AD388" s="389"/>
      <c r="AE388" s="389"/>
      <c r="AF388" s="389"/>
      <c r="AG388" s="389"/>
      <c r="AH388" s="389">
        <f t="shared" si="197"/>
        <v>390.75449999999995</v>
      </c>
      <c r="AI388" s="389">
        <f t="shared" si="197"/>
        <v>390.75449999999995</v>
      </c>
      <c r="AJ388" s="389">
        <f t="shared" si="197"/>
        <v>390.75449999999995</v>
      </c>
      <c r="AK388" s="389">
        <f t="shared" si="197"/>
        <v>390.75449999999995</v>
      </c>
    </row>
    <row r="389" spans="2:37" s="377" customFormat="1">
      <c r="B389" s="377" t="s">
        <v>770</v>
      </c>
      <c r="C389" s="386">
        <f t="shared" si="196"/>
        <v>40725</v>
      </c>
      <c r="D389" s="387">
        <v>5974.31</v>
      </c>
      <c r="E389" s="387"/>
      <c r="F389" s="387">
        <f t="shared" si="185"/>
        <v>597.43100000000004</v>
      </c>
      <c r="H389" s="377">
        <f t="shared" si="193"/>
        <v>597.43100000000004</v>
      </c>
      <c r="I389" s="388"/>
      <c r="J389" s="404">
        <v>5</v>
      </c>
      <c r="L389" s="389"/>
      <c r="M389" s="389"/>
      <c r="N389" s="389"/>
      <c r="O389" s="389"/>
      <c r="P389" s="389"/>
      <c r="Q389" s="389"/>
      <c r="R389" s="389"/>
      <c r="S389" s="389"/>
      <c r="T389" s="389"/>
      <c r="U389" s="389"/>
      <c r="V389" s="389"/>
      <c r="W389" s="389"/>
      <c r="X389" s="389"/>
      <c r="Y389" s="389"/>
      <c r="Z389" s="389"/>
      <c r="AA389" s="389"/>
      <c r="AB389" s="389"/>
      <c r="AC389" s="389"/>
      <c r="AD389" s="389"/>
      <c r="AE389" s="389"/>
      <c r="AF389" s="389"/>
      <c r="AG389" s="389"/>
      <c r="AH389" s="389">
        <f t="shared" si="197"/>
        <v>298.71550000000002</v>
      </c>
      <c r="AI389" s="389">
        <f t="shared" si="197"/>
        <v>298.71550000000002</v>
      </c>
      <c r="AJ389" s="389">
        <f t="shared" si="197"/>
        <v>298.71550000000002</v>
      </c>
      <c r="AK389" s="389">
        <f t="shared" si="197"/>
        <v>298.71550000000002</v>
      </c>
    </row>
    <row r="390" spans="2:37" s="377" customFormat="1">
      <c r="B390" s="377" t="s">
        <v>769</v>
      </c>
      <c r="C390" s="386">
        <f>DATE(2012,7,1)</f>
        <v>41091</v>
      </c>
      <c r="D390" s="387">
        <v>9467.8700000000008</v>
      </c>
      <c r="E390" s="387"/>
      <c r="F390" s="387">
        <f t="shared" si="185"/>
        <v>473.39350000000007</v>
      </c>
      <c r="H390" s="377">
        <f t="shared" si="193"/>
        <v>473.39350000000007</v>
      </c>
      <c r="I390" s="388"/>
      <c r="J390" s="404">
        <v>5</v>
      </c>
      <c r="L390" s="389"/>
      <c r="M390" s="389"/>
      <c r="N390" s="389"/>
      <c r="O390" s="389"/>
      <c r="P390" s="389"/>
      <c r="Q390" s="389"/>
      <c r="R390" s="389"/>
      <c r="S390" s="389"/>
      <c r="T390" s="389"/>
      <c r="U390" s="389"/>
      <c r="V390" s="389"/>
      <c r="W390" s="389"/>
      <c r="X390" s="389"/>
      <c r="Y390" s="389"/>
      <c r="Z390" s="389"/>
      <c r="AA390" s="389"/>
      <c r="AB390" s="389"/>
      <c r="AC390" s="389"/>
      <c r="AD390" s="389"/>
      <c r="AE390" s="389"/>
      <c r="AF390" s="389"/>
      <c r="AG390" s="389"/>
      <c r="AH390" s="389">
        <v>0</v>
      </c>
      <c r="AI390" s="389">
        <f t="shared" ref="AI390:AK394" si="198">SUM($D390*$J390)/100</f>
        <v>473.39350000000007</v>
      </c>
      <c r="AJ390" s="389">
        <f t="shared" si="198"/>
        <v>473.39350000000007</v>
      </c>
      <c r="AK390" s="389">
        <f t="shared" si="198"/>
        <v>473.39350000000007</v>
      </c>
    </row>
    <row r="391" spans="2:37" s="377" customFormat="1">
      <c r="B391" s="377" t="s">
        <v>768</v>
      </c>
      <c r="C391" s="386">
        <f>DATE(2012,7,1)</f>
        <v>41091</v>
      </c>
      <c r="D391" s="387">
        <v>1894.9</v>
      </c>
      <c r="E391" s="387"/>
      <c r="F391" s="387">
        <f t="shared" si="185"/>
        <v>94.745000000000005</v>
      </c>
      <c r="H391" s="377">
        <f t="shared" si="193"/>
        <v>94.745000000000005</v>
      </c>
      <c r="I391" s="388"/>
      <c r="J391" s="404">
        <v>5</v>
      </c>
      <c r="L391" s="389"/>
      <c r="M391" s="389"/>
      <c r="N391" s="389"/>
      <c r="O391" s="389"/>
      <c r="P391" s="389"/>
      <c r="Q391" s="389"/>
      <c r="R391" s="389"/>
      <c r="S391" s="389"/>
      <c r="T391" s="389"/>
      <c r="U391" s="389"/>
      <c r="V391" s="389"/>
      <c r="W391" s="389"/>
      <c r="X391" s="389"/>
      <c r="Y391" s="389"/>
      <c r="Z391" s="389"/>
      <c r="AA391" s="389"/>
      <c r="AB391" s="389"/>
      <c r="AC391" s="389"/>
      <c r="AD391" s="389"/>
      <c r="AE391" s="389"/>
      <c r="AF391" s="389"/>
      <c r="AG391" s="389"/>
      <c r="AH391" s="389">
        <v>0</v>
      </c>
      <c r="AI391" s="389">
        <f t="shared" si="198"/>
        <v>94.745000000000005</v>
      </c>
      <c r="AJ391" s="389">
        <f t="shared" si="198"/>
        <v>94.745000000000005</v>
      </c>
      <c r="AK391" s="389">
        <f t="shared" si="198"/>
        <v>94.745000000000005</v>
      </c>
    </row>
    <row r="392" spans="2:37" s="377" customFormat="1">
      <c r="B392" s="377" t="s">
        <v>767</v>
      </c>
      <c r="C392" s="386">
        <f>DATE(2012,7,1)</f>
        <v>41091</v>
      </c>
      <c r="D392" s="387">
        <v>10905.5</v>
      </c>
      <c r="E392" s="387"/>
      <c r="F392" s="387">
        <f t="shared" si="185"/>
        <v>545.27499999999998</v>
      </c>
      <c r="H392" s="377">
        <f t="shared" si="193"/>
        <v>545.27499999999998</v>
      </c>
      <c r="I392" s="388"/>
      <c r="J392" s="404">
        <v>5</v>
      </c>
      <c r="L392" s="389"/>
      <c r="M392" s="389"/>
      <c r="N392" s="389"/>
      <c r="O392" s="389"/>
      <c r="P392" s="389"/>
      <c r="Q392" s="389"/>
      <c r="R392" s="389"/>
      <c r="S392" s="389"/>
      <c r="T392" s="389"/>
      <c r="U392" s="389"/>
      <c r="V392" s="389"/>
      <c r="W392" s="389"/>
      <c r="X392" s="389"/>
      <c r="Y392" s="389"/>
      <c r="Z392" s="389"/>
      <c r="AA392" s="389"/>
      <c r="AB392" s="389"/>
      <c r="AC392" s="389"/>
      <c r="AD392" s="389"/>
      <c r="AE392" s="389"/>
      <c r="AF392" s="389"/>
      <c r="AG392" s="389"/>
      <c r="AH392" s="389">
        <v>0</v>
      </c>
      <c r="AI392" s="389">
        <f t="shared" si="198"/>
        <v>545.27499999999998</v>
      </c>
      <c r="AJ392" s="389">
        <f t="shared" si="198"/>
        <v>545.27499999999998</v>
      </c>
      <c r="AK392" s="389">
        <f t="shared" si="198"/>
        <v>545.27499999999998</v>
      </c>
    </row>
    <row r="393" spans="2:37" s="377" customFormat="1">
      <c r="B393" s="377" t="s">
        <v>765</v>
      </c>
      <c r="C393" s="386">
        <f>DATE(2012,7,1)</f>
        <v>41091</v>
      </c>
      <c r="D393" s="387">
        <v>6666.31</v>
      </c>
      <c r="E393" s="387"/>
      <c r="F393" s="387">
        <f t="shared" si="185"/>
        <v>333.31550000000004</v>
      </c>
      <c r="H393" s="377">
        <f t="shared" si="193"/>
        <v>333.31550000000004</v>
      </c>
      <c r="I393" s="388"/>
      <c r="J393" s="404">
        <v>5</v>
      </c>
      <c r="L393" s="389"/>
      <c r="M393" s="389"/>
      <c r="N393" s="389"/>
      <c r="O393" s="389"/>
      <c r="P393" s="389"/>
      <c r="Q393" s="389"/>
      <c r="R393" s="389"/>
      <c r="S393" s="389"/>
      <c r="T393" s="389"/>
      <c r="U393" s="389"/>
      <c r="V393" s="389"/>
      <c r="W393" s="389"/>
      <c r="X393" s="389"/>
      <c r="Y393" s="389"/>
      <c r="Z393" s="389"/>
      <c r="AA393" s="389"/>
      <c r="AB393" s="389"/>
      <c r="AC393" s="389"/>
      <c r="AD393" s="389"/>
      <c r="AE393" s="389"/>
      <c r="AF393" s="389"/>
      <c r="AG393" s="389"/>
      <c r="AH393" s="389">
        <v>0</v>
      </c>
      <c r="AI393" s="389">
        <f t="shared" si="198"/>
        <v>333.31550000000004</v>
      </c>
      <c r="AJ393" s="389">
        <f t="shared" si="198"/>
        <v>333.31550000000004</v>
      </c>
      <c r="AK393" s="389">
        <f t="shared" si="198"/>
        <v>333.31550000000004</v>
      </c>
    </row>
    <row r="394" spans="2:37" s="377" customFormat="1">
      <c r="B394" s="377" t="s">
        <v>766</v>
      </c>
      <c r="C394" s="386">
        <f>DATE(2012,7,1)</f>
        <v>41091</v>
      </c>
      <c r="D394" s="387">
        <v>11800.38</v>
      </c>
      <c r="E394" s="387"/>
      <c r="F394" s="387">
        <f t="shared" si="185"/>
        <v>590.01899999999989</v>
      </c>
      <c r="H394" s="377">
        <f t="shared" si="193"/>
        <v>590.01899999999989</v>
      </c>
      <c r="I394" s="388"/>
      <c r="J394" s="404">
        <v>5</v>
      </c>
      <c r="L394" s="389"/>
      <c r="M394" s="389"/>
      <c r="N394" s="389"/>
      <c r="O394" s="389"/>
      <c r="P394" s="389"/>
      <c r="Q394" s="389"/>
      <c r="R394" s="389"/>
      <c r="S394" s="389"/>
      <c r="T394" s="389"/>
      <c r="U394" s="389"/>
      <c r="V394" s="389"/>
      <c r="W394" s="389"/>
      <c r="X394" s="389"/>
      <c r="Y394" s="389"/>
      <c r="Z394" s="389"/>
      <c r="AA394" s="389"/>
      <c r="AB394" s="389"/>
      <c r="AC394" s="389"/>
      <c r="AD394" s="389"/>
      <c r="AE394" s="389"/>
      <c r="AF394" s="389"/>
      <c r="AG394" s="389"/>
      <c r="AH394" s="389">
        <v>0</v>
      </c>
      <c r="AI394" s="389">
        <f t="shared" si="198"/>
        <v>590.01899999999989</v>
      </c>
      <c r="AJ394" s="389">
        <f t="shared" si="198"/>
        <v>590.01899999999989</v>
      </c>
      <c r="AK394" s="389">
        <f t="shared" si="198"/>
        <v>590.01899999999989</v>
      </c>
    </row>
    <row r="395" spans="2:37" s="377" customFormat="1">
      <c r="B395" s="390" t="s">
        <v>765</v>
      </c>
      <c r="C395" s="391">
        <f>DATE(2013,9,1)</f>
        <v>41518</v>
      </c>
      <c r="D395" s="392">
        <v>11527.31</v>
      </c>
      <c r="E395" s="392"/>
      <c r="F395" s="392">
        <f t="shared" si="185"/>
        <v>0</v>
      </c>
      <c r="G395" s="390"/>
      <c r="H395" s="390">
        <f t="shared" si="193"/>
        <v>0</v>
      </c>
      <c r="I395" s="393"/>
      <c r="J395" s="407">
        <v>5</v>
      </c>
      <c r="K395" s="390"/>
      <c r="L395" s="394"/>
      <c r="M395" s="394"/>
      <c r="N395" s="394"/>
      <c r="O395" s="394"/>
      <c r="P395" s="394"/>
      <c r="Q395" s="394"/>
      <c r="R395" s="394"/>
      <c r="S395" s="394"/>
      <c r="T395" s="394"/>
      <c r="U395" s="394"/>
      <c r="V395" s="394"/>
      <c r="W395" s="394"/>
      <c r="X395" s="394"/>
      <c r="Y395" s="394"/>
      <c r="Z395" s="394"/>
      <c r="AA395" s="394"/>
      <c r="AB395" s="394"/>
      <c r="AC395" s="394"/>
      <c r="AD395" s="394"/>
      <c r="AE395" s="394"/>
      <c r="AF395" s="394"/>
      <c r="AG395" s="394"/>
      <c r="AH395" s="394">
        <v>0</v>
      </c>
      <c r="AI395" s="394">
        <v>0</v>
      </c>
      <c r="AJ395" s="394">
        <f t="shared" ref="AJ395:AK397" si="199">SUM($D395*$J395)/100</f>
        <v>576.3655</v>
      </c>
      <c r="AK395" s="394">
        <f t="shared" si="199"/>
        <v>576.3655</v>
      </c>
    </row>
    <row r="396" spans="2:37" s="377" customFormat="1">
      <c r="B396" s="390" t="s">
        <v>764</v>
      </c>
      <c r="C396" s="391">
        <f>DATE(2013,6,20)</f>
        <v>41445</v>
      </c>
      <c r="D396" s="392">
        <v>313401.46999999997</v>
      </c>
      <c r="E396" s="392"/>
      <c r="F396" s="392">
        <f t="shared" si="185"/>
        <v>0</v>
      </c>
      <c r="G396" s="390"/>
      <c r="H396" s="390">
        <f t="shared" si="193"/>
        <v>0</v>
      </c>
      <c r="I396" s="393"/>
      <c r="J396" s="407">
        <v>5</v>
      </c>
      <c r="K396" s="390"/>
      <c r="L396" s="394"/>
      <c r="M396" s="394"/>
      <c r="N396" s="394"/>
      <c r="O396" s="394"/>
      <c r="P396" s="394"/>
      <c r="Q396" s="394"/>
      <c r="R396" s="394"/>
      <c r="S396" s="394"/>
      <c r="T396" s="394"/>
      <c r="U396" s="394"/>
      <c r="V396" s="394"/>
      <c r="W396" s="394"/>
      <c r="X396" s="394"/>
      <c r="Y396" s="394"/>
      <c r="Z396" s="394"/>
      <c r="AA396" s="394"/>
      <c r="AB396" s="394"/>
      <c r="AC396" s="394"/>
      <c r="AD396" s="394"/>
      <c r="AE396" s="394"/>
      <c r="AF396" s="394"/>
      <c r="AG396" s="394"/>
      <c r="AH396" s="394">
        <v>0</v>
      </c>
      <c r="AI396" s="394">
        <v>0</v>
      </c>
      <c r="AJ396" s="394">
        <f t="shared" si="199"/>
        <v>15670.073499999999</v>
      </c>
      <c r="AK396" s="394">
        <f t="shared" si="199"/>
        <v>15670.073499999999</v>
      </c>
    </row>
    <row r="397" spans="2:37" s="377" customFormat="1">
      <c r="B397" s="390"/>
      <c r="C397" s="391">
        <f>DATE(2012,7,1)</f>
        <v>41091</v>
      </c>
      <c r="D397" s="392"/>
      <c r="E397" s="392"/>
      <c r="F397" s="392">
        <f t="shared" si="185"/>
        <v>0</v>
      </c>
      <c r="G397" s="390"/>
      <c r="H397" s="390">
        <f t="shared" si="193"/>
        <v>0</v>
      </c>
      <c r="I397" s="393"/>
      <c r="J397" s="407">
        <v>5</v>
      </c>
      <c r="K397" s="390"/>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v>0</v>
      </c>
      <c r="AI397" s="394">
        <f>SUM($D397*$J397)/100</f>
        <v>0</v>
      </c>
      <c r="AJ397" s="394">
        <f t="shared" si="199"/>
        <v>0</v>
      </c>
      <c r="AK397" s="394">
        <f t="shared" si="199"/>
        <v>0</v>
      </c>
    </row>
    <row r="398" spans="2:37" s="377" customFormat="1">
      <c r="B398" s="377" t="s">
        <v>763</v>
      </c>
      <c r="C398" s="386">
        <f>DATE(86,4,1)</f>
        <v>31503</v>
      </c>
      <c r="D398" s="387">
        <v>23298</v>
      </c>
      <c r="E398" s="387"/>
      <c r="F398" s="377">
        <f t="shared" ref="F398:F407" si="200">G398+H398</f>
        <v>23297.999999999989</v>
      </c>
      <c r="G398" s="387">
        <v>1397.88</v>
      </c>
      <c r="H398" s="377">
        <f t="shared" si="193"/>
        <v>21900.119999999988</v>
      </c>
      <c r="I398" s="388">
        <v>4</v>
      </c>
      <c r="J398" s="388"/>
      <c r="K398" s="389">
        <f t="shared" ref="K398:W402" si="201">SUM($D398*$I398)/100</f>
        <v>931.92</v>
      </c>
      <c r="L398" s="389">
        <f t="shared" si="201"/>
        <v>931.92</v>
      </c>
      <c r="M398" s="389">
        <f t="shared" si="201"/>
        <v>931.92</v>
      </c>
      <c r="N398" s="389">
        <f t="shared" si="201"/>
        <v>931.92</v>
      </c>
      <c r="O398" s="389">
        <f t="shared" si="201"/>
        <v>931.92</v>
      </c>
      <c r="P398" s="389">
        <f t="shared" si="201"/>
        <v>931.92</v>
      </c>
      <c r="Q398" s="389">
        <f t="shared" si="201"/>
        <v>931.92</v>
      </c>
      <c r="R398" s="389">
        <f t="shared" si="201"/>
        <v>931.92</v>
      </c>
      <c r="S398" s="389">
        <f t="shared" si="201"/>
        <v>931.92</v>
      </c>
      <c r="T398" s="389">
        <f t="shared" si="201"/>
        <v>931.92</v>
      </c>
      <c r="U398" s="389">
        <f t="shared" si="201"/>
        <v>931.92</v>
      </c>
      <c r="V398" s="389">
        <f t="shared" si="201"/>
        <v>931.92</v>
      </c>
      <c r="W398" s="389">
        <f t="shared" si="201"/>
        <v>931.92</v>
      </c>
      <c r="X398" s="389">
        <v>931.92</v>
      </c>
      <c r="Y398" s="389">
        <v>931.92</v>
      </c>
      <c r="Z398" s="389">
        <f t="shared" ref="Z398:AG401" si="202">SUM($D398*$I398)/100</f>
        <v>931.92</v>
      </c>
      <c r="AA398" s="389">
        <f t="shared" si="202"/>
        <v>931.92</v>
      </c>
      <c r="AB398" s="389">
        <f t="shared" si="202"/>
        <v>931.92</v>
      </c>
      <c r="AC398" s="389">
        <f t="shared" si="202"/>
        <v>931.92</v>
      </c>
      <c r="AD398" s="389">
        <f t="shared" si="202"/>
        <v>931.92</v>
      </c>
      <c r="AE398" s="389">
        <f t="shared" si="202"/>
        <v>931.92</v>
      </c>
      <c r="AF398" s="389">
        <f t="shared" si="202"/>
        <v>931.92</v>
      </c>
      <c r="AG398" s="389">
        <f t="shared" si="202"/>
        <v>931.92</v>
      </c>
      <c r="AH398" s="389">
        <v>465.96</v>
      </c>
      <c r="AI398" s="389">
        <v>0</v>
      </c>
      <c r="AJ398" s="389">
        <v>0</v>
      </c>
      <c r="AK398" s="389">
        <v>0</v>
      </c>
    </row>
    <row r="399" spans="2:37" s="377" customFormat="1">
      <c r="B399" s="377" t="s">
        <v>762</v>
      </c>
      <c r="C399" s="386">
        <f>DATE(86,6,1)</f>
        <v>31564</v>
      </c>
      <c r="D399" s="387">
        <v>171686.37</v>
      </c>
      <c r="E399" s="387"/>
      <c r="F399" s="377">
        <f t="shared" si="200"/>
        <v>171686.37080000003</v>
      </c>
      <c r="G399" s="387">
        <v>10301.18</v>
      </c>
      <c r="H399" s="377">
        <f t="shared" si="193"/>
        <v>161385.19080000004</v>
      </c>
      <c r="I399" s="388">
        <v>4</v>
      </c>
      <c r="J399" s="388"/>
      <c r="K399" s="389">
        <f t="shared" si="201"/>
        <v>6867.4547999999995</v>
      </c>
      <c r="L399" s="389">
        <f t="shared" si="201"/>
        <v>6867.4547999999995</v>
      </c>
      <c r="M399" s="389">
        <f t="shared" si="201"/>
        <v>6867.4547999999995</v>
      </c>
      <c r="N399" s="389">
        <f t="shared" si="201"/>
        <v>6867.4547999999995</v>
      </c>
      <c r="O399" s="389">
        <f t="shared" si="201"/>
        <v>6867.4547999999995</v>
      </c>
      <c r="P399" s="389">
        <f t="shared" si="201"/>
        <v>6867.4547999999995</v>
      </c>
      <c r="Q399" s="389">
        <f t="shared" si="201"/>
        <v>6867.4547999999995</v>
      </c>
      <c r="R399" s="389">
        <f t="shared" si="201"/>
        <v>6867.4547999999995</v>
      </c>
      <c r="S399" s="389">
        <f t="shared" si="201"/>
        <v>6867.4547999999995</v>
      </c>
      <c r="T399" s="389">
        <f t="shared" si="201"/>
        <v>6867.4547999999995</v>
      </c>
      <c r="U399" s="389">
        <f t="shared" si="201"/>
        <v>6867.4547999999995</v>
      </c>
      <c r="V399" s="389">
        <f t="shared" si="201"/>
        <v>6867.4547999999995</v>
      </c>
      <c r="W399" s="389">
        <f t="shared" si="201"/>
        <v>6867.4547999999995</v>
      </c>
      <c r="X399" s="389">
        <v>6867.45</v>
      </c>
      <c r="Y399" s="389">
        <v>6867.45</v>
      </c>
      <c r="Z399" s="389">
        <f t="shared" si="202"/>
        <v>6867.4547999999995</v>
      </c>
      <c r="AA399" s="389">
        <f t="shared" si="202"/>
        <v>6867.4547999999995</v>
      </c>
      <c r="AB399" s="389">
        <f t="shared" si="202"/>
        <v>6867.4547999999995</v>
      </c>
      <c r="AC399" s="389">
        <f t="shared" si="202"/>
        <v>6867.4547999999995</v>
      </c>
      <c r="AD399" s="389">
        <f t="shared" si="202"/>
        <v>6867.4547999999995</v>
      </c>
      <c r="AE399" s="389">
        <f t="shared" si="202"/>
        <v>6867.4547999999995</v>
      </c>
      <c r="AF399" s="389">
        <f t="shared" si="202"/>
        <v>6867.4547999999995</v>
      </c>
      <c r="AG399" s="389">
        <f t="shared" si="202"/>
        <v>6867.4547999999995</v>
      </c>
      <c r="AH399" s="389">
        <v>3433.74</v>
      </c>
      <c r="AI399" s="389">
        <v>0</v>
      </c>
      <c r="AJ399" s="389">
        <v>0</v>
      </c>
      <c r="AK399" s="389">
        <v>0</v>
      </c>
    </row>
    <row r="400" spans="2:37" s="377" customFormat="1">
      <c r="B400" s="377" t="s">
        <v>761</v>
      </c>
      <c r="C400" s="386">
        <f>DATE(87,3,1)</f>
        <v>31837</v>
      </c>
      <c r="D400" s="387">
        <v>9137.5</v>
      </c>
      <c r="E400" s="387"/>
      <c r="F400" s="377">
        <f t="shared" si="200"/>
        <v>9137.5</v>
      </c>
      <c r="G400" s="387">
        <v>182.75</v>
      </c>
      <c r="H400" s="377">
        <f t="shared" si="193"/>
        <v>8954.75</v>
      </c>
      <c r="I400" s="388">
        <v>4</v>
      </c>
      <c r="J400" s="388"/>
      <c r="K400" s="389">
        <f t="shared" si="201"/>
        <v>365.5</v>
      </c>
      <c r="L400" s="389">
        <f t="shared" si="201"/>
        <v>365.5</v>
      </c>
      <c r="M400" s="389">
        <f t="shared" si="201"/>
        <v>365.5</v>
      </c>
      <c r="N400" s="389">
        <f t="shared" si="201"/>
        <v>365.5</v>
      </c>
      <c r="O400" s="389">
        <f t="shared" si="201"/>
        <v>365.5</v>
      </c>
      <c r="P400" s="389">
        <f t="shared" si="201"/>
        <v>365.5</v>
      </c>
      <c r="Q400" s="389">
        <f t="shared" si="201"/>
        <v>365.5</v>
      </c>
      <c r="R400" s="389">
        <f t="shared" si="201"/>
        <v>365.5</v>
      </c>
      <c r="S400" s="389">
        <f t="shared" si="201"/>
        <v>365.5</v>
      </c>
      <c r="T400" s="389">
        <f t="shared" si="201"/>
        <v>365.5</v>
      </c>
      <c r="U400" s="389">
        <f t="shared" si="201"/>
        <v>365.5</v>
      </c>
      <c r="V400" s="389">
        <f t="shared" si="201"/>
        <v>365.5</v>
      </c>
      <c r="W400" s="389">
        <f t="shared" si="201"/>
        <v>365.5</v>
      </c>
      <c r="X400" s="389">
        <v>365.5</v>
      </c>
      <c r="Y400" s="389">
        <v>365.5</v>
      </c>
      <c r="Z400" s="389">
        <f t="shared" si="202"/>
        <v>365.5</v>
      </c>
      <c r="AA400" s="389">
        <f t="shared" si="202"/>
        <v>365.5</v>
      </c>
      <c r="AB400" s="389">
        <f t="shared" si="202"/>
        <v>365.5</v>
      </c>
      <c r="AC400" s="389">
        <f t="shared" si="202"/>
        <v>365.5</v>
      </c>
      <c r="AD400" s="389">
        <f t="shared" si="202"/>
        <v>365.5</v>
      </c>
      <c r="AE400" s="389">
        <f t="shared" si="202"/>
        <v>365.5</v>
      </c>
      <c r="AF400" s="389">
        <f t="shared" si="202"/>
        <v>365.5</v>
      </c>
      <c r="AG400" s="389">
        <f t="shared" si="202"/>
        <v>365.5</v>
      </c>
      <c r="AH400" s="389">
        <f>SUM($D400*$I400)/100</f>
        <v>365.5</v>
      </c>
      <c r="AI400" s="389">
        <v>182.75</v>
      </c>
      <c r="AJ400" s="389">
        <v>0</v>
      </c>
      <c r="AK400" s="389">
        <v>0</v>
      </c>
    </row>
    <row r="401" spans="1:37" s="377" customFormat="1">
      <c r="B401" s="377" t="s">
        <v>760</v>
      </c>
      <c r="C401" s="386">
        <f>DATE(87,11,1)</f>
        <v>32082</v>
      </c>
      <c r="D401" s="387">
        <v>2885.43</v>
      </c>
      <c r="E401" s="387"/>
      <c r="F401" s="377">
        <f t="shared" si="200"/>
        <v>2885.4283999999998</v>
      </c>
      <c r="G401" s="387">
        <v>57.71</v>
      </c>
      <c r="H401" s="377">
        <f t="shared" si="193"/>
        <v>2827.7183999999997</v>
      </c>
      <c r="I401" s="388">
        <v>4</v>
      </c>
      <c r="J401" s="388"/>
      <c r="K401" s="389">
        <f t="shared" si="201"/>
        <v>115.41719999999999</v>
      </c>
      <c r="L401" s="389">
        <f t="shared" si="201"/>
        <v>115.41719999999999</v>
      </c>
      <c r="M401" s="389">
        <f t="shared" si="201"/>
        <v>115.41719999999999</v>
      </c>
      <c r="N401" s="389">
        <f t="shared" si="201"/>
        <v>115.41719999999999</v>
      </c>
      <c r="O401" s="389">
        <f t="shared" si="201"/>
        <v>115.41719999999999</v>
      </c>
      <c r="P401" s="389">
        <f t="shared" si="201"/>
        <v>115.41719999999999</v>
      </c>
      <c r="Q401" s="389">
        <f t="shared" si="201"/>
        <v>115.41719999999999</v>
      </c>
      <c r="R401" s="389">
        <f t="shared" si="201"/>
        <v>115.41719999999999</v>
      </c>
      <c r="S401" s="389">
        <f t="shared" si="201"/>
        <v>115.41719999999999</v>
      </c>
      <c r="T401" s="389">
        <f t="shared" si="201"/>
        <v>115.41719999999999</v>
      </c>
      <c r="U401" s="389">
        <f t="shared" si="201"/>
        <v>115.41719999999999</v>
      </c>
      <c r="V401" s="389">
        <f t="shared" si="201"/>
        <v>115.41719999999999</v>
      </c>
      <c r="W401" s="389">
        <f t="shared" si="201"/>
        <v>115.41719999999999</v>
      </c>
      <c r="X401" s="389">
        <v>115.42</v>
      </c>
      <c r="Y401" s="389">
        <v>115.42</v>
      </c>
      <c r="Z401" s="389">
        <f t="shared" si="202"/>
        <v>115.41719999999999</v>
      </c>
      <c r="AA401" s="389">
        <f t="shared" si="202"/>
        <v>115.41719999999999</v>
      </c>
      <c r="AB401" s="389">
        <f t="shared" si="202"/>
        <v>115.41719999999999</v>
      </c>
      <c r="AC401" s="389">
        <f t="shared" si="202"/>
        <v>115.41719999999999</v>
      </c>
      <c r="AD401" s="389">
        <f t="shared" si="202"/>
        <v>115.41719999999999</v>
      </c>
      <c r="AE401" s="389">
        <f t="shared" si="202"/>
        <v>115.41719999999999</v>
      </c>
      <c r="AF401" s="389">
        <f t="shared" si="202"/>
        <v>115.41719999999999</v>
      </c>
      <c r="AG401" s="389">
        <f t="shared" si="202"/>
        <v>115.41719999999999</v>
      </c>
      <c r="AH401" s="389">
        <f>SUM($D401*$I401)/100</f>
        <v>115.41719999999999</v>
      </c>
      <c r="AI401" s="389">
        <v>57.7</v>
      </c>
      <c r="AJ401" s="389">
        <v>0</v>
      </c>
      <c r="AK401" s="389">
        <v>0</v>
      </c>
    </row>
    <row r="402" spans="1:37" s="377" customFormat="1">
      <c r="B402" s="377" t="s">
        <v>759</v>
      </c>
      <c r="C402" s="386">
        <f>DATE(87,12,1)</f>
        <v>32112</v>
      </c>
      <c r="D402" s="387">
        <v>4201.5</v>
      </c>
      <c r="E402" s="387"/>
      <c r="F402" s="377">
        <f t="shared" si="200"/>
        <v>4201.5</v>
      </c>
      <c r="G402" s="387">
        <v>168.06</v>
      </c>
      <c r="H402" s="377">
        <f t="shared" si="193"/>
        <v>4033.4399999999996</v>
      </c>
      <c r="I402" s="388">
        <v>8</v>
      </c>
      <c r="J402" s="388"/>
      <c r="K402" s="389">
        <f t="shared" si="201"/>
        <v>336.12</v>
      </c>
      <c r="L402" s="389">
        <f t="shared" si="201"/>
        <v>336.12</v>
      </c>
      <c r="M402" s="389">
        <f t="shared" si="201"/>
        <v>336.12</v>
      </c>
      <c r="N402" s="389">
        <f t="shared" si="201"/>
        <v>336.12</v>
      </c>
      <c r="O402" s="389">
        <f t="shared" si="201"/>
        <v>336.12</v>
      </c>
      <c r="P402" s="389">
        <f t="shared" si="201"/>
        <v>336.12</v>
      </c>
      <c r="Q402" s="389">
        <f t="shared" si="201"/>
        <v>336.12</v>
      </c>
      <c r="R402" s="389">
        <f t="shared" si="201"/>
        <v>336.12</v>
      </c>
      <c r="S402" s="389">
        <f t="shared" si="201"/>
        <v>336.12</v>
      </c>
      <c r="T402" s="389">
        <f t="shared" si="201"/>
        <v>336.12</v>
      </c>
      <c r="U402" s="389">
        <f t="shared" si="201"/>
        <v>336.12</v>
      </c>
      <c r="V402" s="389">
        <f t="shared" si="201"/>
        <v>336.12</v>
      </c>
      <c r="W402" s="389">
        <f t="shared" si="201"/>
        <v>336.12</v>
      </c>
      <c r="X402" s="389">
        <f>4201.5-4537.62</f>
        <v>-336.11999999999989</v>
      </c>
      <c r="Y402" s="389">
        <v>0</v>
      </c>
      <c r="Z402" s="389">
        <v>0</v>
      </c>
      <c r="AA402" s="389">
        <v>0</v>
      </c>
      <c r="AB402" s="389">
        <v>0</v>
      </c>
      <c r="AC402" s="389">
        <v>0</v>
      </c>
      <c r="AD402" s="389">
        <v>0</v>
      </c>
      <c r="AE402" s="389">
        <v>0</v>
      </c>
      <c r="AF402" s="389">
        <v>0</v>
      </c>
      <c r="AG402" s="389">
        <v>0</v>
      </c>
      <c r="AH402" s="389">
        <v>0</v>
      </c>
      <c r="AI402" s="389">
        <v>0</v>
      </c>
      <c r="AJ402" s="389">
        <v>0</v>
      </c>
      <c r="AK402" s="389">
        <v>0</v>
      </c>
    </row>
    <row r="403" spans="1:37" s="377" customFormat="1">
      <c r="B403" s="377" t="s">
        <v>758</v>
      </c>
      <c r="C403" s="386">
        <f>DATE(88,5,1)</f>
        <v>32264</v>
      </c>
      <c r="D403" s="387">
        <v>1360.57</v>
      </c>
      <c r="E403" s="387"/>
      <c r="F403" s="377">
        <f t="shared" si="200"/>
        <v>1360.5744999999999</v>
      </c>
      <c r="G403" s="387"/>
      <c r="H403" s="377">
        <f t="shared" si="193"/>
        <v>1360.5744999999999</v>
      </c>
      <c r="I403" s="388">
        <v>10</v>
      </c>
      <c r="J403" s="388"/>
      <c r="K403" s="389">
        <f>SUM($D403*$I403)/100/2</f>
        <v>68.028499999999994</v>
      </c>
      <c r="L403" s="389">
        <f t="shared" ref="L403:S403" si="203">SUM($D403*$I403)/100</f>
        <v>136.05699999999999</v>
      </c>
      <c r="M403" s="389">
        <f t="shared" si="203"/>
        <v>136.05699999999999</v>
      </c>
      <c r="N403" s="389">
        <f t="shared" si="203"/>
        <v>136.05699999999999</v>
      </c>
      <c r="O403" s="389">
        <f t="shared" si="203"/>
        <v>136.05699999999999</v>
      </c>
      <c r="P403" s="389">
        <f t="shared" si="203"/>
        <v>136.05699999999999</v>
      </c>
      <c r="Q403" s="389">
        <f t="shared" si="203"/>
        <v>136.05699999999999</v>
      </c>
      <c r="R403" s="389">
        <f t="shared" si="203"/>
        <v>136.05699999999999</v>
      </c>
      <c r="S403" s="389">
        <f t="shared" si="203"/>
        <v>136.05699999999999</v>
      </c>
      <c r="T403" s="389">
        <v>136.06</v>
      </c>
      <c r="U403" s="389">
        <f>1360.57-1292.54</f>
        <v>68.029999999999973</v>
      </c>
      <c r="V403" s="389">
        <f>1360.57-1292.54</f>
        <v>68.029999999999973</v>
      </c>
      <c r="W403" s="389">
        <v>0</v>
      </c>
      <c r="X403" s="389">
        <f>1360.57-1428.6</f>
        <v>-68.029999999999973</v>
      </c>
      <c r="Y403" s="389">
        <v>0</v>
      </c>
      <c r="Z403" s="389">
        <v>0</v>
      </c>
      <c r="AA403" s="389">
        <v>0</v>
      </c>
      <c r="AB403" s="389">
        <v>0</v>
      </c>
      <c r="AC403" s="389">
        <v>0</v>
      </c>
      <c r="AD403" s="389">
        <v>0</v>
      </c>
      <c r="AE403" s="389">
        <v>0</v>
      </c>
      <c r="AF403" s="389">
        <v>0</v>
      </c>
      <c r="AG403" s="389">
        <v>0</v>
      </c>
      <c r="AH403" s="389">
        <v>0</v>
      </c>
      <c r="AI403" s="389">
        <v>0</v>
      </c>
      <c r="AJ403" s="389">
        <v>0</v>
      </c>
      <c r="AK403" s="389">
        <v>0</v>
      </c>
    </row>
    <row r="404" spans="1:37" s="377" customFormat="1">
      <c r="B404" s="377" t="s">
        <v>757</v>
      </c>
      <c r="C404" s="386">
        <f>DATE(88,1,1)</f>
        <v>32143</v>
      </c>
      <c r="D404" s="387">
        <v>16652.78</v>
      </c>
      <c r="E404" s="387"/>
      <c r="F404" s="377">
        <f t="shared" si="200"/>
        <v>16652.784399999997</v>
      </c>
      <c r="G404" s="387"/>
      <c r="H404" s="377">
        <f t="shared" si="193"/>
        <v>16652.784399999997</v>
      </c>
      <c r="I404" s="388">
        <v>5</v>
      </c>
      <c r="J404" s="388">
        <v>7</v>
      </c>
      <c r="K404" s="389">
        <v>0</v>
      </c>
      <c r="L404" s="389">
        <v>0</v>
      </c>
      <c r="M404" s="389">
        <v>0</v>
      </c>
      <c r="N404" s="389">
        <f>SUM($D404*$J404)/100*3.5</f>
        <v>4079.9310999999993</v>
      </c>
      <c r="O404" s="389">
        <f>SUM($D404*$J404)/100*3.5</f>
        <v>4079.9310999999993</v>
      </c>
      <c r="P404" s="389">
        <f>SUM($D404*$J404)/100*3.5</f>
        <v>4079.9310999999993</v>
      </c>
      <c r="Q404" s="389">
        <f>SUM($D404*$J404)/100*3.5</f>
        <v>4079.9310999999993</v>
      </c>
      <c r="R404" s="389">
        <v>333.06</v>
      </c>
      <c r="S404" s="389">
        <v>0</v>
      </c>
      <c r="T404" s="389">
        <v>0</v>
      </c>
      <c r="U404" s="389">
        <v>0</v>
      </c>
      <c r="V404" s="389">
        <v>0</v>
      </c>
      <c r="W404" s="389">
        <v>0</v>
      </c>
      <c r="X404" s="389">
        <v>0</v>
      </c>
      <c r="Y404" s="389">
        <v>0</v>
      </c>
      <c r="Z404" s="389">
        <v>0</v>
      </c>
      <c r="AA404" s="389">
        <v>0</v>
      </c>
      <c r="AB404" s="389">
        <v>0</v>
      </c>
      <c r="AC404" s="389">
        <v>0</v>
      </c>
      <c r="AD404" s="389">
        <v>0</v>
      </c>
      <c r="AE404" s="389">
        <v>0</v>
      </c>
      <c r="AF404" s="389">
        <v>0</v>
      </c>
      <c r="AG404" s="389">
        <v>0</v>
      </c>
      <c r="AH404" s="389">
        <v>0</v>
      </c>
      <c r="AI404" s="389">
        <v>0</v>
      </c>
      <c r="AJ404" s="389">
        <v>0</v>
      </c>
      <c r="AK404" s="389">
        <v>0</v>
      </c>
    </row>
    <row r="405" spans="1:37" s="377" customFormat="1">
      <c r="B405" s="377" t="s">
        <v>756</v>
      </c>
      <c r="C405" s="386">
        <f>DATE(90,7,1)</f>
        <v>33055</v>
      </c>
      <c r="D405" s="377">
        <v>18485</v>
      </c>
      <c r="F405" s="377">
        <f t="shared" si="200"/>
        <v>16636.499999999996</v>
      </c>
      <c r="G405" s="387"/>
      <c r="H405" s="377">
        <f t="shared" si="193"/>
        <v>16636.499999999996</v>
      </c>
      <c r="I405" s="388">
        <v>4</v>
      </c>
      <c r="J405" s="388"/>
      <c r="K405" s="389">
        <v>0</v>
      </c>
      <c r="L405" s="389">
        <v>0</v>
      </c>
      <c r="M405" s="389">
        <f>SUM($D405*$I405)/100/2</f>
        <v>369.7</v>
      </c>
      <c r="N405" s="389">
        <f t="shared" ref="N405:W406" si="204">SUM($D405*$I405)/100</f>
        <v>739.4</v>
      </c>
      <c r="O405" s="389">
        <f t="shared" si="204"/>
        <v>739.4</v>
      </c>
      <c r="P405" s="389">
        <f t="shared" si="204"/>
        <v>739.4</v>
      </c>
      <c r="Q405" s="389">
        <f t="shared" si="204"/>
        <v>739.4</v>
      </c>
      <c r="R405" s="389">
        <f t="shared" si="204"/>
        <v>739.4</v>
      </c>
      <c r="S405" s="389">
        <f t="shared" si="204"/>
        <v>739.4</v>
      </c>
      <c r="T405" s="389">
        <f t="shared" si="204"/>
        <v>739.4</v>
      </c>
      <c r="U405" s="389">
        <f t="shared" si="204"/>
        <v>739.4</v>
      </c>
      <c r="V405" s="389">
        <f t="shared" si="204"/>
        <v>739.4</v>
      </c>
      <c r="W405" s="389">
        <f t="shared" si="204"/>
        <v>739.4</v>
      </c>
      <c r="X405" s="389">
        <v>739.4</v>
      </c>
      <c r="Y405" s="389">
        <v>739.4</v>
      </c>
      <c r="Z405" s="389">
        <f t="shared" ref="Z405:AK407" si="205">SUM($D405*$I405)/100</f>
        <v>739.4</v>
      </c>
      <c r="AA405" s="389">
        <f t="shared" si="205"/>
        <v>739.4</v>
      </c>
      <c r="AB405" s="389">
        <f t="shared" si="205"/>
        <v>739.4</v>
      </c>
      <c r="AC405" s="389">
        <f t="shared" si="205"/>
        <v>739.4</v>
      </c>
      <c r="AD405" s="389">
        <f t="shared" si="205"/>
        <v>739.4</v>
      </c>
      <c r="AE405" s="389">
        <f t="shared" si="205"/>
        <v>739.4</v>
      </c>
      <c r="AF405" s="389">
        <f t="shared" si="205"/>
        <v>739.4</v>
      </c>
      <c r="AG405" s="389">
        <f t="shared" si="205"/>
        <v>739.4</v>
      </c>
      <c r="AH405" s="389">
        <f t="shared" si="205"/>
        <v>739.4</v>
      </c>
      <c r="AI405" s="389">
        <f t="shared" si="205"/>
        <v>739.4</v>
      </c>
      <c r="AJ405" s="389">
        <f t="shared" si="205"/>
        <v>739.4</v>
      </c>
      <c r="AK405" s="389">
        <f t="shared" si="205"/>
        <v>739.4</v>
      </c>
    </row>
    <row r="406" spans="1:37" s="377" customFormat="1">
      <c r="B406" s="377" t="s">
        <v>755</v>
      </c>
      <c r="C406" s="386">
        <f>DATE(90,9,1)</f>
        <v>33117</v>
      </c>
      <c r="D406" s="377">
        <v>17654.97</v>
      </c>
      <c r="F406" s="377">
        <f t="shared" si="200"/>
        <v>15889.475400000001</v>
      </c>
      <c r="G406" s="387"/>
      <c r="H406" s="377">
        <f t="shared" si="193"/>
        <v>15889.475400000001</v>
      </c>
      <c r="I406" s="388">
        <v>4</v>
      </c>
      <c r="J406" s="388"/>
      <c r="K406" s="389">
        <v>0</v>
      </c>
      <c r="L406" s="389">
        <v>0</v>
      </c>
      <c r="M406" s="389">
        <f>SUM($D406*$I406)/100/2</f>
        <v>353.0994</v>
      </c>
      <c r="N406" s="389">
        <f t="shared" si="204"/>
        <v>706.19880000000001</v>
      </c>
      <c r="O406" s="389">
        <f t="shared" si="204"/>
        <v>706.19880000000001</v>
      </c>
      <c r="P406" s="389">
        <f t="shared" si="204"/>
        <v>706.19880000000001</v>
      </c>
      <c r="Q406" s="389">
        <f t="shared" si="204"/>
        <v>706.19880000000001</v>
      </c>
      <c r="R406" s="389">
        <f t="shared" si="204"/>
        <v>706.19880000000001</v>
      </c>
      <c r="S406" s="389">
        <f t="shared" si="204"/>
        <v>706.19880000000001</v>
      </c>
      <c r="T406" s="389">
        <f t="shared" si="204"/>
        <v>706.19880000000001</v>
      </c>
      <c r="U406" s="389">
        <f t="shared" si="204"/>
        <v>706.19880000000001</v>
      </c>
      <c r="V406" s="389">
        <f t="shared" si="204"/>
        <v>706.19880000000001</v>
      </c>
      <c r="W406" s="389">
        <f t="shared" si="204"/>
        <v>706.19880000000001</v>
      </c>
      <c r="X406" s="389">
        <v>706.2</v>
      </c>
      <c r="Y406" s="389">
        <v>706.2</v>
      </c>
      <c r="Z406" s="389">
        <f t="shared" si="205"/>
        <v>706.19880000000001</v>
      </c>
      <c r="AA406" s="389">
        <f t="shared" si="205"/>
        <v>706.19880000000001</v>
      </c>
      <c r="AB406" s="389">
        <f t="shared" si="205"/>
        <v>706.19880000000001</v>
      </c>
      <c r="AC406" s="389">
        <f t="shared" si="205"/>
        <v>706.19880000000001</v>
      </c>
      <c r="AD406" s="389">
        <f t="shared" si="205"/>
        <v>706.19880000000001</v>
      </c>
      <c r="AE406" s="389">
        <f t="shared" si="205"/>
        <v>706.19880000000001</v>
      </c>
      <c r="AF406" s="389">
        <f t="shared" si="205"/>
        <v>706.19880000000001</v>
      </c>
      <c r="AG406" s="389">
        <f t="shared" si="205"/>
        <v>706.19880000000001</v>
      </c>
      <c r="AH406" s="389">
        <f t="shared" si="205"/>
        <v>706.19880000000001</v>
      </c>
      <c r="AI406" s="389">
        <f t="shared" si="205"/>
        <v>706.19880000000001</v>
      </c>
      <c r="AJ406" s="389">
        <f t="shared" si="205"/>
        <v>706.19880000000001</v>
      </c>
      <c r="AK406" s="389">
        <f t="shared" si="205"/>
        <v>706.19880000000001</v>
      </c>
    </row>
    <row r="407" spans="1:37" s="377" customFormat="1">
      <c r="B407" s="377" t="s">
        <v>754</v>
      </c>
      <c r="C407" s="386">
        <f>DATE(93,7,1)</f>
        <v>34151</v>
      </c>
      <c r="F407" s="377">
        <f t="shared" si="200"/>
        <v>1885</v>
      </c>
      <c r="H407" s="377">
        <f t="shared" si="193"/>
        <v>1885</v>
      </c>
      <c r="I407" s="388">
        <v>10</v>
      </c>
      <c r="P407" s="389">
        <v>1885</v>
      </c>
      <c r="Q407" s="389">
        <f t="shared" ref="Q407:Y407" si="206">SUM($D407*$I407)/100</f>
        <v>0</v>
      </c>
      <c r="R407" s="389">
        <f t="shared" si="206"/>
        <v>0</v>
      </c>
      <c r="S407" s="389">
        <f t="shared" si="206"/>
        <v>0</v>
      </c>
      <c r="T407" s="389">
        <f t="shared" si="206"/>
        <v>0</v>
      </c>
      <c r="U407" s="389">
        <f t="shared" si="206"/>
        <v>0</v>
      </c>
      <c r="V407" s="389">
        <f t="shared" si="206"/>
        <v>0</v>
      </c>
      <c r="W407" s="389">
        <f t="shared" si="206"/>
        <v>0</v>
      </c>
      <c r="X407" s="389">
        <f t="shared" si="206"/>
        <v>0</v>
      </c>
      <c r="Y407" s="389">
        <f t="shared" si="206"/>
        <v>0</v>
      </c>
      <c r="Z407" s="389">
        <f t="shared" si="205"/>
        <v>0</v>
      </c>
      <c r="AA407" s="389">
        <f t="shared" si="205"/>
        <v>0</v>
      </c>
      <c r="AB407" s="389">
        <f t="shared" si="205"/>
        <v>0</v>
      </c>
      <c r="AC407" s="389">
        <f t="shared" si="205"/>
        <v>0</v>
      </c>
      <c r="AD407" s="389">
        <f t="shared" si="205"/>
        <v>0</v>
      </c>
      <c r="AE407" s="389">
        <f t="shared" si="205"/>
        <v>0</v>
      </c>
      <c r="AF407" s="389">
        <f t="shared" si="205"/>
        <v>0</v>
      </c>
      <c r="AG407" s="389">
        <f t="shared" si="205"/>
        <v>0</v>
      </c>
      <c r="AH407" s="389">
        <f t="shared" si="205"/>
        <v>0</v>
      </c>
      <c r="AI407" s="389">
        <f t="shared" si="205"/>
        <v>0</v>
      </c>
      <c r="AJ407" s="389">
        <f t="shared" si="205"/>
        <v>0</v>
      </c>
      <c r="AK407" s="389">
        <f t="shared" si="205"/>
        <v>0</v>
      </c>
    </row>
    <row r="408" spans="1:37" s="377" customFormat="1">
      <c r="D408" s="377">
        <f>SUM(D342:D407)</f>
        <v>3616404.0200000005</v>
      </c>
      <c r="E408" s="387">
        <f>F408+AJ408</f>
        <v>2260896.6233000001</v>
      </c>
      <c r="F408" s="377">
        <f>SUM(F342:F407)</f>
        <v>2141857.9569999999</v>
      </c>
      <c r="G408" s="377">
        <f>SUM(G342:G407)</f>
        <v>734740.97</v>
      </c>
      <c r="H408" s="377">
        <f t="shared" si="193"/>
        <v>1407116.9870000002</v>
      </c>
      <c r="I408" s="388"/>
      <c r="J408" s="388"/>
      <c r="K408" s="377">
        <f t="shared" ref="K408:AK408" si="207">SUM(K342:K407)</f>
        <v>15169.31725</v>
      </c>
      <c r="L408" s="377">
        <f t="shared" si="207"/>
        <v>17614.5615</v>
      </c>
      <c r="M408" s="377">
        <f t="shared" si="207"/>
        <v>19155.450649999999</v>
      </c>
      <c r="N408" s="377">
        <f t="shared" si="207"/>
        <v>24389.245399999996</v>
      </c>
      <c r="O408" s="377">
        <f t="shared" si="207"/>
        <v>26018.574899999996</v>
      </c>
      <c r="P408" s="377">
        <f t="shared" si="207"/>
        <v>29588.214899999995</v>
      </c>
      <c r="Q408" s="377">
        <f t="shared" si="207"/>
        <v>31197.867399999996</v>
      </c>
      <c r="R408" s="377">
        <f t="shared" si="207"/>
        <v>32817.839800000002</v>
      </c>
      <c r="S408" s="377">
        <f t="shared" si="207"/>
        <v>35946.277800000003</v>
      </c>
      <c r="T408" s="377">
        <f t="shared" si="207"/>
        <v>36526.857800000005</v>
      </c>
      <c r="U408" s="377">
        <f t="shared" si="207"/>
        <v>39774.305800000002</v>
      </c>
      <c r="V408" s="377">
        <f t="shared" si="207"/>
        <v>44562.754300000001</v>
      </c>
      <c r="W408" s="377">
        <f t="shared" si="207"/>
        <v>49197.340800000005</v>
      </c>
      <c r="X408" s="377">
        <f t="shared" si="207"/>
        <v>53567.979999999996</v>
      </c>
      <c r="Y408" s="377">
        <f t="shared" si="207"/>
        <v>57368.29</v>
      </c>
      <c r="Z408" s="377">
        <f t="shared" si="207"/>
        <v>60846.282299999999</v>
      </c>
      <c r="AA408" s="377">
        <f t="shared" si="207"/>
        <v>68928.394299999985</v>
      </c>
      <c r="AB408" s="377">
        <f t="shared" si="207"/>
        <v>72739.584299999988</v>
      </c>
      <c r="AC408" s="377">
        <f t="shared" si="207"/>
        <v>79615.281299999988</v>
      </c>
      <c r="AD408" s="377">
        <f t="shared" si="207"/>
        <v>87254.705299999987</v>
      </c>
      <c r="AE408" s="377">
        <f t="shared" si="207"/>
        <v>88904.86629999998</v>
      </c>
      <c r="AF408" s="377">
        <f t="shared" si="207"/>
        <v>110540.68129999998</v>
      </c>
      <c r="AG408" s="377">
        <f t="shared" si="207"/>
        <v>111958.42129999997</v>
      </c>
      <c r="AH408" s="377">
        <f t="shared" si="207"/>
        <v>108538.90849999998</v>
      </c>
      <c r="AI408" s="377">
        <f t="shared" si="207"/>
        <v>104894.98379999996</v>
      </c>
      <c r="AJ408" s="377">
        <f t="shared" si="207"/>
        <v>119038.66629999997</v>
      </c>
      <c r="AK408" s="377">
        <f t="shared" si="207"/>
        <v>115632.86279999996</v>
      </c>
    </row>
    <row r="409" spans="1:37" s="377" customFormat="1">
      <c r="E409" s="387"/>
      <c r="I409" s="388"/>
      <c r="J409" s="388"/>
    </row>
    <row r="410" spans="1:37" s="377" customFormat="1">
      <c r="I410" s="388"/>
      <c r="J410" s="388"/>
    </row>
    <row r="411" spans="1:37" s="377" customFormat="1">
      <c r="A411" s="408" t="s">
        <v>753</v>
      </c>
      <c r="B411" s="408"/>
      <c r="C411" s="408"/>
      <c r="D411" s="387"/>
      <c r="E411" s="387"/>
      <c r="G411" s="387"/>
      <c r="I411" s="388"/>
      <c r="J411" s="388"/>
      <c r="K411" s="389"/>
      <c r="L411" s="389"/>
      <c r="M411" s="389"/>
      <c r="N411" s="389"/>
      <c r="O411" s="389"/>
      <c r="P411" s="389"/>
    </row>
    <row r="412" spans="1:37" s="377" customFormat="1">
      <c r="B412" s="377" t="s">
        <v>682</v>
      </c>
      <c r="D412" s="387">
        <v>131769.53</v>
      </c>
      <c r="E412" s="387"/>
      <c r="F412" s="377">
        <f>G412+H412</f>
        <v>131769.52599999995</v>
      </c>
      <c r="G412" s="387">
        <v>102927.39</v>
      </c>
      <c r="H412" s="377">
        <f t="shared" ref="H412:H425" si="208">SUM(K412:AI412)</f>
        <v>28842.135999999944</v>
      </c>
      <c r="I412" s="388">
        <v>2</v>
      </c>
      <c r="J412" s="388"/>
      <c r="K412" s="389">
        <f t="shared" ref="K412:T413" si="209">SUM($D412*$I412)/100</f>
        <v>2635.3906000000002</v>
      </c>
      <c r="L412" s="389">
        <f t="shared" si="209"/>
        <v>2635.3906000000002</v>
      </c>
      <c r="M412" s="389">
        <f t="shared" si="209"/>
        <v>2635.3906000000002</v>
      </c>
      <c r="N412" s="389">
        <f t="shared" si="209"/>
        <v>2635.3906000000002</v>
      </c>
      <c r="O412" s="389">
        <f t="shared" si="209"/>
        <v>2635.3906000000002</v>
      </c>
      <c r="P412" s="389">
        <f t="shared" si="209"/>
        <v>2635.3906000000002</v>
      </c>
      <c r="Q412" s="389">
        <f t="shared" si="209"/>
        <v>2635.3906000000002</v>
      </c>
      <c r="R412" s="389">
        <f t="shared" si="209"/>
        <v>2635.3906000000002</v>
      </c>
      <c r="S412" s="389">
        <f t="shared" si="209"/>
        <v>2635.3906000000002</v>
      </c>
      <c r="T412" s="389">
        <f t="shared" si="209"/>
        <v>2635.3906000000002</v>
      </c>
      <c r="U412" s="389">
        <f>131769.53-129281.3</f>
        <v>2488.2299999999959</v>
      </c>
      <c r="V412" s="389">
        <f t="shared" ref="V412:AK412" si="210">131769.53-129281.3-2488.23</f>
        <v>-4.0927261579781771E-12</v>
      </c>
      <c r="W412" s="389">
        <f t="shared" si="210"/>
        <v>-4.0927261579781771E-12</v>
      </c>
      <c r="X412" s="389">
        <f t="shared" si="210"/>
        <v>-4.0927261579781771E-12</v>
      </c>
      <c r="Y412" s="389">
        <f t="shared" si="210"/>
        <v>-4.0927261579781771E-12</v>
      </c>
      <c r="Z412" s="389">
        <f t="shared" si="210"/>
        <v>-4.0927261579781771E-12</v>
      </c>
      <c r="AA412" s="389">
        <f t="shared" si="210"/>
        <v>-4.0927261579781771E-12</v>
      </c>
      <c r="AB412" s="389">
        <f t="shared" si="210"/>
        <v>-4.0927261579781771E-12</v>
      </c>
      <c r="AC412" s="389">
        <f t="shared" si="210"/>
        <v>-4.0927261579781771E-12</v>
      </c>
      <c r="AD412" s="389">
        <f t="shared" si="210"/>
        <v>-4.0927261579781771E-12</v>
      </c>
      <c r="AE412" s="389">
        <f t="shared" si="210"/>
        <v>-4.0927261579781771E-12</v>
      </c>
      <c r="AF412" s="389">
        <f t="shared" si="210"/>
        <v>-4.0927261579781771E-12</v>
      </c>
      <c r="AG412" s="389">
        <f t="shared" si="210"/>
        <v>-4.0927261579781771E-12</v>
      </c>
      <c r="AH412" s="389">
        <f t="shared" si="210"/>
        <v>-4.0927261579781771E-12</v>
      </c>
      <c r="AI412" s="389">
        <f t="shared" si="210"/>
        <v>-4.0927261579781771E-12</v>
      </c>
      <c r="AJ412" s="389">
        <f t="shared" si="210"/>
        <v>-4.0927261579781771E-12</v>
      </c>
      <c r="AK412" s="389">
        <f t="shared" si="210"/>
        <v>-4.0927261579781771E-12</v>
      </c>
    </row>
    <row r="413" spans="1:37" s="377" customFormat="1">
      <c r="B413" s="377" t="s">
        <v>752</v>
      </c>
      <c r="D413" s="387">
        <f>659520.01-85780</f>
        <v>573740.01</v>
      </c>
      <c r="E413" s="387"/>
      <c r="F413" s="377">
        <f>G413+H413-85780</f>
        <v>573740.01</v>
      </c>
      <c r="G413" s="387">
        <v>659520.01</v>
      </c>
      <c r="H413" s="377">
        <f t="shared" si="208"/>
        <v>0</v>
      </c>
      <c r="I413" s="388"/>
      <c r="J413" s="388"/>
      <c r="K413" s="389">
        <f t="shared" si="209"/>
        <v>0</v>
      </c>
      <c r="L413" s="389">
        <f t="shared" si="209"/>
        <v>0</v>
      </c>
      <c r="M413" s="389">
        <f t="shared" si="209"/>
        <v>0</v>
      </c>
      <c r="N413" s="389">
        <f t="shared" si="209"/>
        <v>0</v>
      </c>
      <c r="O413" s="389">
        <f t="shared" si="209"/>
        <v>0</v>
      </c>
      <c r="P413" s="389">
        <f t="shared" si="209"/>
        <v>0</v>
      </c>
      <c r="Q413" s="389">
        <f t="shared" si="209"/>
        <v>0</v>
      </c>
      <c r="R413" s="389">
        <f t="shared" si="209"/>
        <v>0</v>
      </c>
      <c r="S413" s="389">
        <f t="shared" si="209"/>
        <v>0</v>
      </c>
      <c r="T413" s="389">
        <f t="shared" si="209"/>
        <v>0</v>
      </c>
      <c r="U413" s="389">
        <f t="shared" ref="U413:AK413" si="211">SUM($D413*$I413)/100</f>
        <v>0</v>
      </c>
      <c r="V413" s="389">
        <f t="shared" si="211"/>
        <v>0</v>
      </c>
      <c r="W413" s="389">
        <f t="shared" si="211"/>
        <v>0</v>
      </c>
      <c r="X413" s="389">
        <f t="shared" si="211"/>
        <v>0</v>
      </c>
      <c r="Y413" s="389">
        <f t="shared" si="211"/>
        <v>0</v>
      </c>
      <c r="Z413" s="389">
        <f t="shared" si="211"/>
        <v>0</v>
      </c>
      <c r="AA413" s="389">
        <f t="shared" si="211"/>
        <v>0</v>
      </c>
      <c r="AB413" s="389">
        <f t="shared" si="211"/>
        <v>0</v>
      </c>
      <c r="AC413" s="389">
        <f t="shared" si="211"/>
        <v>0</v>
      </c>
      <c r="AD413" s="389">
        <f t="shared" si="211"/>
        <v>0</v>
      </c>
      <c r="AE413" s="389">
        <f t="shared" si="211"/>
        <v>0</v>
      </c>
      <c r="AF413" s="389">
        <f t="shared" si="211"/>
        <v>0</v>
      </c>
      <c r="AG413" s="389">
        <f t="shared" si="211"/>
        <v>0</v>
      </c>
      <c r="AH413" s="389">
        <f t="shared" si="211"/>
        <v>0</v>
      </c>
      <c r="AI413" s="389">
        <f t="shared" si="211"/>
        <v>0</v>
      </c>
      <c r="AJ413" s="389">
        <f t="shared" si="211"/>
        <v>0</v>
      </c>
      <c r="AK413" s="389">
        <f t="shared" si="211"/>
        <v>0</v>
      </c>
    </row>
    <row r="414" spans="1:37" s="377" customFormat="1">
      <c r="B414" s="377" t="s">
        <v>751</v>
      </c>
      <c r="C414" s="386">
        <f>DATE(99,6,1)</f>
        <v>36312</v>
      </c>
      <c r="D414" s="387">
        <v>44762.41</v>
      </c>
      <c r="E414" s="387"/>
      <c r="F414" s="377">
        <f>G414+H414</f>
        <v>44762.407000000007</v>
      </c>
      <c r="G414" s="387"/>
      <c r="H414" s="377">
        <f t="shared" si="208"/>
        <v>44762.407000000007</v>
      </c>
      <c r="I414" s="388">
        <v>10</v>
      </c>
      <c r="J414" s="388"/>
      <c r="K414" s="389"/>
      <c r="L414" s="389"/>
      <c r="M414" s="389"/>
      <c r="N414" s="389"/>
      <c r="O414" s="389"/>
      <c r="P414" s="389"/>
      <c r="Q414" s="389"/>
      <c r="R414" s="389"/>
      <c r="S414" s="389"/>
      <c r="T414" s="389"/>
      <c r="U414" s="389"/>
      <c r="V414" s="389">
        <f>SUM($D414*$I414)/100</f>
        <v>4476.241</v>
      </c>
      <c r="W414" s="389">
        <f>SUM($D414*$I414)/100</f>
        <v>4476.241</v>
      </c>
      <c r="X414" s="389">
        <v>4476.24</v>
      </c>
      <c r="Y414" s="389">
        <v>4476.2</v>
      </c>
      <c r="Z414" s="389">
        <f>SUM($D414*$I414)/100</f>
        <v>4476.241</v>
      </c>
      <c r="AA414" s="389">
        <f>SUM($D414*$I414)/100</f>
        <v>4476.241</v>
      </c>
      <c r="AB414" s="389">
        <f>SUM($D414*$I414)/100</f>
        <v>4476.241</v>
      </c>
      <c r="AC414" s="389">
        <f>SUM($D414*$I414)/100</f>
        <v>4476.241</v>
      </c>
      <c r="AD414" s="389">
        <f>SUM($D414*$I414)/100</f>
        <v>4476.241</v>
      </c>
      <c r="AE414" s="389">
        <v>4476.28</v>
      </c>
      <c r="AF414" s="389">
        <v>0</v>
      </c>
      <c r="AG414" s="389">
        <v>0</v>
      </c>
      <c r="AH414" s="389">
        <v>0</v>
      </c>
      <c r="AI414" s="389">
        <v>0</v>
      </c>
      <c r="AJ414" s="389">
        <v>0</v>
      </c>
      <c r="AK414" s="389">
        <v>0</v>
      </c>
    </row>
    <row r="415" spans="1:37" s="377" customFormat="1">
      <c r="B415" s="377" t="s">
        <v>750</v>
      </c>
      <c r="C415" s="386">
        <f>DATE(2004,4,1)</f>
        <v>38078</v>
      </c>
      <c r="D415" s="387">
        <v>25570.78</v>
      </c>
      <c r="E415" s="387"/>
      <c r="F415" s="387">
        <f>H415</f>
        <v>23013.702000000001</v>
      </c>
      <c r="H415" s="377">
        <f t="shared" si="208"/>
        <v>23013.702000000001</v>
      </c>
      <c r="J415" s="404">
        <v>10</v>
      </c>
      <c r="L415" s="389">
        <v>0</v>
      </c>
      <c r="M415" s="389">
        <v>0</v>
      </c>
      <c r="N415" s="389">
        <v>0</v>
      </c>
      <c r="O415" s="389">
        <v>0</v>
      </c>
      <c r="P415" s="389">
        <v>0</v>
      </c>
      <c r="Q415" s="389">
        <v>0</v>
      </c>
      <c r="R415" s="389">
        <v>0</v>
      </c>
      <c r="S415" s="389">
        <v>0</v>
      </c>
      <c r="T415" s="389">
        <v>0</v>
      </c>
      <c r="U415" s="389">
        <v>0</v>
      </c>
      <c r="V415" s="389">
        <v>0</v>
      </c>
      <c r="W415" s="389">
        <v>0</v>
      </c>
      <c r="X415" s="389">
        <v>0</v>
      </c>
      <c r="Y415" s="389">
        <v>0</v>
      </c>
      <c r="Z415" s="389">
        <v>0</v>
      </c>
      <c r="AA415" s="389">
        <f t="shared" ref="AA415:AJ415" si="212">SUM($D415*$J415)/100</f>
        <v>2557.078</v>
      </c>
      <c r="AB415" s="389">
        <f t="shared" si="212"/>
        <v>2557.078</v>
      </c>
      <c r="AC415" s="389">
        <f t="shared" si="212"/>
        <v>2557.078</v>
      </c>
      <c r="AD415" s="389">
        <f t="shared" si="212"/>
        <v>2557.078</v>
      </c>
      <c r="AE415" s="389">
        <f t="shared" si="212"/>
        <v>2557.078</v>
      </c>
      <c r="AF415" s="389">
        <f t="shared" si="212"/>
        <v>2557.078</v>
      </c>
      <c r="AG415" s="389">
        <f t="shared" si="212"/>
        <v>2557.078</v>
      </c>
      <c r="AH415" s="389">
        <f t="shared" si="212"/>
        <v>2557.078</v>
      </c>
      <c r="AI415" s="389">
        <f t="shared" si="212"/>
        <v>2557.078</v>
      </c>
      <c r="AJ415" s="389">
        <f t="shared" si="212"/>
        <v>2557.078</v>
      </c>
      <c r="AK415" s="389">
        <v>0</v>
      </c>
    </row>
    <row r="416" spans="1:37" s="377" customFormat="1">
      <c r="B416" s="377" t="s">
        <v>749</v>
      </c>
      <c r="C416" s="386"/>
      <c r="D416" s="387"/>
      <c r="E416" s="387"/>
      <c r="G416" s="387"/>
      <c r="H416" s="377">
        <f t="shared" si="208"/>
        <v>0</v>
      </c>
      <c r="I416" s="388"/>
      <c r="J416" s="388"/>
      <c r="K416" s="389"/>
      <c r="L416" s="389"/>
      <c r="M416" s="389"/>
      <c r="N416" s="389"/>
      <c r="O416" s="389"/>
      <c r="P416" s="389"/>
      <c r="Q416" s="389"/>
      <c r="R416" s="389"/>
      <c r="S416" s="389"/>
      <c r="T416" s="389"/>
      <c r="U416" s="389"/>
      <c r="V416" s="389"/>
      <c r="W416" s="389"/>
      <c r="X416" s="389"/>
      <c r="Y416" s="389"/>
      <c r="Z416" s="389"/>
      <c r="AA416" s="389"/>
      <c r="AB416" s="389"/>
      <c r="AC416" s="389"/>
      <c r="AD416" s="389"/>
      <c r="AE416" s="389"/>
      <c r="AF416" s="389"/>
      <c r="AG416" s="389"/>
      <c r="AH416" s="389"/>
      <c r="AI416" s="389"/>
      <c r="AJ416" s="389"/>
      <c r="AK416" s="389"/>
    </row>
    <row r="417" spans="1:37" s="377" customFormat="1">
      <c r="B417" s="377" t="s">
        <v>748</v>
      </c>
      <c r="C417" s="386">
        <f>DATE(2002,6,1)</f>
        <v>37408</v>
      </c>
      <c r="D417" s="387">
        <v>2108224.5299999998</v>
      </c>
      <c r="E417" s="387"/>
      <c r="F417" s="387">
        <f t="shared" ref="F417:F423" si="213">H417</f>
        <v>1106817.875</v>
      </c>
      <c r="H417" s="377">
        <f t="shared" si="208"/>
        <v>1106817.875</v>
      </c>
      <c r="J417" s="404">
        <v>5</v>
      </c>
      <c r="L417" s="389">
        <v>0</v>
      </c>
      <c r="M417" s="389">
        <v>0</v>
      </c>
      <c r="N417" s="389">
        <v>0</v>
      </c>
      <c r="O417" s="389">
        <v>0</v>
      </c>
      <c r="P417" s="389">
        <v>0</v>
      </c>
      <c r="Q417" s="389">
        <v>0</v>
      </c>
      <c r="R417" s="389">
        <v>0</v>
      </c>
      <c r="S417" s="389">
        <v>0</v>
      </c>
      <c r="T417" s="389">
        <v>0</v>
      </c>
      <c r="U417" s="389">
        <v>0</v>
      </c>
      <c r="V417" s="389">
        <v>0</v>
      </c>
      <c r="W417" s="389">
        <v>0</v>
      </c>
      <c r="X417" s="389">
        <v>0</v>
      </c>
      <c r="Y417" s="389">
        <v>52705.61</v>
      </c>
      <c r="Z417" s="389">
        <f t="shared" ref="Z417:AK419" si="214">SUM($D417*$J417)/100</f>
        <v>105411.22649999999</v>
      </c>
      <c r="AA417" s="389">
        <f t="shared" si="214"/>
        <v>105411.22649999999</v>
      </c>
      <c r="AB417" s="389">
        <f t="shared" si="214"/>
        <v>105411.22649999999</v>
      </c>
      <c r="AC417" s="389">
        <f t="shared" si="214"/>
        <v>105411.22649999999</v>
      </c>
      <c r="AD417" s="389">
        <f t="shared" si="214"/>
        <v>105411.22649999999</v>
      </c>
      <c r="AE417" s="389">
        <f t="shared" si="214"/>
        <v>105411.22649999999</v>
      </c>
      <c r="AF417" s="389">
        <f t="shared" si="214"/>
        <v>105411.22649999999</v>
      </c>
      <c r="AG417" s="389">
        <f t="shared" si="214"/>
        <v>105411.22649999999</v>
      </c>
      <c r="AH417" s="389">
        <f t="shared" si="214"/>
        <v>105411.22649999999</v>
      </c>
      <c r="AI417" s="389">
        <f t="shared" si="214"/>
        <v>105411.22649999999</v>
      </c>
      <c r="AJ417" s="389">
        <f t="shared" si="214"/>
        <v>105411.22649999999</v>
      </c>
      <c r="AK417" s="389">
        <f t="shared" si="214"/>
        <v>105411.22649999999</v>
      </c>
    </row>
    <row r="418" spans="1:37" s="377" customFormat="1">
      <c r="B418" s="377" t="s">
        <v>747</v>
      </c>
      <c r="C418" s="386">
        <f>DATE(2002,6,1)</f>
        <v>37408</v>
      </c>
      <c r="D418" s="387">
        <f>863387.19-15010</f>
        <v>848377.19</v>
      </c>
      <c r="E418" s="387"/>
      <c r="F418" s="387">
        <f t="shared" si="213"/>
        <v>445398.02500000002</v>
      </c>
      <c r="H418" s="377">
        <f t="shared" si="208"/>
        <v>445398.02500000002</v>
      </c>
      <c r="J418" s="404">
        <v>5</v>
      </c>
      <c r="L418" s="389">
        <v>0</v>
      </c>
      <c r="M418" s="389">
        <v>0</v>
      </c>
      <c r="N418" s="389">
        <v>0</v>
      </c>
      <c r="O418" s="389">
        <v>0</v>
      </c>
      <c r="P418" s="389">
        <v>0</v>
      </c>
      <c r="Q418" s="389">
        <v>0</v>
      </c>
      <c r="R418" s="389">
        <v>0</v>
      </c>
      <c r="S418" s="389">
        <v>0</v>
      </c>
      <c r="T418" s="389">
        <v>0</v>
      </c>
      <c r="U418" s="389">
        <v>0</v>
      </c>
      <c r="V418" s="389">
        <v>0</v>
      </c>
      <c r="W418" s="389">
        <v>0</v>
      </c>
      <c r="X418" s="389">
        <v>0</v>
      </c>
      <c r="Y418" s="389">
        <v>21209.43</v>
      </c>
      <c r="Z418" s="389">
        <f t="shared" si="214"/>
        <v>42418.859499999991</v>
      </c>
      <c r="AA418" s="389">
        <f t="shared" si="214"/>
        <v>42418.859499999991</v>
      </c>
      <c r="AB418" s="389">
        <f t="shared" si="214"/>
        <v>42418.859499999991</v>
      </c>
      <c r="AC418" s="389">
        <f t="shared" si="214"/>
        <v>42418.859499999991</v>
      </c>
      <c r="AD418" s="389">
        <f t="shared" si="214"/>
        <v>42418.859499999991</v>
      </c>
      <c r="AE418" s="389">
        <f t="shared" si="214"/>
        <v>42418.859499999991</v>
      </c>
      <c r="AF418" s="389">
        <f t="shared" si="214"/>
        <v>42418.859499999991</v>
      </c>
      <c r="AG418" s="389">
        <f t="shared" si="214"/>
        <v>42418.859499999991</v>
      </c>
      <c r="AH418" s="389">
        <f t="shared" si="214"/>
        <v>42418.859499999991</v>
      </c>
      <c r="AI418" s="389">
        <f t="shared" si="214"/>
        <v>42418.859499999991</v>
      </c>
      <c r="AJ418" s="389">
        <f t="shared" si="214"/>
        <v>42418.859499999991</v>
      </c>
      <c r="AK418" s="389">
        <f t="shared" si="214"/>
        <v>42418.859499999991</v>
      </c>
    </row>
    <row r="419" spans="1:37" s="377" customFormat="1">
      <c r="B419" s="377" t="s">
        <v>746</v>
      </c>
      <c r="C419" s="386">
        <f>DATE(2002,6,1)</f>
        <v>37408</v>
      </c>
      <c r="D419" s="387">
        <v>15010</v>
      </c>
      <c r="E419" s="387"/>
      <c r="F419" s="387">
        <f t="shared" si="213"/>
        <v>12608.399999999998</v>
      </c>
      <c r="H419" s="377">
        <f t="shared" si="208"/>
        <v>12608.399999999998</v>
      </c>
      <c r="J419" s="404">
        <v>8</v>
      </c>
      <c r="L419" s="389">
        <v>0</v>
      </c>
      <c r="M419" s="389">
        <v>0</v>
      </c>
      <c r="N419" s="389">
        <v>0</v>
      </c>
      <c r="O419" s="389">
        <v>0</v>
      </c>
      <c r="P419" s="389">
        <v>0</v>
      </c>
      <c r="Q419" s="389">
        <v>0</v>
      </c>
      <c r="R419" s="389">
        <v>0</v>
      </c>
      <c r="S419" s="389">
        <v>0</v>
      </c>
      <c r="T419" s="389">
        <v>0</v>
      </c>
      <c r="U419" s="389">
        <v>0</v>
      </c>
      <c r="V419" s="389">
        <v>0</v>
      </c>
      <c r="W419" s="389">
        <v>0</v>
      </c>
      <c r="X419" s="389">
        <v>0</v>
      </c>
      <c r="Y419" s="389">
        <v>600.4</v>
      </c>
      <c r="Z419" s="389">
        <f t="shared" si="214"/>
        <v>1200.8</v>
      </c>
      <c r="AA419" s="389">
        <f t="shared" si="214"/>
        <v>1200.8</v>
      </c>
      <c r="AB419" s="389">
        <f t="shared" si="214"/>
        <v>1200.8</v>
      </c>
      <c r="AC419" s="389">
        <f t="shared" si="214"/>
        <v>1200.8</v>
      </c>
      <c r="AD419" s="389">
        <f t="shared" si="214"/>
        <v>1200.8</v>
      </c>
      <c r="AE419" s="389">
        <f t="shared" si="214"/>
        <v>1200.8</v>
      </c>
      <c r="AF419" s="389">
        <f t="shared" si="214"/>
        <v>1200.8</v>
      </c>
      <c r="AG419" s="389">
        <f t="shared" si="214"/>
        <v>1200.8</v>
      </c>
      <c r="AH419" s="389">
        <f t="shared" si="214"/>
        <v>1200.8</v>
      </c>
      <c r="AI419" s="389">
        <f t="shared" si="214"/>
        <v>1200.8</v>
      </c>
      <c r="AJ419" s="389">
        <f t="shared" si="214"/>
        <v>1200.8</v>
      </c>
      <c r="AK419" s="389">
        <f t="shared" si="214"/>
        <v>1200.8</v>
      </c>
    </row>
    <row r="420" spans="1:37" s="377" customFormat="1">
      <c r="B420" s="377" t="s">
        <v>745</v>
      </c>
      <c r="C420" s="386">
        <f>DATE(2003,12,1)</f>
        <v>37956</v>
      </c>
      <c r="D420" s="387">
        <v>6500</v>
      </c>
      <c r="E420" s="387"/>
      <c r="F420" s="387">
        <f t="shared" si="213"/>
        <v>6500</v>
      </c>
      <c r="H420" s="377">
        <f t="shared" si="208"/>
        <v>6500</v>
      </c>
      <c r="J420" s="404">
        <v>10</v>
      </c>
      <c r="L420" s="389">
        <v>0</v>
      </c>
      <c r="M420" s="389">
        <v>0</v>
      </c>
      <c r="N420" s="389">
        <v>0</v>
      </c>
      <c r="O420" s="389">
        <v>0</v>
      </c>
      <c r="P420" s="389">
        <v>0</v>
      </c>
      <c r="Q420" s="389">
        <v>0</v>
      </c>
      <c r="R420" s="389">
        <v>0</v>
      </c>
      <c r="S420" s="389">
        <v>0</v>
      </c>
      <c r="T420" s="389">
        <v>0</v>
      </c>
      <c r="U420" s="389">
        <v>0</v>
      </c>
      <c r="V420" s="389">
        <v>0</v>
      </c>
      <c r="W420" s="389">
        <v>0</v>
      </c>
      <c r="X420" s="389">
        <v>0</v>
      </c>
      <c r="Y420" s="389">
        <v>0</v>
      </c>
      <c r="Z420" s="389">
        <f t="shared" ref="Z420:AI422" si="215">SUM($D420*$J420)/100</f>
        <v>650</v>
      </c>
      <c r="AA420" s="389">
        <f t="shared" si="215"/>
        <v>650</v>
      </c>
      <c r="AB420" s="389">
        <f t="shared" si="215"/>
        <v>650</v>
      </c>
      <c r="AC420" s="389">
        <f t="shared" si="215"/>
        <v>650</v>
      </c>
      <c r="AD420" s="389">
        <f t="shared" si="215"/>
        <v>650</v>
      </c>
      <c r="AE420" s="389">
        <f t="shared" si="215"/>
        <v>650</v>
      </c>
      <c r="AF420" s="389">
        <f t="shared" si="215"/>
        <v>650</v>
      </c>
      <c r="AG420" s="389">
        <f t="shared" si="215"/>
        <v>650</v>
      </c>
      <c r="AH420" s="389">
        <f t="shared" si="215"/>
        <v>650</v>
      </c>
      <c r="AI420" s="389">
        <f t="shared" si="215"/>
        <v>650</v>
      </c>
      <c r="AJ420" s="389">
        <v>0</v>
      </c>
      <c r="AK420" s="389">
        <v>0</v>
      </c>
    </row>
    <row r="421" spans="1:37" s="377" customFormat="1">
      <c r="B421" s="377" t="s">
        <v>744</v>
      </c>
      <c r="C421" s="386">
        <f>DATE(2003,8,1)</f>
        <v>37834</v>
      </c>
      <c r="D421" s="387">
        <f>69463.47+54142.07-4631.87</f>
        <v>118973.67000000001</v>
      </c>
      <c r="E421" s="387"/>
      <c r="F421" s="387">
        <f t="shared" si="213"/>
        <v>59486.834999999999</v>
      </c>
      <c r="H421" s="377">
        <f t="shared" si="208"/>
        <v>59486.834999999999</v>
      </c>
      <c r="J421" s="404">
        <v>5</v>
      </c>
      <c r="L421" s="389">
        <v>0</v>
      </c>
      <c r="M421" s="389">
        <v>0</v>
      </c>
      <c r="N421" s="389">
        <v>0</v>
      </c>
      <c r="O421" s="389">
        <v>0</v>
      </c>
      <c r="P421" s="389">
        <v>0</v>
      </c>
      <c r="Q421" s="389">
        <v>0</v>
      </c>
      <c r="R421" s="389">
        <v>0</v>
      </c>
      <c r="S421" s="389">
        <v>0</v>
      </c>
      <c r="T421" s="389">
        <v>0</v>
      </c>
      <c r="U421" s="389">
        <v>0</v>
      </c>
      <c r="V421" s="389">
        <v>0</v>
      </c>
      <c r="W421" s="389">
        <v>0</v>
      </c>
      <c r="X421" s="389">
        <v>0</v>
      </c>
      <c r="Y421" s="389">
        <v>0</v>
      </c>
      <c r="Z421" s="389">
        <f t="shared" si="215"/>
        <v>5948.683500000001</v>
      </c>
      <c r="AA421" s="389">
        <f t="shared" si="215"/>
        <v>5948.683500000001</v>
      </c>
      <c r="AB421" s="389">
        <f t="shared" si="215"/>
        <v>5948.683500000001</v>
      </c>
      <c r="AC421" s="389">
        <f t="shared" si="215"/>
        <v>5948.683500000001</v>
      </c>
      <c r="AD421" s="389">
        <f t="shared" si="215"/>
        <v>5948.683500000001</v>
      </c>
      <c r="AE421" s="389">
        <f t="shared" si="215"/>
        <v>5948.683500000001</v>
      </c>
      <c r="AF421" s="389">
        <f t="shared" si="215"/>
        <v>5948.683500000001</v>
      </c>
      <c r="AG421" s="389">
        <f t="shared" si="215"/>
        <v>5948.683500000001</v>
      </c>
      <c r="AH421" s="389">
        <f t="shared" si="215"/>
        <v>5948.683500000001</v>
      </c>
      <c r="AI421" s="389">
        <f t="shared" si="215"/>
        <v>5948.683500000001</v>
      </c>
      <c r="AJ421" s="389">
        <f t="shared" ref="AJ421:AK423" si="216">SUM($D421*$J421)/100</f>
        <v>5948.683500000001</v>
      </c>
      <c r="AK421" s="389">
        <f t="shared" si="216"/>
        <v>5948.683500000001</v>
      </c>
    </row>
    <row r="422" spans="1:37" s="377" customFormat="1">
      <c r="B422" s="377" t="s">
        <v>743</v>
      </c>
      <c r="C422" s="386"/>
      <c r="D422" s="387">
        <v>-94622</v>
      </c>
      <c r="E422" s="387"/>
      <c r="F422" s="387">
        <f t="shared" si="213"/>
        <v>-47310.999999999993</v>
      </c>
      <c r="H422" s="377">
        <f t="shared" si="208"/>
        <v>-47310.999999999993</v>
      </c>
      <c r="J422" s="404">
        <v>5</v>
      </c>
      <c r="L422" s="389"/>
      <c r="M422" s="389"/>
      <c r="N422" s="389"/>
      <c r="O422" s="389"/>
      <c r="P422" s="389"/>
      <c r="Q422" s="389"/>
      <c r="R422" s="389"/>
      <c r="S422" s="389"/>
      <c r="T422" s="389"/>
      <c r="U422" s="389"/>
      <c r="V422" s="389"/>
      <c r="W422" s="389"/>
      <c r="X422" s="389"/>
      <c r="Y422" s="389">
        <v>0</v>
      </c>
      <c r="Z422" s="389">
        <f t="shared" si="215"/>
        <v>-4731.1000000000004</v>
      </c>
      <c r="AA422" s="389">
        <f t="shared" si="215"/>
        <v>-4731.1000000000004</v>
      </c>
      <c r="AB422" s="389">
        <f t="shared" si="215"/>
        <v>-4731.1000000000004</v>
      </c>
      <c r="AC422" s="389">
        <f t="shared" si="215"/>
        <v>-4731.1000000000004</v>
      </c>
      <c r="AD422" s="389">
        <f t="shared" si="215"/>
        <v>-4731.1000000000004</v>
      </c>
      <c r="AE422" s="389">
        <f t="shared" si="215"/>
        <v>-4731.1000000000004</v>
      </c>
      <c r="AF422" s="389">
        <f t="shared" si="215"/>
        <v>-4731.1000000000004</v>
      </c>
      <c r="AG422" s="389">
        <f t="shared" si="215"/>
        <v>-4731.1000000000004</v>
      </c>
      <c r="AH422" s="389">
        <f t="shared" si="215"/>
        <v>-4731.1000000000004</v>
      </c>
      <c r="AI422" s="389">
        <f t="shared" si="215"/>
        <v>-4731.1000000000004</v>
      </c>
      <c r="AJ422" s="389">
        <f t="shared" si="216"/>
        <v>-4731.1000000000004</v>
      </c>
      <c r="AK422" s="389">
        <f t="shared" si="216"/>
        <v>-4731.1000000000004</v>
      </c>
    </row>
    <row r="423" spans="1:37" s="377" customFormat="1">
      <c r="B423" s="390" t="s">
        <v>742</v>
      </c>
      <c r="C423" s="391">
        <f>DATE(2013,8,1)</f>
        <v>41487</v>
      </c>
      <c r="D423" s="392">
        <v>344007.44</v>
      </c>
      <c r="E423" s="392"/>
      <c r="F423" s="392">
        <f t="shared" si="213"/>
        <v>0</v>
      </c>
      <c r="G423" s="390"/>
      <c r="H423" s="390">
        <f t="shared" si="208"/>
        <v>0</v>
      </c>
      <c r="I423" s="390"/>
      <c r="J423" s="407">
        <v>5</v>
      </c>
      <c r="K423" s="390"/>
      <c r="L423" s="394"/>
      <c r="M423" s="394"/>
      <c r="N423" s="394"/>
      <c r="O423" s="394"/>
      <c r="P423" s="394"/>
      <c r="Q423" s="394"/>
      <c r="R423" s="394"/>
      <c r="S423" s="394"/>
      <c r="T423" s="394"/>
      <c r="U423" s="394"/>
      <c r="V423" s="394"/>
      <c r="W423" s="394"/>
      <c r="X423" s="394"/>
      <c r="Y423" s="394">
        <v>0</v>
      </c>
      <c r="Z423" s="394">
        <v>0</v>
      </c>
      <c r="AA423" s="394">
        <v>0</v>
      </c>
      <c r="AB423" s="394">
        <v>0</v>
      </c>
      <c r="AC423" s="394">
        <v>0</v>
      </c>
      <c r="AD423" s="394">
        <v>0</v>
      </c>
      <c r="AE423" s="394">
        <v>0</v>
      </c>
      <c r="AF423" s="394">
        <v>0</v>
      </c>
      <c r="AG423" s="394">
        <v>0</v>
      </c>
      <c r="AH423" s="394">
        <v>0</v>
      </c>
      <c r="AI423" s="394">
        <v>0</v>
      </c>
      <c r="AJ423" s="394">
        <f t="shared" si="216"/>
        <v>17200.371999999999</v>
      </c>
      <c r="AK423" s="394">
        <f t="shared" si="216"/>
        <v>17200.371999999999</v>
      </c>
    </row>
    <row r="424" spans="1:37" s="377" customFormat="1">
      <c r="B424" s="377" t="s">
        <v>741</v>
      </c>
      <c r="C424" s="378">
        <f>DATE(90,8,1)</f>
        <v>33086</v>
      </c>
      <c r="D424" s="380">
        <v>4110.7299999999996</v>
      </c>
      <c r="E424" s="380"/>
      <c r="F424" s="379">
        <f>G424+H424</f>
        <v>4110.7334999999985</v>
      </c>
      <c r="G424" s="380">
        <v>264.02999999999997</v>
      </c>
      <c r="H424" s="377">
        <f t="shared" si="208"/>
        <v>3846.7034999999987</v>
      </c>
      <c r="I424" s="381">
        <v>10</v>
      </c>
      <c r="J424" s="381"/>
      <c r="K424" s="382">
        <v>0</v>
      </c>
      <c r="L424" s="382">
        <v>0</v>
      </c>
      <c r="M424" s="382">
        <f>SUM($D424*$I424)/100/2</f>
        <v>205.53649999999999</v>
      </c>
      <c r="N424" s="382">
        <f t="shared" ref="N424:V424" si="217">SUM($D424*$I424)/100</f>
        <v>411.07299999999998</v>
      </c>
      <c r="O424" s="382">
        <f t="shared" si="217"/>
        <v>411.07299999999998</v>
      </c>
      <c r="P424" s="382">
        <f t="shared" si="217"/>
        <v>411.07299999999998</v>
      </c>
      <c r="Q424" s="382">
        <f t="shared" si="217"/>
        <v>411.07299999999998</v>
      </c>
      <c r="R424" s="382">
        <f t="shared" si="217"/>
        <v>411.07299999999998</v>
      </c>
      <c r="S424" s="382">
        <f t="shared" si="217"/>
        <v>411.07299999999998</v>
      </c>
      <c r="T424" s="382">
        <f t="shared" si="217"/>
        <v>411.07299999999998</v>
      </c>
      <c r="U424" s="382">
        <f t="shared" si="217"/>
        <v>411.07299999999998</v>
      </c>
      <c r="V424" s="382">
        <f t="shared" si="217"/>
        <v>411.07299999999998</v>
      </c>
      <c r="W424" s="382">
        <v>205.54</v>
      </c>
      <c r="X424" s="382">
        <f>4110.73-4374.76</f>
        <v>-264.03000000000065</v>
      </c>
      <c r="Y424" s="382">
        <v>0</v>
      </c>
      <c r="Z424" s="382">
        <v>0</v>
      </c>
      <c r="AA424" s="382">
        <v>0</v>
      </c>
      <c r="AB424" s="382">
        <v>0</v>
      </c>
      <c r="AC424" s="382">
        <v>0</v>
      </c>
      <c r="AD424" s="382">
        <v>0</v>
      </c>
      <c r="AE424" s="382">
        <v>0</v>
      </c>
      <c r="AF424" s="382">
        <v>0</v>
      </c>
      <c r="AG424" s="382">
        <v>0</v>
      </c>
      <c r="AH424" s="382">
        <v>0</v>
      </c>
      <c r="AI424" s="382">
        <v>0</v>
      </c>
      <c r="AJ424" s="382">
        <v>0</v>
      </c>
      <c r="AK424" s="382">
        <v>0</v>
      </c>
    </row>
    <row r="425" spans="1:37" s="377" customFormat="1">
      <c r="D425" s="377">
        <f>SUM(D412:D424)</f>
        <v>4126424.2899999996</v>
      </c>
      <c r="E425" s="387">
        <f>F425+AJ425</f>
        <v>2530902.4329999997</v>
      </c>
      <c r="F425" s="377">
        <f>SUM(F412:F424)</f>
        <v>2360896.5134999999</v>
      </c>
      <c r="G425" s="377">
        <f>SUM(G412:G424)</f>
        <v>762711.43</v>
      </c>
      <c r="H425" s="377">
        <f t="shared" si="208"/>
        <v>1683965.0834999993</v>
      </c>
      <c r="I425" s="388"/>
      <c r="J425" s="388"/>
      <c r="K425" s="377">
        <f t="shared" ref="K425:AK425" si="218">SUM(K412:K424)</f>
        <v>2635.3906000000002</v>
      </c>
      <c r="L425" s="377">
        <f t="shared" si="218"/>
        <v>2635.3906000000002</v>
      </c>
      <c r="M425" s="377">
        <f t="shared" si="218"/>
        <v>2840.9271000000003</v>
      </c>
      <c r="N425" s="377">
        <f t="shared" si="218"/>
        <v>3046.4636</v>
      </c>
      <c r="O425" s="377">
        <f t="shared" si="218"/>
        <v>3046.4636</v>
      </c>
      <c r="P425" s="377">
        <f t="shared" si="218"/>
        <v>3046.4636</v>
      </c>
      <c r="Q425" s="377">
        <f t="shared" si="218"/>
        <v>3046.4636</v>
      </c>
      <c r="R425" s="377">
        <f t="shared" si="218"/>
        <v>3046.4636</v>
      </c>
      <c r="S425" s="377">
        <f t="shared" si="218"/>
        <v>3046.4636</v>
      </c>
      <c r="T425" s="377">
        <f t="shared" si="218"/>
        <v>3046.4636</v>
      </c>
      <c r="U425" s="377">
        <f t="shared" si="218"/>
        <v>2899.3029999999958</v>
      </c>
      <c r="V425" s="377">
        <f t="shared" si="218"/>
        <v>4887.3139999999967</v>
      </c>
      <c r="W425" s="377">
        <f t="shared" si="218"/>
        <v>4681.7809999999963</v>
      </c>
      <c r="X425" s="377">
        <f t="shared" si="218"/>
        <v>4212.2099999999955</v>
      </c>
      <c r="Y425" s="377">
        <f t="shared" si="218"/>
        <v>78991.639999999985</v>
      </c>
      <c r="Z425" s="377">
        <f t="shared" si="218"/>
        <v>155374.71049999999</v>
      </c>
      <c r="AA425" s="377">
        <f t="shared" si="218"/>
        <v>157931.78849999997</v>
      </c>
      <c r="AB425" s="377">
        <f t="shared" si="218"/>
        <v>157931.78849999997</v>
      </c>
      <c r="AC425" s="377">
        <f t="shared" si="218"/>
        <v>157931.78849999997</v>
      </c>
      <c r="AD425" s="377">
        <f t="shared" si="218"/>
        <v>157931.78849999997</v>
      </c>
      <c r="AE425" s="377">
        <f t="shared" si="218"/>
        <v>157931.82749999996</v>
      </c>
      <c r="AF425" s="377">
        <f t="shared" si="218"/>
        <v>153455.54749999999</v>
      </c>
      <c r="AG425" s="377">
        <f t="shared" si="218"/>
        <v>153455.54749999999</v>
      </c>
      <c r="AH425" s="377">
        <f t="shared" si="218"/>
        <v>153455.54749999999</v>
      </c>
      <c r="AI425" s="377">
        <f t="shared" si="218"/>
        <v>153455.54749999999</v>
      </c>
      <c r="AJ425" s="377">
        <f t="shared" si="218"/>
        <v>170005.91949999999</v>
      </c>
      <c r="AK425" s="377">
        <f t="shared" si="218"/>
        <v>167448.84149999998</v>
      </c>
    </row>
    <row r="426" spans="1:37" s="377" customFormat="1">
      <c r="I426" s="388"/>
      <c r="J426" s="388"/>
    </row>
    <row r="427" spans="1:37" s="377" customFormat="1">
      <c r="A427" s="408" t="s">
        <v>740</v>
      </c>
      <c r="B427" s="408"/>
      <c r="C427" s="408"/>
      <c r="D427" s="387"/>
      <c r="E427" s="387"/>
      <c r="G427" s="387"/>
      <c r="I427" s="388"/>
      <c r="J427" s="388"/>
      <c r="K427" s="389"/>
      <c r="L427" s="389"/>
      <c r="M427" s="389"/>
      <c r="N427" s="389"/>
      <c r="O427" s="389"/>
      <c r="P427" s="389"/>
    </row>
    <row r="428" spans="1:37" s="377" customFormat="1">
      <c r="B428" s="377" t="s">
        <v>732</v>
      </c>
      <c r="C428" s="386">
        <f>DATE(87,1,1)</f>
        <v>31778</v>
      </c>
      <c r="D428" s="387">
        <v>28493.38</v>
      </c>
      <c r="E428" s="387"/>
      <c r="F428" s="377">
        <f t="shared" ref="F428:F436" si="219">G428+H428</f>
        <v>28493.376</v>
      </c>
      <c r="G428" s="387">
        <v>712.33</v>
      </c>
      <c r="H428" s="377">
        <f t="shared" ref="H428:H441" si="220">SUM(K428:AI428)</f>
        <v>27781.045999999998</v>
      </c>
      <c r="I428" s="388">
        <v>5</v>
      </c>
      <c r="J428" s="388">
        <v>10</v>
      </c>
      <c r="K428" s="389">
        <f t="shared" ref="K428:V428" si="221">SUM($D428*$I428)/100</f>
        <v>1424.6689999999999</v>
      </c>
      <c r="L428" s="389">
        <f t="shared" si="221"/>
        <v>1424.6689999999999</v>
      </c>
      <c r="M428" s="389">
        <f t="shared" si="221"/>
        <v>1424.6689999999999</v>
      </c>
      <c r="N428" s="389">
        <f t="shared" si="221"/>
        <v>1424.6689999999999</v>
      </c>
      <c r="O428" s="389">
        <f t="shared" si="221"/>
        <v>1424.6689999999999</v>
      </c>
      <c r="P428" s="389">
        <f t="shared" si="221"/>
        <v>1424.6689999999999</v>
      </c>
      <c r="Q428" s="389">
        <f t="shared" si="221"/>
        <v>1424.6689999999999</v>
      </c>
      <c r="R428" s="389">
        <f t="shared" si="221"/>
        <v>1424.6689999999999</v>
      </c>
      <c r="S428" s="389">
        <f t="shared" si="221"/>
        <v>1424.6689999999999</v>
      </c>
      <c r="T428" s="389">
        <f t="shared" si="221"/>
        <v>1424.6689999999999</v>
      </c>
      <c r="U428" s="389">
        <f t="shared" si="221"/>
        <v>1424.6689999999999</v>
      </c>
      <c r="V428" s="389">
        <f t="shared" si="221"/>
        <v>1424.6689999999999</v>
      </c>
      <c r="W428" s="389">
        <f>SUM($D428*$J428)/100</f>
        <v>2849.3379999999997</v>
      </c>
      <c r="X428" s="389">
        <v>2849.34</v>
      </c>
      <c r="Y428" s="389">
        <v>2849.34</v>
      </c>
      <c r="Z428" s="389">
        <v>2849.31</v>
      </c>
      <c r="AA428" s="389">
        <v>-712.31</v>
      </c>
      <c r="AB428" s="389">
        <v>0</v>
      </c>
      <c r="AC428" s="389">
        <v>0</v>
      </c>
      <c r="AD428" s="389">
        <v>0</v>
      </c>
      <c r="AE428" s="389">
        <v>0</v>
      </c>
      <c r="AF428" s="389">
        <v>0</v>
      </c>
      <c r="AG428" s="389">
        <v>0</v>
      </c>
      <c r="AH428" s="389">
        <v>0</v>
      </c>
      <c r="AI428" s="389">
        <v>0</v>
      </c>
      <c r="AJ428" s="389">
        <v>0</v>
      </c>
      <c r="AK428" s="389">
        <v>0</v>
      </c>
    </row>
    <row r="429" spans="1:37" s="377" customFormat="1">
      <c r="B429" s="377" t="s">
        <v>739</v>
      </c>
      <c r="C429" s="386">
        <f>DATE(90,8,1)</f>
        <v>33086</v>
      </c>
      <c r="D429" s="387">
        <v>1050</v>
      </c>
      <c r="E429" s="387"/>
      <c r="F429" s="377">
        <f t="shared" si="219"/>
        <v>1050</v>
      </c>
      <c r="G429" s="387"/>
      <c r="H429" s="377">
        <f t="shared" si="220"/>
        <v>1050</v>
      </c>
      <c r="I429" s="388">
        <v>5</v>
      </c>
      <c r="J429" s="388"/>
      <c r="K429" s="389">
        <v>0</v>
      </c>
      <c r="L429" s="389">
        <v>0</v>
      </c>
      <c r="M429" s="389">
        <f>SUM($D429*$I429)/100/2</f>
        <v>26.25</v>
      </c>
      <c r="N429" s="389">
        <f t="shared" ref="N429:W429" si="222">SUM($D429*$I429)/100</f>
        <v>52.5</v>
      </c>
      <c r="O429" s="389">
        <f t="shared" si="222"/>
        <v>52.5</v>
      </c>
      <c r="P429" s="389">
        <f t="shared" si="222"/>
        <v>52.5</v>
      </c>
      <c r="Q429" s="389">
        <f t="shared" si="222"/>
        <v>52.5</v>
      </c>
      <c r="R429" s="389">
        <f t="shared" si="222"/>
        <v>52.5</v>
      </c>
      <c r="S429" s="389">
        <f t="shared" si="222"/>
        <v>52.5</v>
      </c>
      <c r="T429" s="389">
        <f t="shared" si="222"/>
        <v>52.5</v>
      </c>
      <c r="U429" s="389">
        <f t="shared" si="222"/>
        <v>52.5</v>
      </c>
      <c r="V429" s="389">
        <f t="shared" si="222"/>
        <v>52.5</v>
      </c>
      <c r="W429" s="389">
        <f t="shared" si="222"/>
        <v>52.5</v>
      </c>
      <c r="X429" s="389">
        <v>52.5</v>
      </c>
      <c r="Y429" s="389">
        <v>52.5</v>
      </c>
      <c r="Z429" s="389">
        <f t="shared" ref="Z429:AF431" si="223">SUM($D429*$I429)/100</f>
        <v>52.5</v>
      </c>
      <c r="AA429" s="389">
        <f t="shared" si="223"/>
        <v>52.5</v>
      </c>
      <c r="AB429" s="389">
        <f t="shared" si="223"/>
        <v>52.5</v>
      </c>
      <c r="AC429" s="389">
        <f t="shared" si="223"/>
        <v>52.5</v>
      </c>
      <c r="AD429" s="389">
        <f t="shared" si="223"/>
        <v>52.5</v>
      </c>
      <c r="AE429" s="389">
        <f t="shared" si="223"/>
        <v>52.5</v>
      </c>
      <c r="AF429" s="389">
        <f t="shared" si="223"/>
        <v>52.5</v>
      </c>
      <c r="AG429" s="389">
        <v>26.25</v>
      </c>
      <c r="AH429" s="389">
        <v>0</v>
      </c>
      <c r="AI429" s="389">
        <v>0</v>
      </c>
      <c r="AJ429" s="389">
        <v>0</v>
      </c>
      <c r="AK429" s="389">
        <v>0</v>
      </c>
    </row>
    <row r="430" spans="1:37" s="377" customFormat="1">
      <c r="B430" s="377" t="s">
        <v>738</v>
      </c>
      <c r="C430" s="386">
        <f>DATE(95,12,1)</f>
        <v>35034</v>
      </c>
      <c r="D430" s="387">
        <v>15706</v>
      </c>
      <c r="E430" s="387"/>
      <c r="F430" s="377">
        <f t="shared" si="219"/>
        <v>14135.399999999996</v>
      </c>
      <c r="G430" s="387"/>
      <c r="H430" s="377">
        <f t="shared" si="220"/>
        <v>14135.399999999996</v>
      </c>
      <c r="I430" s="388">
        <v>5</v>
      </c>
      <c r="J430" s="388"/>
      <c r="K430" s="389"/>
      <c r="L430" s="389"/>
      <c r="M430" s="389"/>
      <c r="N430" s="389"/>
      <c r="O430" s="389"/>
      <c r="P430" s="389"/>
      <c r="Q430" s="389"/>
      <c r="R430" s="389">
        <f t="shared" ref="R430:W430" si="224">SUM($D430*$I430)/100</f>
        <v>785.3</v>
      </c>
      <c r="S430" s="389">
        <f t="shared" si="224"/>
        <v>785.3</v>
      </c>
      <c r="T430" s="389">
        <f t="shared" si="224"/>
        <v>785.3</v>
      </c>
      <c r="U430" s="389">
        <f t="shared" si="224"/>
        <v>785.3</v>
      </c>
      <c r="V430" s="389">
        <f t="shared" si="224"/>
        <v>785.3</v>
      </c>
      <c r="W430" s="389">
        <f t="shared" si="224"/>
        <v>785.3</v>
      </c>
      <c r="X430" s="389">
        <v>785.3</v>
      </c>
      <c r="Y430" s="389">
        <v>785.3</v>
      </c>
      <c r="Z430" s="389">
        <f t="shared" si="223"/>
        <v>785.3</v>
      </c>
      <c r="AA430" s="389">
        <f t="shared" si="223"/>
        <v>785.3</v>
      </c>
      <c r="AB430" s="389">
        <f t="shared" si="223"/>
        <v>785.3</v>
      </c>
      <c r="AC430" s="389">
        <f t="shared" si="223"/>
        <v>785.3</v>
      </c>
      <c r="AD430" s="389">
        <f t="shared" si="223"/>
        <v>785.3</v>
      </c>
      <c r="AE430" s="389">
        <f t="shared" si="223"/>
        <v>785.3</v>
      </c>
      <c r="AF430" s="389">
        <f t="shared" si="223"/>
        <v>785.3</v>
      </c>
      <c r="AG430" s="389">
        <f t="shared" ref="AG430:AK431" si="225">SUM($D430*$I430)/100</f>
        <v>785.3</v>
      </c>
      <c r="AH430" s="389">
        <f t="shared" si="225"/>
        <v>785.3</v>
      </c>
      <c r="AI430" s="389">
        <f t="shared" si="225"/>
        <v>785.3</v>
      </c>
      <c r="AJ430" s="389">
        <f t="shared" si="225"/>
        <v>785.3</v>
      </c>
      <c r="AK430" s="389">
        <f t="shared" si="225"/>
        <v>785.3</v>
      </c>
    </row>
    <row r="431" spans="1:37" s="377" customFormat="1">
      <c r="B431" s="377" t="s">
        <v>737</v>
      </c>
      <c r="C431" s="386">
        <f>DATE(96,1,1)</f>
        <v>35065</v>
      </c>
      <c r="D431" s="387">
        <v>7950</v>
      </c>
      <c r="E431" s="387"/>
      <c r="F431" s="377">
        <f t="shared" si="219"/>
        <v>6757.5</v>
      </c>
      <c r="G431" s="387"/>
      <c r="H431" s="377">
        <f t="shared" si="220"/>
        <v>6757.5</v>
      </c>
      <c r="I431" s="388">
        <v>5</v>
      </c>
      <c r="J431" s="388"/>
      <c r="K431" s="389"/>
      <c r="L431" s="389"/>
      <c r="M431" s="389"/>
      <c r="N431" s="389"/>
      <c r="O431" s="389"/>
      <c r="P431" s="389"/>
      <c r="Q431" s="389"/>
      <c r="R431" s="389">
        <v>0</v>
      </c>
      <c r="S431" s="389">
        <f>SUM($D431*$I431)/100</f>
        <v>397.5</v>
      </c>
      <c r="T431" s="389">
        <f>SUM($D431*$I431)/100</f>
        <v>397.5</v>
      </c>
      <c r="U431" s="389">
        <f>SUM($D431*$I431)/100</f>
        <v>397.5</v>
      </c>
      <c r="V431" s="389">
        <f>SUM($D431*$I431)/100</f>
        <v>397.5</v>
      </c>
      <c r="W431" s="389">
        <f>SUM($D431*$I431)/100</f>
        <v>397.5</v>
      </c>
      <c r="X431" s="389">
        <v>397.5</v>
      </c>
      <c r="Y431" s="389">
        <v>397.5</v>
      </c>
      <c r="Z431" s="389">
        <f t="shared" si="223"/>
        <v>397.5</v>
      </c>
      <c r="AA431" s="389">
        <f t="shared" si="223"/>
        <v>397.5</v>
      </c>
      <c r="AB431" s="389">
        <f t="shared" si="223"/>
        <v>397.5</v>
      </c>
      <c r="AC431" s="389">
        <f t="shared" si="223"/>
        <v>397.5</v>
      </c>
      <c r="AD431" s="389">
        <f t="shared" si="223"/>
        <v>397.5</v>
      </c>
      <c r="AE431" s="389">
        <f t="shared" si="223"/>
        <v>397.5</v>
      </c>
      <c r="AF431" s="389">
        <f t="shared" si="223"/>
        <v>397.5</v>
      </c>
      <c r="AG431" s="389">
        <f t="shared" si="225"/>
        <v>397.5</v>
      </c>
      <c r="AH431" s="389">
        <f t="shared" si="225"/>
        <v>397.5</v>
      </c>
      <c r="AI431" s="389">
        <f t="shared" si="225"/>
        <v>397.5</v>
      </c>
      <c r="AJ431" s="389">
        <f t="shared" si="225"/>
        <v>397.5</v>
      </c>
      <c r="AK431" s="389">
        <f t="shared" si="225"/>
        <v>397.5</v>
      </c>
    </row>
    <row r="432" spans="1:37" s="377" customFormat="1">
      <c r="B432" s="377" t="s">
        <v>736</v>
      </c>
      <c r="C432" s="386">
        <f>DATE(97,1,1)</f>
        <v>35431</v>
      </c>
      <c r="D432" s="377">
        <v>13967.45</v>
      </c>
      <c r="F432" s="377">
        <f t="shared" si="219"/>
        <v>13967.444999999996</v>
      </c>
      <c r="H432" s="377">
        <f t="shared" si="220"/>
        <v>13967.444999999996</v>
      </c>
      <c r="I432" s="388">
        <v>10</v>
      </c>
      <c r="J432" s="388"/>
      <c r="L432" s="389"/>
      <c r="M432" s="389"/>
      <c r="N432" s="389"/>
      <c r="O432" s="389"/>
      <c r="P432" s="389"/>
      <c r="Q432" s="389"/>
      <c r="R432" s="389"/>
      <c r="S432" s="389"/>
      <c r="T432" s="389">
        <f>SUM($D432*$I432)/100</f>
        <v>1396.7449999999999</v>
      </c>
      <c r="U432" s="389">
        <f>SUM($D432*$I432)/100</f>
        <v>1396.7449999999999</v>
      </c>
      <c r="V432" s="389">
        <f>SUM($D432*$I432)/100</f>
        <v>1396.7449999999999</v>
      </c>
      <c r="W432" s="389">
        <f>SUM($D432*$I432)/100</f>
        <v>1396.7449999999999</v>
      </c>
      <c r="X432" s="389">
        <v>1396.75</v>
      </c>
      <c r="Y432" s="389">
        <v>1396.75</v>
      </c>
      <c r="Z432" s="389">
        <f t="shared" ref="Z432:AB436" si="226">SUM($D432*$I432)/100</f>
        <v>1396.7449999999999</v>
      </c>
      <c r="AA432" s="389">
        <f t="shared" si="226"/>
        <v>1396.7449999999999</v>
      </c>
      <c r="AB432" s="389">
        <f t="shared" si="226"/>
        <v>1396.7449999999999</v>
      </c>
      <c r="AC432" s="389">
        <v>1396.73</v>
      </c>
      <c r="AD432" s="389">
        <v>0</v>
      </c>
      <c r="AE432" s="389">
        <v>0</v>
      </c>
      <c r="AF432" s="389">
        <v>0</v>
      </c>
      <c r="AG432" s="389">
        <v>0</v>
      </c>
      <c r="AH432" s="389">
        <v>0</v>
      </c>
      <c r="AI432" s="389">
        <v>0</v>
      </c>
      <c r="AJ432" s="389">
        <v>0</v>
      </c>
      <c r="AK432" s="389">
        <v>0</v>
      </c>
    </row>
    <row r="433" spans="1:37" s="377" customFormat="1">
      <c r="B433" s="377" t="s">
        <v>735</v>
      </c>
      <c r="C433" s="386">
        <f>DATE(98,5,1)</f>
        <v>35916</v>
      </c>
      <c r="D433" s="377">
        <v>5280.56</v>
      </c>
      <c r="F433" s="377">
        <f t="shared" si="219"/>
        <v>5280.5620000000008</v>
      </c>
      <c r="H433" s="377">
        <f t="shared" si="220"/>
        <v>5280.5620000000008</v>
      </c>
      <c r="I433" s="388">
        <v>10</v>
      </c>
      <c r="J433" s="388"/>
      <c r="L433" s="389"/>
      <c r="M433" s="389"/>
      <c r="N433" s="389"/>
      <c r="O433" s="389"/>
      <c r="P433" s="389"/>
      <c r="Q433" s="389"/>
      <c r="R433" s="389"/>
      <c r="S433" s="389"/>
      <c r="T433" s="389">
        <v>0</v>
      </c>
      <c r="U433" s="389">
        <v>264.02999999999997</v>
      </c>
      <c r="V433" s="389">
        <v>-264.02999999999997</v>
      </c>
      <c r="W433" s="389">
        <f>SUM($D433*$I433)/100</f>
        <v>528.05600000000004</v>
      </c>
      <c r="X433" s="389">
        <v>528.05999999999995</v>
      </c>
      <c r="Y433" s="389">
        <v>528.05999999999995</v>
      </c>
      <c r="Z433" s="389">
        <f t="shared" si="226"/>
        <v>528.05600000000004</v>
      </c>
      <c r="AA433" s="389">
        <f t="shared" si="226"/>
        <v>528.05600000000004</v>
      </c>
      <c r="AB433" s="389">
        <f t="shared" si="226"/>
        <v>528.05600000000004</v>
      </c>
      <c r="AC433" s="389">
        <f t="shared" ref="AC433:AE436" si="227">SUM($D433*$I433)/100</f>
        <v>528.05600000000004</v>
      </c>
      <c r="AD433" s="389">
        <f t="shared" si="227"/>
        <v>528.05600000000004</v>
      </c>
      <c r="AE433" s="389">
        <f t="shared" si="227"/>
        <v>528.05600000000004</v>
      </c>
      <c r="AF433" s="389">
        <v>528.04999999999995</v>
      </c>
      <c r="AG433" s="389">
        <v>0</v>
      </c>
      <c r="AH433" s="389">
        <v>0</v>
      </c>
      <c r="AI433" s="389">
        <v>0</v>
      </c>
      <c r="AJ433" s="389">
        <v>0</v>
      </c>
      <c r="AK433" s="389">
        <v>0</v>
      </c>
    </row>
    <row r="434" spans="1:37" s="377" customFormat="1">
      <c r="B434" s="377" t="s">
        <v>734</v>
      </c>
      <c r="C434" s="386">
        <f>DATE(1999,4,1)</f>
        <v>36251</v>
      </c>
      <c r="D434" s="377">
        <v>3278.06</v>
      </c>
      <c r="F434" s="377">
        <f t="shared" si="219"/>
        <v>3278.0620000000004</v>
      </c>
      <c r="H434" s="377">
        <f t="shared" si="220"/>
        <v>3278.0620000000004</v>
      </c>
      <c r="I434" s="388">
        <v>10</v>
      </c>
      <c r="J434" s="388"/>
      <c r="L434" s="389"/>
      <c r="M434" s="389"/>
      <c r="N434" s="389"/>
      <c r="O434" s="389"/>
      <c r="P434" s="389"/>
      <c r="Q434" s="389"/>
      <c r="R434" s="389"/>
      <c r="S434" s="389"/>
      <c r="T434" s="389">
        <v>0</v>
      </c>
      <c r="U434" s="389">
        <v>0</v>
      </c>
      <c r="V434" s="389">
        <v>0</v>
      </c>
      <c r="W434" s="389">
        <f>SUM($D434*$I434)/100</f>
        <v>327.80599999999998</v>
      </c>
      <c r="X434" s="389">
        <v>327.81</v>
      </c>
      <c r="Y434" s="389">
        <v>327.81</v>
      </c>
      <c r="Z434" s="389">
        <f t="shared" si="226"/>
        <v>327.80599999999998</v>
      </c>
      <c r="AA434" s="389">
        <f t="shared" si="226"/>
        <v>327.80599999999998</v>
      </c>
      <c r="AB434" s="389">
        <f t="shared" si="226"/>
        <v>327.80599999999998</v>
      </c>
      <c r="AC434" s="389">
        <f t="shared" si="227"/>
        <v>327.80599999999998</v>
      </c>
      <c r="AD434" s="389">
        <f t="shared" si="227"/>
        <v>327.80599999999998</v>
      </c>
      <c r="AE434" s="389">
        <f t="shared" si="227"/>
        <v>327.80599999999998</v>
      </c>
      <c r="AF434" s="389">
        <v>327.8</v>
      </c>
      <c r="AG434" s="389">
        <v>0</v>
      </c>
      <c r="AH434" s="389">
        <v>0</v>
      </c>
      <c r="AI434" s="389">
        <v>0</v>
      </c>
      <c r="AJ434" s="389">
        <v>0</v>
      </c>
      <c r="AK434" s="389">
        <v>0</v>
      </c>
    </row>
    <row r="435" spans="1:37" s="377" customFormat="1">
      <c r="B435" s="377" t="s">
        <v>733</v>
      </c>
      <c r="C435" s="386">
        <f>DATE(1999,7,1)</f>
        <v>36342</v>
      </c>
      <c r="D435" s="377">
        <v>1846.95</v>
      </c>
      <c r="F435" s="377">
        <f t="shared" si="219"/>
        <v>1846.9449999999997</v>
      </c>
      <c r="H435" s="377">
        <f t="shared" si="220"/>
        <v>1846.9449999999997</v>
      </c>
      <c r="I435" s="388">
        <v>10</v>
      </c>
      <c r="J435" s="388"/>
      <c r="L435" s="389"/>
      <c r="M435" s="389"/>
      <c r="N435" s="389"/>
      <c r="O435" s="389"/>
      <c r="P435" s="389"/>
      <c r="Q435" s="389"/>
      <c r="R435" s="389"/>
      <c r="S435" s="389"/>
      <c r="T435" s="389">
        <v>0</v>
      </c>
      <c r="U435" s="389">
        <v>0</v>
      </c>
      <c r="V435" s="389">
        <v>0</v>
      </c>
      <c r="W435" s="389">
        <f>SUM($D435*$I435)/100</f>
        <v>184.69499999999999</v>
      </c>
      <c r="X435" s="389">
        <v>184.7</v>
      </c>
      <c r="Y435" s="389">
        <v>184.7</v>
      </c>
      <c r="Z435" s="389">
        <f t="shared" si="226"/>
        <v>184.69499999999999</v>
      </c>
      <c r="AA435" s="389">
        <f t="shared" si="226"/>
        <v>184.69499999999999</v>
      </c>
      <c r="AB435" s="389">
        <f t="shared" si="226"/>
        <v>184.69499999999999</v>
      </c>
      <c r="AC435" s="389">
        <f t="shared" si="227"/>
        <v>184.69499999999999</v>
      </c>
      <c r="AD435" s="389">
        <f t="shared" si="227"/>
        <v>184.69499999999999</v>
      </c>
      <c r="AE435" s="389">
        <f t="shared" si="227"/>
        <v>184.69499999999999</v>
      </c>
      <c r="AF435" s="389">
        <v>184.68</v>
      </c>
      <c r="AG435" s="389">
        <v>0</v>
      </c>
      <c r="AH435" s="389">
        <v>0</v>
      </c>
      <c r="AI435" s="389">
        <v>0</v>
      </c>
      <c r="AJ435" s="389">
        <v>0</v>
      </c>
      <c r="AK435" s="389">
        <v>0</v>
      </c>
    </row>
    <row r="436" spans="1:37" s="377" customFormat="1">
      <c r="B436" s="377" t="s">
        <v>732</v>
      </c>
      <c r="C436" s="386">
        <f>DATE(1999,9,1)</f>
        <v>36404</v>
      </c>
      <c r="D436" s="377">
        <v>22292.83</v>
      </c>
      <c r="F436" s="377">
        <f t="shared" si="219"/>
        <v>22292.830999999998</v>
      </c>
      <c r="H436" s="377">
        <f t="shared" si="220"/>
        <v>22292.830999999998</v>
      </c>
      <c r="I436" s="388">
        <v>10</v>
      </c>
      <c r="J436" s="388"/>
      <c r="L436" s="389"/>
      <c r="M436" s="389"/>
      <c r="N436" s="389"/>
      <c r="O436" s="389"/>
      <c r="P436" s="389"/>
      <c r="Q436" s="389"/>
      <c r="R436" s="389"/>
      <c r="S436" s="389"/>
      <c r="T436" s="389">
        <v>0</v>
      </c>
      <c r="U436" s="389">
        <v>0</v>
      </c>
      <c r="V436" s="389">
        <v>0</v>
      </c>
      <c r="W436" s="389">
        <f>SUM($D436*$I436)/100</f>
        <v>2229.2830000000004</v>
      </c>
      <c r="X436" s="389">
        <v>2229.2800000000002</v>
      </c>
      <c r="Y436" s="389">
        <v>2229.2800000000002</v>
      </c>
      <c r="Z436" s="389">
        <f t="shared" si="226"/>
        <v>2229.2830000000004</v>
      </c>
      <c r="AA436" s="389">
        <f t="shared" si="226"/>
        <v>2229.2830000000004</v>
      </c>
      <c r="AB436" s="389">
        <f t="shared" si="226"/>
        <v>2229.2830000000004</v>
      </c>
      <c r="AC436" s="389">
        <f t="shared" si="227"/>
        <v>2229.2830000000004</v>
      </c>
      <c r="AD436" s="389">
        <f t="shared" si="227"/>
        <v>2229.2830000000004</v>
      </c>
      <c r="AE436" s="389">
        <f t="shared" si="227"/>
        <v>2229.2830000000004</v>
      </c>
      <c r="AF436" s="389">
        <v>2229.29</v>
      </c>
      <c r="AG436" s="389">
        <v>0</v>
      </c>
      <c r="AH436" s="389">
        <v>0</v>
      </c>
      <c r="AI436" s="389">
        <v>0</v>
      </c>
      <c r="AJ436" s="389">
        <v>0</v>
      </c>
      <c r="AK436" s="389">
        <v>0</v>
      </c>
    </row>
    <row r="437" spans="1:37" s="377" customFormat="1">
      <c r="B437" s="377" t="s">
        <v>731</v>
      </c>
      <c r="C437" s="386">
        <f>DATE(2001,7,1)</f>
        <v>37073</v>
      </c>
      <c r="D437" s="387">
        <v>4000</v>
      </c>
      <c r="E437" s="387"/>
      <c r="F437" s="387">
        <f>H437</f>
        <v>4000</v>
      </c>
      <c r="H437" s="377">
        <f t="shared" si="220"/>
        <v>4000</v>
      </c>
      <c r="I437" s="388"/>
      <c r="J437" s="404">
        <v>10</v>
      </c>
      <c r="L437" s="389"/>
      <c r="M437" s="389"/>
      <c r="N437" s="389"/>
      <c r="O437" s="389"/>
      <c r="P437" s="389"/>
      <c r="Q437" s="389"/>
      <c r="R437" s="389"/>
      <c r="S437" s="389"/>
      <c r="T437" s="389"/>
      <c r="U437" s="389"/>
      <c r="V437" s="389">
        <v>0</v>
      </c>
      <c r="W437" s="389">
        <v>0</v>
      </c>
      <c r="X437" s="389">
        <v>400</v>
      </c>
      <c r="Y437" s="389">
        <v>400</v>
      </c>
      <c r="Z437" s="389">
        <f t="shared" ref="Z437:AG438" si="228">SUM($D437*$J437)/100</f>
        <v>400</v>
      </c>
      <c r="AA437" s="389">
        <f t="shared" si="228"/>
        <v>400</v>
      </c>
      <c r="AB437" s="389">
        <f t="shared" si="228"/>
        <v>400</v>
      </c>
      <c r="AC437" s="389">
        <f t="shared" si="228"/>
        <v>400</v>
      </c>
      <c r="AD437" s="389">
        <f t="shared" si="228"/>
        <v>400</v>
      </c>
      <c r="AE437" s="389">
        <f t="shared" si="228"/>
        <v>400</v>
      </c>
      <c r="AF437" s="389">
        <f t="shared" si="228"/>
        <v>400</v>
      </c>
      <c r="AG437" s="389">
        <f t="shared" si="228"/>
        <v>400</v>
      </c>
      <c r="AH437" s="389">
        <v>0</v>
      </c>
      <c r="AI437" s="389">
        <v>0</v>
      </c>
      <c r="AJ437" s="389">
        <v>0</v>
      </c>
      <c r="AK437" s="389">
        <v>0</v>
      </c>
    </row>
    <row r="438" spans="1:37" s="377" customFormat="1">
      <c r="B438" s="377" t="s">
        <v>730</v>
      </c>
      <c r="C438" s="386">
        <f>DATE(2003,1,1)</f>
        <v>37622</v>
      </c>
      <c r="D438" s="387">
        <v>0</v>
      </c>
      <c r="E438" s="387"/>
      <c r="F438" s="387">
        <f>H438</f>
        <v>0</v>
      </c>
      <c r="H438" s="377">
        <f t="shared" si="220"/>
        <v>0</v>
      </c>
      <c r="I438" s="388">
        <v>2</v>
      </c>
      <c r="J438" s="404">
        <v>5</v>
      </c>
      <c r="L438" s="389">
        <v>0</v>
      </c>
      <c r="M438" s="389">
        <v>0</v>
      </c>
      <c r="N438" s="389">
        <v>0</v>
      </c>
      <c r="O438" s="389">
        <v>0</v>
      </c>
      <c r="P438" s="389">
        <v>0</v>
      </c>
      <c r="Q438" s="389">
        <v>0</v>
      </c>
      <c r="R438" s="389">
        <v>0</v>
      </c>
      <c r="S438" s="389">
        <v>0</v>
      </c>
      <c r="T438" s="389">
        <v>0</v>
      </c>
      <c r="U438" s="389">
        <v>0</v>
      </c>
      <c r="V438" s="389">
        <v>0</v>
      </c>
      <c r="W438" s="389">
        <v>0</v>
      </c>
      <c r="X438" s="389">
        <v>0</v>
      </c>
      <c r="Y438" s="389">
        <f>SUM($D438*$J438)/100</f>
        <v>0</v>
      </c>
      <c r="Z438" s="389">
        <f t="shared" si="228"/>
        <v>0</v>
      </c>
      <c r="AA438" s="389">
        <f t="shared" si="228"/>
        <v>0</v>
      </c>
      <c r="AB438" s="389">
        <f t="shared" si="228"/>
        <v>0</v>
      </c>
      <c r="AC438" s="389">
        <f t="shared" si="228"/>
        <v>0</v>
      </c>
      <c r="AD438" s="389">
        <f t="shared" si="228"/>
        <v>0</v>
      </c>
      <c r="AE438" s="389">
        <f t="shared" si="228"/>
        <v>0</v>
      </c>
      <c r="AF438" s="389">
        <f t="shared" si="228"/>
        <v>0</v>
      </c>
      <c r="AG438" s="389">
        <f t="shared" si="228"/>
        <v>0</v>
      </c>
      <c r="AH438" s="389">
        <f>SUM($D438*$J438)/100</f>
        <v>0</v>
      </c>
      <c r="AI438" s="389">
        <f>SUM($D438*$J438)/100</f>
        <v>0</v>
      </c>
      <c r="AJ438" s="389">
        <f>SUM($D438*$J438)/100</f>
        <v>0</v>
      </c>
      <c r="AK438" s="389">
        <f>SUM($D438*$J438)/100</f>
        <v>0</v>
      </c>
    </row>
    <row r="439" spans="1:37" s="377" customFormat="1">
      <c r="B439" s="377" t="s">
        <v>729</v>
      </c>
      <c r="C439" s="378">
        <f>DATE(94,1,1)</f>
        <v>34335</v>
      </c>
      <c r="D439" s="379">
        <v>18000</v>
      </c>
      <c r="E439" s="379"/>
      <c r="F439" s="379">
        <f>G439+H439</f>
        <v>18000</v>
      </c>
      <c r="G439" s="379"/>
      <c r="H439" s="377">
        <f t="shared" si="220"/>
        <v>18000</v>
      </c>
      <c r="I439" s="381">
        <v>20</v>
      </c>
      <c r="J439" s="379"/>
      <c r="K439" s="379"/>
      <c r="L439" s="379"/>
      <c r="M439" s="379"/>
      <c r="N439" s="379"/>
      <c r="O439" s="379"/>
      <c r="P439" s="379"/>
      <c r="Q439" s="382">
        <f>SUM($D439*$I439)/100</f>
        <v>3600</v>
      </c>
      <c r="R439" s="382">
        <f>SUM($D439*$I439)/100</f>
        <v>3600</v>
      </c>
      <c r="S439" s="382">
        <f>SUM($D439*$I439)/100</f>
        <v>3600</v>
      </c>
      <c r="T439" s="382">
        <f>SUM($D439*$I439)/100</f>
        <v>3600</v>
      </c>
      <c r="U439" s="382">
        <f>SUM($D439*$I439)/100</f>
        <v>3600</v>
      </c>
      <c r="V439" s="382">
        <v>0</v>
      </c>
      <c r="W439" s="382">
        <v>0</v>
      </c>
      <c r="X439" s="382">
        <v>0</v>
      </c>
      <c r="Y439" s="382">
        <v>0</v>
      </c>
      <c r="Z439" s="382">
        <v>0</v>
      </c>
      <c r="AA439" s="382">
        <v>0</v>
      </c>
      <c r="AB439" s="382">
        <v>0</v>
      </c>
      <c r="AC439" s="382">
        <v>0</v>
      </c>
      <c r="AD439" s="382">
        <v>0</v>
      </c>
      <c r="AE439" s="382">
        <v>0</v>
      </c>
      <c r="AF439" s="382">
        <v>0</v>
      </c>
      <c r="AG439" s="382">
        <v>0</v>
      </c>
      <c r="AH439" s="382">
        <v>0</v>
      </c>
      <c r="AI439" s="382">
        <v>0</v>
      </c>
      <c r="AJ439" s="382">
        <v>0</v>
      </c>
      <c r="AK439" s="382">
        <v>0</v>
      </c>
    </row>
    <row r="440" spans="1:37" s="377" customFormat="1">
      <c r="C440" s="418"/>
      <c r="D440" s="418">
        <f>SUM(D428:D439)</f>
        <v>121865.23</v>
      </c>
      <c r="E440" s="419">
        <f>F440+AJ440</f>
        <v>120284.92100000002</v>
      </c>
      <c r="F440" s="418">
        <f>SUM(F428:F439)</f>
        <v>119102.12100000001</v>
      </c>
      <c r="G440" s="418">
        <f>SUM(G428:G439)</f>
        <v>712.33</v>
      </c>
      <c r="H440" s="377">
        <f t="shared" si="220"/>
        <v>118389.79099999998</v>
      </c>
      <c r="I440" s="420"/>
      <c r="J440" s="420"/>
      <c r="K440" s="418">
        <f t="shared" ref="K440:AK440" si="229">SUM(K428:K439)</f>
        <v>1424.6689999999999</v>
      </c>
      <c r="L440" s="418">
        <f t="shared" si="229"/>
        <v>1424.6689999999999</v>
      </c>
      <c r="M440" s="418">
        <f t="shared" si="229"/>
        <v>1450.9189999999999</v>
      </c>
      <c r="N440" s="418">
        <f t="shared" si="229"/>
        <v>1477.1689999999999</v>
      </c>
      <c r="O440" s="418">
        <f t="shared" si="229"/>
        <v>1477.1689999999999</v>
      </c>
      <c r="P440" s="418">
        <f t="shared" si="229"/>
        <v>1477.1689999999999</v>
      </c>
      <c r="Q440" s="418">
        <f t="shared" si="229"/>
        <v>5077.1689999999999</v>
      </c>
      <c r="R440" s="418">
        <f t="shared" si="229"/>
        <v>5862.4690000000001</v>
      </c>
      <c r="S440" s="418">
        <f t="shared" si="229"/>
        <v>6259.9690000000001</v>
      </c>
      <c r="T440" s="418">
        <f t="shared" si="229"/>
        <v>7656.7139999999999</v>
      </c>
      <c r="U440" s="418">
        <f t="shared" si="229"/>
        <v>7920.7439999999997</v>
      </c>
      <c r="V440" s="418">
        <f t="shared" si="229"/>
        <v>3792.6840000000002</v>
      </c>
      <c r="W440" s="418">
        <f t="shared" si="229"/>
        <v>8751.223</v>
      </c>
      <c r="X440" s="418">
        <f t="shared" si="229"/>
        <v>9151.2400000000016</v>
      </c>
      <c r="Y440" s="418">
        <f t="shared" si="229"/>
        <v>9151.2400000000016</v>
      </c>
      <c r="Z440" s="418">
        <f t="shared" si="229"/>
        <v>9151.1949999999997</v>
      </c>
      <c r="AA440" s="418">
        <f t="shared" si="229"/>
        <v>5589.5750000000007</v>
      </c>
      <c r="AB440" s="418">
        <f t="shared" si="229"/>
        <v>6301.8850000000002</v>
      </c>
      <c r="AC440" s="418">
        <f t="shared" si="229"/>
        <v>6301.8700000000008</v>
      </c>
      <c r="AD440" s="418">
        <f t="shared" si="229"/>
        <v>4905.1400000000003</v>
      </c>
      <c r="AE440" s="418">
        <f t="shared" si="229"/>
        <v>4905.1400000000003</v>
      </c>
      <c r="AF440" s="418">
        <f t="shared" si="229"/>
        <v>4905.12</v>
      </c>
      <c r="AG440" s="418">
        <f t="shared" si="229"/>
        <v>1609.05</v>
      </c>
      <c r="AH440" s="418">
        <f t="shared" si="229"/>
        <v>1182.8</v>
      </c>
      <c r="AI440" s="418">
        <f t="shared" si="229"/>
        <v>1182.8</v>
      </c>
      <c r="AJ440" s="418">
        <f t="shared" si="229"/>
        <v>1182.8</v>
      </c>
      <c r="AK440" s="418">
        <f t="shared" si="229"/>
        <v>1182.8</v>
      </c>
    </row>
    <row r="441" spans="1:37" s="377" customFormat="1">
      <c r="B441" s="403" t="s">
        <v>728</v>
      </c>
      <c r="E441" s="387">
        <f>F441+AJ441</f>
        <v>2651187.3539999998</v>
      </c>
      <c r="F441" s="377">
        <f>F425+F440</f>
        <v>2479998.6344999997</v>
      </c>
      <c r="H441" s="377">
        <f t="shared" si="220"/>
        <v>1802354.8744999995</v>
      </c>
      <c r="I441" s="388"/>
      <c r="J441" s="388"/>
      <c r="K441" s="377">
        <f t="shared" ref="K441:AK441" si="230">K425+K440</f>
        <v>4060.0596</v>
      </c>
      <c r="L441" s="377">
        <f t="shared" si="230"/>
        <v>4060.0596</v>
      </c>
      <c r="M441" s="377">
        <f t="shared" si="230"/>
        <v>4291.8461000000007</v>
      </c>
      <c r="N441" s="377">
        <f t="shared" si="230"/>
        <v>4523.6325999999999</v>
      </c>
      <c r="O441" s="377">
        <f t="shared" si="230"/>
        <v>4523.6325999999999</v>
      </c>
      <c r="P441" s="377">
        <f t="shared" si="230"/>
        <v>4523.6325999999999</v>
      </c>
      <c r="Q441" s="377">
        <f t="shared" si="230"/>
        <v>8123.6325999999999</v>
      </c>
      <c r="R441" s="377">
        <f t="shared" si="230"/>
        <v>8908.9326000000001</v>
      </c>
      <c r="S441" s="377">
        <f t="shared" si="230"/>
        <v>9306.4326000000001</v>
      </c>
      <c r="T441" s="377">
        <f t="shared" si="230"/>
        <v>10703.177599999999</v>
      </c>
      <c r="U441" s="377">
        <f t="shared" si="230"/>
        <v>10820.046999999995</v>
      </c>
      <c r="V441" s="377">
        <f t="shared" si="230"/>
        <v>8679.997999999996</v>
      </c>
      <c r="W441" s="377">
        <f t="shared" si="230"/>
        <v>13433.003999999997</v>
      </c>
      <c r="X441" s="377">
        <f t="shared" si="230"/>
        <v>13363.449999999997</v>
      </c>
      <c r="Y441" s="377">
        <f t="shared" si="230"/>
        <v>88142.87999999999</v>
      </c>
      <c r="Z441" s="377">
        <f t="shared" si="230"/>
        <v>164525.90549999999</v>
      </c>
      <c r="AA441" s="377">
        <f t="shared" si="230"/>
        <v>163521.36349999998</v>
      </c>
      <c r="AB441" s="377">
        <f t="shared" si="230"/>
        <v>164233.67349999998</v>
      </c>
      <c r="AC441" s="377">
        <f t="shared" si="230"/>
        <v>164233.65849999996</v>
      </c>
      <c r="AD441" s="377">
        <f t="shared" si="230"/>
        <v>162836.92849999998</v>
      </c>
      <c r="AE441" s="377">
        <f t="shared" si="230"/>
        <v>162836.96749999997</v>
      </c>
      <c r="AF441" s="377">
        <f t="shared" si="230"/>
        <v>158360.66749999998</v>
      </c>
      <c r="AG441" s="377">
        <f t="shared" si="230"/>
        <v>155064.59749999997</v>
      </c>
      <c r="AH441" s="377">
        <f t="shared" si="230"/>
        <v>154638.34749999997</v>
      </c>
      <c r="AI441" s="377">
        <f t="shared" si="230"/>
        <v>154638.34749999997</v>
      </c>
      <c r="AJ441" s="377">
        <f t="shared" si="230"/>
        <v>171188.71949999998</v>
      </c>
      <c r="AK441" s="377">
        <f t="shared" si="230"/>
        <v>168631.64149999997</v>
      </c>
    </row>
    <row r="442" spans="1:37" s="377" customFormat="1">
      <c r="I442" s="388"/>
      <c r="J442" s="388"/>
    </row>
    <row r="443" spans="1:37" s="377" customFormat="1">
      <c r="A443" s="390" t="s">
        <v>727</v>
      </c>
      <c r="B443" s="390"/>
      <c r="D443" s="387"/>
      <c r="E443" s="387"/>
      <c r="F443" s="377">
        <v>0</v>
      </c>
      <c r="G443" s="387"/>
      <c r="H443" s="377">
        <f>SUM(K443:AI443)</f>
        <v>264.03000000002794</v>
      </c>
      <c r="I443" s="388"/>
      <c r="J443" s="388"/>
      <c r="K443" s="389">
        <f t="shared" ref="K443:N444" si="231">SUM($D443*$I443)/100</f>
        <v>0</v>
      </c>
      <c r="L443" s="389">
        <f t="shared" si="231"/>
        <v>0</v>
      </c>
      <c r="M443" s="389">
        <f t="shared" si="231"/>
        <v>0</v>
      </c>
      <c r="N443" s="389">
        <f t="shared" si="231"/>
        <v>0</v>
      </c>
      <c r="O443" s="389"/>
      <c r="P443" s="389"/>
      <c r="V443" s="377">
        <f>888439.24-888175.21</f>
        <v>264.03000000002794</v>
      </c>
    </row>
    <row r="444" spans="1:37" s="377" customFormat="1">
      <c r="B444" s="377" t="s">
        <v>684</v>
      </c>
      <c r="C444" s="386">
        <f>DATE(80,1,1)</f>
        <v>29221</v>
      </c>
      <c r="D444" s="387">
        <v>26466</v>
      </c>
      <c r="E444" s="387"/>
      <c r="F444" s="377">
        <f>G444+H444</f>
        <v>0</v>
      </c>
      <c r="G444" s="387"/>
      <c r="H444" s="377">
        <f>SUM(K444:AI444)</f>
        <v>0</v>
      </c>
      <c r="I444" s="388"/>
      <c r="J444" s="388"/>
      <c r="K444" s="389">
        <f t="shared" si="231"/>
        <v>0</v>
      </c>
      <c r="L444" s="389">
        <f t="shared" si="231"/>
        <v>0</v>
      </c>
      <c r="M444" s="389">
        <f t="shared" si="231"/>
        <v>0</v>
      </c>
      <c r="N444" s="389">
        <f t="shared" si="231"/>
        <v>0</v>
      </c>
      <c r="O444" s="389"/>
      <c r="P444" s="389"/>
    </row>
    <row r="445" spans="1:37" s="377" customFormat="1">
      <c r="B445" s="377" t="s">
        <v>726</v>
      </c>
      <c r="C445" s="386">
        <f>DATE(2005,7,1)</f>
        <v>38534</v>
      </c>
      <c r="D445" s="387">
        <v>7676.96</v>
      </c>
      <c r="E445" s="387"/>
      <c r="F445" s="387">
        <f>H445</f>
        <v>3070.7840000000001</v>
      </c>
      <c r="H445" s="377">
        <f>SUM(K445:AI445)</f>
        <v>3070.7840000000001</v>
      </c>
      <c r="I445" s="388">
        <v>2</v>
      </c>
      <c r="J445" s="404">
        <v>5</v>
      </c>
      <c r="L445" s="389">
        <v>0</v>
      </c>
      <c r="M445" s="389">
        <v>0</v>
      </c>
      <c r="N445" s="389">
        <v>0</v>
      </c>
      <c r="O445" s="389">
        <v>0</v>
      </c>
      <c r="P445" s="389">
        <v>0</v>
      </c>
      <c r="Q445" s="389">
        <v>0</v>
      </c>
      <c r="R445" s="389">
        <v>0</v>
      </c>
      <c r="S445" s="389">
        <v>0</v>
      </c>
      <c r="T445" s="389">
        <v>0</v>
      </c>
      <c r="U445" s="389">
        <v>0</v>
      </c>
      <c r="V445" s="389">
        <v>0</v>
      </c>
      <c r="W445" s="389">
        <v>0</v>
      </c>
      <c r="X445" s="389">
        <v>0</v>
      </c>
      <c r="Y445" s="389">
        <v>0</v>
      </c>
      <c r="Z445" s="389">
        <v>0</v>
      </c>
      <c r="AA445" s="389">
        <v>0</v>
      </c>
      <c r="AB445" s="389">
        <f t="shared" ref="AB445:AK445" si="232">SUM($D445*$J445)/100</f>
        <v>383.84800000000001</v>
      </c>
      <c r="AC445" s="389">
        <f t="shared" si="232"/>
        <v>383.84800000000001</v>
      </c>
      <c r="AD445" s="389">
        <f t="shared" si="232"/>
        <v>383.84800000000001</v>
      </c>
      <c r="AE445" s="389">
        <f t="shared" si="232"/>
        <v>383.84800000000001</v>
      </c>
      <c r="AF445" s="389">
        <f t="shared" si="232"/>
        <v>383.84800000000001</v>
      </c>
      <c r="AG445" s="389">
        <f t="shared" si="232"/>
        <v>383.84800000000001</v>
      </c>
      <c r="AH445" s="389">
        <f t="shared" si="232"/>
        <v>383.84800000000001</v>
      </c>
      <c r="AI445" s="389">
        <f t="shared" si="232"/>
        <v>383.84800000000001</v>
      </c>
      <c r="AJ445" s="389">
        <f t="shared" si="232"/>
        <v>383.84800000000001</v>
      </c>
      <c r="AK445" s="389">
        <f t="shared" si="232"/>
        <v>383.84800000000001</v>
      </c>
    </row>
    <row r="446" spans="1:37" s="377" customFormat="1">
      <c r="B446" s="377" t="s">
        <v>674</v>
      </c>
      <c r="C446" s="378">
        <f>DATE(80,1,1)</f>
        <v>29221</v>
      </c>
      <c r="D446" s="380">
        <v>3863.42</v>
      </c>
      <c r="E446" s="380"/>
      <c r="F446" s="379">
        <f>G446+H446</f>
        <v>3863.42</v>
      </c>
      <c r="G446" s="380">
        <v>1448</v>
      </c>
      <c r="H446" s="377">
        <f>SUM(K446:AI446)</f>
        <v>2415.42</v>
      </c>
      <c r="I446" s="381">
        <v>5</v>
      </c>
      <c r="J446" s="381"/>
      <c r="K446" s="382">
        <v>193</v>
      </c>
      <c r="L446" s="382">
        <v>193</v>
      </c>
      <c r="M446" s="382">
        <v>193</v>
      </c>
      <c r="N446" s="382">
        <v>193</v>
      </c>
      <c r="O446" s="382">
        <v>193</v>
      </c>
      <c r="P446" s="382">
        <v>193</v>
      </c>
      <c r="Q446" s="382">
        <v>193</v>
      </c>
      <c r="R446" s="382">
        <v>193</v>
      </c>
      <c r="S446" s="382">
        <v>193</v>
      </c>
      <c r="T446" s="382">
        <v>193</v>
      </c>
      <c r="U446" s="382">
        <v>193</v>
      </c>
      <c r="V446" s="382">
        <v>193</v>
      </c>
      <c r="W446" s="382">
        <v>99.42</v>
      </c>
      <c r="X446" s="382">
        <v>0</v>
      </c>
      <c r="Y446" s="382">
        <v>0</v>
      </c>
      <c r="Z446" s="382">
        <v>0</v>
      </c>
      <c r="AA446" s="382">
        <v>0</v>
      </c>
      <c r="AB446" s="382">
        <v>0</v>
      </c>
      <c r="AC446" s="382">
        <v>0</v>
      </c>
      <c r="AD446" s="382">
        <v>0</v>
      </c>
      <c r="AE446" s="382">
        <v>0</v>
      </c>
      <c r="AF446" s="382">
        <v>0</v>
      </c>
      <c r="AG446" s="382">
        <v>0</v>
      </c>
      <c r="AH446" s="382">
        <v>0</v>
      </c>
      <c r="AI446" s="382">
        <v>0</v>
      </c>
      <c r="AJ446" s="382">
        <v>0</v>
      </c>
      <c r="AK446" s="382">
        <v>0</v>
      </c>
    </row>
    <row r="447" spans="1:37" s="377" customFormat="1">
      <c r="D447" s="377">
        <f>SUM(D443:D446)</f>
        <v>38006.379999999997</v>
      </c>
      <c r="E447" s="387">
        <f>F447+AJ447</f>
        <v>7318.0519999999997</v>
      </c>
      <c r="F447" s="377">
        <f>SUM(F443:F446)</f>
        <v>6934.2039999999997</v>
      </c>
      <c r="G447" s="377">
        <f>SUM(G443:G446)</f>
        <v>1448</v>
      </c>
      <c r="H447" s="377">
        <f>SUM(K447:AI447)</f>
        <v>5750.2340000000277</v>
      </c>
      <c r="I447" s="388"/>
      <c r="J447" s="388"/>
      <c r="K447" s="377">
        <f t="shared" ref="K447:AK447" si="233">SUM(K443:K446)</f>
        <v>193</v>
      </c>
      <c r="L447" s="377">
        <f t="shared" si="233"/>
        <v>193</v>
      </c>
      <c r="M447" s="377">
        <f t="shared" si="233"/>
        <v>193</v>
      </c>
      <c r="N447" s="377">
        <f t="shared" si="233"/>
        <v>193</v>
      </c>
      <c r="O447" s="377">
        <f t="shared" si="233"/>
        <v>193</v>
      </c>
      <c r="P447" s="377">
        <f t="shared" si="233"/>
        <v>193</v>
      </c>
      <c r="Q447" s="377">
        <f t="shared" si="233"/>
        <v>193</v>
      </c>
      <c r="R447" s="377">
        <f t="shared" si="233"/>
        <v>193</v>
      </c>
      <c r="S447" s="377">
        <f t="shared" si="233"/>
        <v>193</v>
      </c>
      <c r="T447" s="377">
        <f t="shared" si="233"/>
        <v>193</v>
      </c>
      <c r="U447" s="377">
        <f t="shared" si="233"/>
        <v>193</v>
      </c>
      <c r="V447" s="377">
        <f t="shared" si="233"/>
        <v>457.03000000002794</v>
      </c>
      <c r="W447" s="377">
        <f t="shared" si="233"/>
        <v>99.42</v>
      </c>
      <c r="X447" s="377">
        <f t="shared" si="233"/>
        <v>0</v>
      </c>
      <c r="Y447" s="377">
        <f t="shared" si="233"/>
        <v>0</v>
      </c>
      <c r="Z447" s="377">
        <f t="shared" si="233"/>
        <v>0</v>
      </c>
      <c r="AA447" s="377">
        <f t="shared" si="233"/>
        <v>0</v>
      </c>
      <c r="AB447" s="377">
        <f t="shared" si="233"/>
        <v>383.84800000000001</v>
      </c>
      <c r="AC447" s="377">
        <f t="shared" si="233"/>
        <v>383.84800000000001</v>
      </c>
      <c r="AD447" s="377">
        <f t="shared" si="233"/>
        <v>383.84800000000001</v>
      </c>
      <c r="AE447" s="377">
        <f t="shared" si="233"/>
        <v>383.84800000000001</v>
      </c>
      <c r="AF447" s="377">
        <f t="shared" si="233"/>
        <v>383.84800000000001</v>
      </c>
      <c r="AG447" s="377">
        <f t="shared" si="233"/>
        <v>383.84800000000001</v>
      </c>
      <c r="AH447" s="377">
        <f t="shared" si="233"/>
        <v>383.84800000000001</v>
      </c>
      <c r="AI447" s="377">
        <f t="shared" si="233"/>
        <v>383.84800000000001</v>
      </c>
      <c r="AJ447" s="377">
        <f t="shared" si="233"/>
        <v>383.84800000000001</v>
      </c>
      <c r="AK447" s="377">
        <f t="shared" si="233"/>
        <v>383.84800000000001</v>
      </c>
    </row>
    <row r="448" spans="1:37" s="377" customFormat="1"/>
    <row r="449" spans="1:37" s="377" customFormat="1">
      <c r="A449" s="390" t="s">
        <v>725</v>
      </c>
      <c r="B449" s="390"/>
      <c r="D449" s="387"/>
      <c r="E449" s="387"/>
      <c r="G449" s="387"/>
      <c r="I449" s="388"/>
      <c r="J449" s="388"/>
      <c r="K449" s="389"/>
      <c r="L449" s="389"/>
      <c r="M449" s="389"/>
      <c r="N449" s="389"/>
      <c r="O449" s="389"/>
      <c r="P449" s="389"/>
    </row>
    <row r="450" spans="1:37" s="377" customFormat="1">
      <c r="B450" s="377" t="s">
        <v>682</v>
      </c>
      <c r="D450" s="387">
        <v>2366.56</v>
      </c>
      <c r="E450" s="387"/>
      <c r="F450" s="377">
        <f>G450+H450</f>
        <v>2366.56</v>
      </c>
      <c r="G450" s="387">
        <v>2366.56</v>
      </c>
      <c r="H450" s="377">
        <f>SUM(K450:AI450)</f>
        <v>0</v>
      </c>
      <c r="I450" s="388"/>
      <c r="J450" s="388"/>
      <c r="K450" s="389">
        <f>SUM($D450*$I450)/100</f>
        <v>0</v>
      </c>
      <c r="L450" s="389">
        <f>SUM($D450*$I450)/100</f>
        <v>0</v>
      </c>
      <c r="M450" s="389">
        <f>SUM($D450*$I450)/100</f>
        <v>0</v>
      </c>
      <c r="N450" s="389">
        <f>SUM($D450*$I450)/100</f>
        <v>0</v>
      </c>
      <c r="O450" s="389"/>
      <c r="P450" s="389"/>
    </row>
    <row r="451" spans="1:37" s="377" customFormat="1">
      <c r="B451" s="377" t="s">
        <v>724</v>
      </c>
      <c r="C451" s="421">
        <f>DATE(2012,6,1)</f>
        <v>41061</v>
      </c>
      <c r="D451" s="380">
        <v>5175</v>
      </c>
      <c r="E451" s="380"/>
      <c r="F451" s="379">
        <f>G451+H451</f>
        <v>258.75</v>
      </c>
      <c r="G451" s="380">
        <v>0</v>
      </c>
      <c r="H451" s="377">
        <f>SUM(K451:AI451)</f>
        <v>258.75</v>
      </c>
      <c r="I451" s="381">
        <v>5</v>
      </c>
      <c r="J451" s="381">
        <v>5</v>
      </c>
      <c r="K451" s="382">
        <v>0</v>
      </c>
      <c r="L451" s="382">
        <v>0</v>
      </c>
      <c r="M451" s="382">
        <v>0</v>
      </c>
      <c r="N451" s="382">
        <v>0</v>
      </c>
      <c r="O451" s="382">
        <v>0</v>
      </c>
      <c r="P451" s="382">
        <v>0</v>
      </c>
      <c r="Q451" s="382">
        <v>0</v>
      </c>
      <c r="R451" s="382">
        <v>0</v>
      </c>
      <c r="S451" s="382">
        <v>0</v>
      </c>
      <c r="T451" s="382">
        <v>0</v>
      </c>
      <c r="U451" s="382">
        <v>0</v>
      </c>
      <c r="V451" s="382">
        <v>0</v>
      </c>
      <c r="W451" s="382">
        <v>0</v>
      </c>
      <c r="X451" s="382">
        <v>0</v>
      </c>
      <c r="Y451" s="382">
        <v>0</v>
      </c>
      <c r="Z451" s="382">
        <v>0</v>
      </c>
      <c r="AA451" s="382">
        <v>0</v>
      </c>
      <c r="AB451" s="382">
        <v>0</v>
      </c>
      <c r="AC451" s="382">
        <v>0</v>
      </c>
      <c r="AD451" s="382">
        <v>0</v>
      </c>
      <c r="AE451" s="382">
        <v>0</v>
      </c>
      <c r="AF451" s="382">
        <v>0</v>
      </c>
      <c r="AG451" s="382">
        <v>0</v>
      </c>
      <c r="AH451" s="382">
        <v>0</v>
      </c>
      <c r="AI451" s="382">
        <f>$D451*$I451/100</f>
        <v>258.75</v>
      </c>
      <c r="AJ451" s="382">
        <f>$D451*$I451/100</f>
        <v>258.75</v>
      </c>
      <c r="AK451" s="382">
        <f>$D451*$I451/100</f>
        <v>258.75</v>
      </c>
    </row>
    <row r="452" spans="1:37" s="377" customFormat="1">
      <c r="D452" s="387">
        <f>SUM(D450:D451)</f>
        <v>7541.5599999999995</v>
      </c>
      <c r="E452" s="387">
        <f>F452+AJ452</f>
        <v>2884.06</v>
      </c>
      <c r="F452" s="377">
        <f>SUM(F448:F451)</f>
        <v>2625.31</v>
      </c>
      <c r="G452" s="387">
        <v>0</v>
      </c>
      <c r="H452" s="377">
        <f>SUM(K452:AI452)</f>
        <v>258.75</v>
      </c>
      <c r="I452" s="388"/>
      <c r="J452" s="388"/>
      <c r="K452" s="389"/>
      <c r="L452" s="389"/>
      <c r="M452" s="389"/>
      <c r="N452" s="389"/>
      <c r="O452" s="389"/>
      <c r="P452" s="389"/>
      <c r="Q452" s="389"/>
      <c r="R452" s="389"/>
      <c r="S452" s="389"/>
      <c r="T452" s="389"/>
      <c r="U452" s="389"/>
      <c r="V452" s="389"/>
      <c r="W452" s="389"/>
      <c r="X452" s="389"/>
      <c r="Y452" s="389"/>
      <c r="Z452" s="389"/>
      <c r="AA452" s="389"/>
      <c r="AB452" s="389"/>
      <c r="AC452" s="389"/>
      <c r="AD452" s="389"/>
      <c r="AE452" s="389"/>
      <c r="AF452" s="389"/>
      <c r="AG452" s="389"/>
      <c r="AH452" s="389"/>
      <c r="AI452" s="389">
        <f>SUM(AI451)</f>
        <v>258.75</v>
      </c>
      <c r="AJ452" s="389">
        <f>SUM(AJ451)</f>
        <v>258.75</v>
      </c>
      <c r="AK452" s="389">
        <f>SUM(AK451)</f>
        <v>258.75</v>
      </c>
    </row>
    <row r="453" spans="1:37" s="377" customFormat="1">
      <c r="D453" s="387"/>
      <c r="E453" s="387"/>
      <c r="G453" s="387"/>
      <c r="I453" s="388"/>
      <c r="J453" s="388"/>
      <c r="K453" s="389"/>
      <c r="L453" s="389"/>
      <c r="M453" s="389"/>
      <c r="N453" s="389"/>
      <c r="O453" s="389"/>
      <c r="P453" s="389"/>
      <c r="Q453" s="389"/>
      <c r="R453" s="389"/>
      <c r="S453" s="389"/>
      <c r="T453" s="389"/>
      <c r="U453" s="389"/>
      <c r="V453" s="389"/>
      <c r="W453" s="389"/>
      <c r="X453" s="389"/>
      <c r="Y453" s="389"/>
      <c r="Z453" s="389"/>
      <c r="AA453" s="389"/>
      <c r="AB453" s="389"/>
      <c r="AC453" s="389"/>
      <c r="AD453" s="389"/>
      <c r="AE453" s="389"/>
      <c r="AF453" s="389"/>
      <c r="AG453" s="389"/>
      <c r="AH453" s="389"/>
      <c r="AI453" s="389"/>
      <c r="AJ453" s="389"/>
      <c r="AK453" s="389"/>
    </row>
    <row r="454" spans="1:37" s="377" customFormat="1">
      <c r="A454" s="410" t="s">
        <v>723</v>
      </c>
      <c r="B454" s="410"/>
      <c r="D454" s="387"/>
      <c r="E454" s="387"/>
      <c r="G454" s="387"/>
      <c r="I454" s="388"/>
      <c r="J454" s="388"/>
      <c r="K454" s="389"/>
      <c r="L454" s="389"/>
      <c r="M454" s="389"/>
      <c r="N454" s="389"/>
      <c r="O454" s="389"/>
      <c r="P454" s="389"/>
      <c r="Q454" s="389"/>
      <c r="R454" s="389"/>
      <c r="S454" s="389"/>
      <c r="T454" s="389"/>
      <c r="U454" s="389"/>
      <c r="V454" s="389"/>
      <c r="W454" s="389"/>
      <c r="X454" s="389"/>
      <c r="Y454" s="389"/>
      <c r="Z454" s="389"/>
      <c r="AA454" s="389"/>
      <c r="AB454" s="389"/>
      <c r="AC454" s="389"/>
      <c r="AD454" s="389"/>
      <c r="AE454" s="389"/>
      <c r="AF454" s="389"/>
      <c r="AG454" s="389"/>
      <c r="AH454" s="389"/>
      <c r="AI454" s="389"/>
      <c r="AJ454" s="389"/>
      <c r="AK454" s="389"/>
    </row>
    <row r="455" spans="1:37" s="377" customFormat="1">
      <c r="B455" s="377" t="s">
        <v>722</v>
      </c>
      <c r="D455" s="387">
        <v>43183.59</v>
      </c>
      <c r="E455" s="387"/>
      <c r="F455" s="377">
        <f t="shared" ref="F455:F461" si="234">G455+H455</f>
        <v>43183.59</v>
      </c>
      <c r="G455" s="387">
        <v>39290.769999999997</v>
      </c>
      <c r="H455" s="377">
        <f t="shared" ref="H455:H462" si="235">SUM(K455:AI455)</f>
        <v>3892.8199999999997</v>
      </c>
      <c r="I455" s="388">
        <v>5</v>
      </c>
      <c r="J455" s="388"/>
      <c r="K455" s="389">
        <v>2159</v>
      </c>
      <c r="L455" s="389">
        <v>1733.82</v>
      </c>
      <c r="M455" s="389">
        <v>0</v>
      </c>
      <c r="N455" s="389">
        <v>0</v>
      </c>
      <c r="O455" s="389">
        <v>0</v>
      </c>
      <c r="P455" s="389">
        <v>0</v>
      </c>
      <c r="Q455" s="389">
        <v>0</v>
      </c>
      <c r="R455" s="389">
        <v>0</v>
      </c>
      <c r="S455" s="389">
        <v>0</v>
      </c>
      <c r="T455" s="389">
        <v>0</v>
      </c>
      <c r="U455" s="389">
        <v>0</v>
      </c>
      <c r="V455" s="389">
        <v>0</v>
      </c>
      <c r="W455" s="389">
        <v>0</v>
      </c>
      <c r="X455" s="389">
        <v>0</v>
      </c>
      <c r="Y455" s="389">
        <v>0</v>
      </c>
      <c r="Z455" s="389">
        <v>0</v>
      </c>
      <c r="AA455" s="389">
        <v>0</v>
      </c>
      <c r="AB455" s="389">
        <v>0</v>
      </c>
      <c r="AC455" s="389">
        <v>0</v>
      </c>
      <c r="AD455" s="389">
        <v>0</v>
      </c>
      <c r="AE455" s="389">
        <v>0</v>
      </c>
      <c r="AF455" s="389">
        <v>0</v>
      </c>
      <c r="AG455" s="389">
        <v>0</v>
      </c>
      <c r="AH455" s="389">
        <v>0</v>
      </c>
      <c r="AI455" s="389">
        <v>0</v>
      </c>
      <c r="AJ455" s="389">
        <v>0</v>
      </c>
      <c r="AK455" s="389">
        <v>0</v>
      </c>
    </row>
    <row r="456" spans="1:37" s="377" customFormat="1">
      <c r="B456" s="409" t="s">
        <v>721</v>
      </c>
      <c r="C456" s="413">
        <f>DATE(80,1,1)</f>
        <v>29221</v>
      </c>
      <c r="D456" s="414">
        <v>5809.02</v>
      </c>
      <c r="E456" s="414"/>
      <c r="F456" s="409">
        <f t="shared" si="234"/>
        <v>5809.02</v>
      </c>
      <c r="G456" s="414">
        <v>4357</v>
      </c>
      <c r="H456" s="409">
        <f t="shared" si="235"/>
        <v>1452.02</v>
      </c>
      <c r="I456" s="415">
        <v>10</v>
      </c>
      <c r="J456" s="415"/>
      <c r="K456" s="417">
        <v>581</v>
      </c>
      <c r="L456" s="417">
        <v>581</v>
      </c>
      <c r="M456" s="417">
        <v>290.02</v>
      </c>
      <c r="N456" s="417">
        <v>0</v>
      </c>
      <c r="O456" s="417">
        <v>0</v>
      </c>
      <c r="P456" s="417">
        <v>0</v>
      </c>
      <c r="Q456" s="417">
        <v>0</v>
      </c>
      <c r="R456" s="417">
        <v>0</v>
      </c>
      <c r="S456" s="417">
        <v>0</v>
      </c>
      <c r="T456" s="417">
        <v>0</v>
      </c>
      <c r="U456" s="417">
        <v>0</v>
      </c>
      <c r="V456" s="417">
        <v>0</v>
      </c>
      <c r="W456" s="417">
        <v>0</v>
      </c>
      <c r="X456" s="417">
        <v>0</v>
      </c>
      <c r="Y456" s="417">
        <v>0</v>
      </c>
      <c r="Z456" s="417">
        <v>0</v>
      </c>
      <c r="AA456" s="417">
        <v>0</v>
      </c>
      <c r="AB456" s="417">
        <v>0</v>
      </c>
      <c r="AC456" s="417">
        <v>0</v>
      </c>
      <c r="AD456" s="417">
        <v>0</v>
      </c>
      <c r="AE456" s="417">
        <v>0</v>
      </c>
      <c r="AF456" s="417">
        <v>0</v>
      </c>
      <c r="AG456" s="417">
        <v>0</v>
      </c>
      <c r="AH456" s="417">
        <v>0</v>
      </c>
      <c r="AI456" s="417">
        <v>0</v>
      </c>
      <c r="AJ456" s="417">
        <v>0</v>
      </c>
      <c r="AK456" s="417">
        <v>0</v>
      </c>
    </row>
    <row r="457" spans="1:37" s="377" customFormat="1">
      <c r="B457" s="377" t="s">
        <v>720</v>
      </c>
      <c r="C457" s="386">
        <f>DATE(81,1,1)</f>
        <v>29587</v>
      </c>
      <c r="D457" s="387">
        <v>3079.12</v>
      </c>
      <c r="E457" s="387"/>
      <c r="F457" s="377">
        <f t="shared" si="234"/>
        <v>3079.12</v>
      </c>
      <c r="G457" s="387">
        <v>2002</v>
      </c>
      <c r="H457" s="377">
        <f t="shared" si="235"/>
        <v>1077.1199999999999</v>
      </c>
      <c r="I457" s="388">
        <v>10</v>
      </c>
      <c r="J457" s="388"/>
      <c r="K457" s="389">
        <v>308</v>
      </c>
      <c r="L457" s="389">
        <v>308</v>
      </c>
      <c r="M457" s="389">
        <v>308</v>
      </c>
      <c r="N457" s="389">
        <v>153.12</v>
      </c>
      <c r="O457" s="389">
        <v>0</v>
      </c>
      <c r="P457" s="389">
        <v>0</v>
      </c>
      <c r="Q457" s="389">
        <v>0</v>
      </c>
      <c r="R457" s="389">
        <v>0</v>
      </c>
      <c r="S457" s="389">
        <v>0</v>
      </c>
      <c r="T457" s="389">
        <v>0</v>
      </c>
      <c r="U457" s="389">
        <v>0</v>
      </c>
      <c r="V457" s="389">
        <v>0</v>
      </c>
      <c r="W457" s="389">
        <v>0</v>
      </c>
      <c r="X457" s="389">
        <v>0</v>
      </c>
      <c r="Y457" s="389">
        <v>0</v>
      </c>
      <c r="Z457" s="389">
        <v>0</v>
      </c>
      <c r="AA457" s="389">
        <v>0</v>
      </c>
      <c r="AB457" s="389">
        <v>0</v>
      </c>
      <c r="AC457" s="389">
        <v>0</v>
      </c>
      <c r="AD457" s="389">
        <v>0</v>
      </c>
      <c r="AE457" s="389">
        <v>0</v>
      </c>
      <c r="AF457" s="389">
        <v>0</v>
      </c>
      <c r="AG457" s="389">
        <v>0</v>
      </c>
      <c r="AH457" s="389">
        <v>0</v>
      </c>
      <c r="AI457" s="389">
        <v>0</v>
      </c>
      <c r="AJ457" s="389">
        <v>0</v>
      </c>
      <c r="AK457" s="389">
        <v>0</v>
      </c>
    </row>
    <row r="458" spans="1:37" s="377" customFormat="1">
      <c r="B458" s="377" t="s">
        <v>719</v>
      </c>
      <c r="C458" s="386">
        <f>DATE(94,1,1)</f>
        <v>34335</v>
      </c>
      <c r="D458" s="377">
        <v>10975</v>
      </c>
      <c r="F458" s="377">
        <f t="shared" si="234"/>
        <v>10975</v>
      </c>
      <c r="H458" s="377">
        <f t="shared" si="235"/>
        <v>10975</v>
      </c>
      <c r="I458" s="388">
        <v>10</v>
      </c>
      <c r="J458" s="388"/>
      <c r="K458" s="377">
        <v>0</v>
      </c>
      <c r="L458" s="377">
        <v>0</v>
      </c>
      <c r="M458" s="377">
        <v>0</v>
      </c>
      <c r="N458" s="389">
        <v>0</v>
      </c>
      <c r="O458" s="389">
        <v>0</v>
      </c>
      <c r="P458" s="389">
        <v>0</v>
      </c>
      <c r="Q458" s="389">
        <f>SUM($D458*$I458)/100</f>
        <v>1097.5</v>
      </c>
      <c r="R458" s="389">
        <f>SUM($D458*$I458)/100</f>
        <v>1097.5</v>
      </c>
      <c r="S458" s="389">
        <f>SUM($D458*$I458)/100+0.01</f>
        <v>1097.51</v>
      </c>
      <c r="T458" s="389">
        <f>SUM($D458*$I458)/100</f>
        <v>1097.5</v>
      </c>
      <c r="U458" s="389">
        <f>SUM($D458*$I458)/100</f>
        <v>1097.5</v>
      </c>
      <c r="V458" s="389">
        <f>SUM($D458*$I458)/100</f>
        <v>1097.5</v>
      </c>
      <c r="W458" s="389">
        <f>SUM($D458*$I458)/100</f>
        <v>1097.5</v>
      </c>
      <c r="X458" s="389">
        <v>1097.5</v>
      </c>
      <c r="Y458" s="389">
        <v>1097.52</v>
      </c>
      <c r="Z458" s="389">
        <v>1097.47</v>
      </c>
      <c r="AA458" s="389">
        <v>0</v>
      </c>
      <c r="AB458" s="389">
        <v>0</v>
      </c>
      <c r="AC458" s="389">
        <v>0</v>
      </c>
      <c r="AD458" s="389">
        <v>0</v>
      </c>
      <c r="AE458" s="389">
        <v>0</v>
      </c>
      <c r="AF458" s="389">
        <v>0</v>
      </c>
      <c r="AG458" s="389">
        <v>0</v>
      </c>
      <c r="AH458" s="389">
        <v>0</v>
      </c>
      <c r="AI458" s="389">
        <v>0</v>
      </c>
      <c r="AJ458" s="389">
        <v>0</v>
      </c>
      <c r="AK458" s="389">
        <v>0</v>
      </c>
    </row>
    <row r="459" spans="1:37" s="377" customFormat="1">
      <c r="B459" s="377" t="s">
        <v>718</v>
      </c>
      <c r="C459" s="386">
        <f>DATE(2000,1,1)</f>
        <v>36526</v>
      </c>
      <c r="D459" s="377">
        <v>2700</v>
      </c>
      <c r="F459" s="377">
        <f t="shared" si="234"/>
        <v>2700</v>
      </c>
      <c r="H459" s="377">
        <f t="shared" si="235"/>
        <v>2700</v>
      </c>
      <c r="I459" s="388">
        <v>10</v>
      </c>
      <c r="J459" s="388"/>
      <c r="N459" s="389"/>
      <c r="O459" s="389"/>
      <c r="P459" s="389"/>
      <c r="Q459" s="389"/>
      <c r="R459" s="389"/>
      <c r="S459" s="389"/>
      <c r="T459" s="389"/>
      <c r="U459" s="389"/>
      <c r="V459" s="389"/>
      <c r="W459" s="389"/>
      <c r="X459" s="389">
        <v>270</v>
      </c>
      <c r="Y459" s="389">
        <v>270</v>
      </c>
      <c r="Z459" s="389">
        <v>270.05</v>
      </c>
      <c r="AA459" s="389">
        <v>270.05</v>
      </c>
      <c r="AB459" s="389">
        <v>270.05</v>
      </c>
      <c r="AC459" s="389">
        <v>270.05</v>
      </c>
      <c r="AD459" s="389">
        <v>270.05</v>
      </c>
      <c r="AE459" s="389">
        <v>270.05</v>
      </c>
      <c r="AF459" s="389">
        <v>270.05</v>
      </c>
      <c r="AG459" s="389">
        <v>269.64999999999998</v>
      </c>
      <c r="AH459" s="389">
        <v>0</v>
      </c>
      <c r="AI459" s="389">
        <v>0</v>
      </c>
      <c r="AJ459" s="389">
        <v>0</v>
      </c>
      <c r="AK459" s="389">
        <v>0</v>
      </c>
    </row>
    <row r="460" spans="1:37" s="377" customFormat="1">
      <c r="B460" s="390" t="s">
        <v>718</v>
      </c>
      <c r="C460" s="391">
        <f>DATE(2013,12,20)</f>
        <v>41628</v>
      </c>
      <c r="D460" s="390">
        <v>7127</v>
      </c>
      <c r="E460" s="390"/>
      <c r="F460" s="390">
        <f t="shared" si="234"/>
        <v>0</v>
      </c>
      <c r="G460" s="390"/>
      <c r="H460" s="390">
        <f t="shared" si="235"/>
        <v>0</v>
      </c>
      <c r="I460" s="393">
        <v>10</v>
      </c>
      <c r="J460" s="393"/>
      <c r="K460" s="390"/>
      <c r="L460" s="390"/>
      <c r="M460" s="390"/>
      <c r="N460" s="394"/>
      <c r="O460" s="394"/>
      <c r="P460" s="394"/>
      <c r="Q460" s="394"/>
      <c r="R460" s="394"/>
      <c r="S460" s="394"/>
      <c r="T460" s="394"/>
      <c r="U460" s="394"/>
      <c r="V460" s="394"/>
      <c r="W460" s="394"/>
      <c r="X460" s="394"/>
      <c r="Y460" s="394"/>
      <c r="Z460" s="394"/>
      <c r="AA460" s="394"/>
      <c r="AB460" s="394"/>
      <c r="AC460" s="394"/>
      <c r="AD460" s="394"/>
      <c r="AE460" s="394"/>
      <c r="AF460" s="394"/>
      <c r="AG460" s="394"/>
      <c r="AH460" s="394">
        <v>0</v>
      </c>
      <c r="AI460" s="394">
        <v>0</v>
      </c>
      <c r="AJ460" s="394">
        <f>$D460*$I460/100</f>
        <v>712.7</v>
      </c>
      <c r="AK460" s="394">
        <f>$D460*$I460/100</f>
        <v>712.7</v>
      </c>
    </row>
    <row r="461" spans="1:37" s="377" customFormat="1">
      <c r="B461" s="377" t="s">
        <v>689</v>
      </c>
      <c r="C461" s="378">
        <f>DATE(94,1,1)</f>
        <v>34335</v>
      </c>
      <c r="D461" s="379">
        <v>4542.3500000000004</v>
      </c>
      <c r="E461" s="379"/>
      <c r="F461" s="379">
        <f t="shared" si="234"/>
        <v>4542.34</v>
      </c>
      <c r="G461" s="379"/>
      <c r="H461" s="377">
        <f t="shared" si="235"/>
        <v>4542.34</v>
      </c>
      <c r="I461" s="381">
        <v>10</v>
      </c>
      <c r="J461" s="379"/>
      <c r="K461" s="379"/>
      <c r="L461" s="379"/>
      <c r="M461" s="379"/>
      <c r="N461" s="379"/>
      <c r="O461" s="379"/>
      <c r="P461" s="379"/>
      <c r="Q461" s="382">
        <f>SUM($D461*$I461)/100</f>
        <v>454.23500000000001</v>
      </c>
      <c r="R461" s="382">
        <f t="shared" ref="R461:W461" si="236">SUM($D461*$I461)/100-0.04</f>
        <v>454.19499999999999</v>
      </c>
      <c r="S461" s="382">
        <f t="shared" si="236"/>
        <v>454.19499999999999</v>
      </c>
      <c r="T461" s="382">
        <f t="shared" si="236"/>
        <v>454.19499999999999</v>
      </c>
      <c r="U461" s="382">
        <f t="shared" si="236"/>
        <v>454.19499999999999</v>
      </c>
      <c r="V461" s="382">
        <f t="shared" si="236"/>
        <v>454.19499999999999</v>
      </c>
      <c r="W461" s="382">
        <f t="shared" si="236"/>
        <v>454.19499999999999</v>
      </c>
      <c r="X461" s="382">
        <v>454.2</v>
      </c>
      <c r="Y461" s="382">
        <v>454.2</v>
      </c>
      <c r="Z461" s="382">
        <f>SUM($D461*$I461)/100-0.04</f>
        <v>454.19499999999999</v>
      </c>
      <c r="AA461" s="382">
        <v>0.34</v>
      </c>
      <c r="AB461" s="382">
        <v>0</v>
      </c>
      <c r="AC461" s="382">
        <v>0</v>
      </c>
      <c r="AD461" s="382">
        <v>0</v>
      </c>
      <c r="AE461" s="382">
        <v>0</v>
      </c>
      <c r="AF461" s="382">
        <v>0</v>
      </c>
      <c r="AG461" s="382">
        <v>0</v>
      </c>
      <c r="AH461" s="382">
        <v>0</v>
      </c>
      <c r="AI461" s="382">
        <v>0</v>
      </c>
      <c r="AJ461" s="382">
        <v>0</v>
      </c>
      <c r="AK461" s="382">
        <v>0</v>
      </c>
    </row>
    <row r="462" spans="1:37" s="377" customFormat="1">
      <c r="D462" s="377">
        <f>SUM(D455:D461)</f>
        <v>77416.080000000016</v>
      </c>
      <c r="E462" s="387">
        <f>F462+AJ462</f>
        <v>71001.77</v>
      </c>
      <c r="F462" s="377">
        <f>SUM(F455:F461)</f>
        <v>70289.070000000007</v>
      </c>
      <c r="G462" s="377">
        <f>SUM(G455:G461)</f>
        <v>45649.77</v>
      </c>
      <c r="H462" s="377">
        <f t="shared" si="235"/>
        <v>24639.3</v>
      </c>
      <c r="I462" s="388"/>
      <c r="J462" s="388"/>
      <c r="K462" s="377">
        <f t="shared" ref="K462:AK462" si="237">SUM(K455:K461)</f>
        <v>3048</v>
      </c>
      <c r="L462" s="377">
        <f t="shared" si="237"/>
        <v>2622.8199999999997</v>
      </c>
      <c r="M462" s="377">
        <f t="shared" si="237"/>
        <v>598.02</v>
      </c>
      <c r="N462" s="377">
        <f t="shared" si="237"/>
        <v>153.12</v>
      </c>
      <c r="O462" s="377">
        <f t="shared" si="237"/>
        <v>0</v>
      </c>
      <c r="P462" s="377">
        <f t="shared" si="237"/>
        <v>0</v>
      </c>
      <c r="Q462" s="377">
        <f t="shared" si="237"/>
        <v>1551.7350000000001</v>
      </c>
      <c r="R462" s="377">
        <f t="shared" si="237"/>
        <v>1551.6949999999999</v>
      </c>
      <c r="S462" s="377">
        <f t="shared" si="237"/>
        <v>1551.7049999999999</v>
      </c>
      <c r="T462" s="377">
        <f t="shared" si="237"/>
        <v>1551.6949999999999</v>
      </c>
      <c r="U462" s="377">
        <f t="shared" si="237"/>
        <v>1551.6949999999999</v>
      </c>
      <c r="V462" s="377">
        <f t="shared" si="237"/>
        <v>1551.6949999999999</v>
      </c>
      <c r="W462" s="377">
        <f t="shared" si="237"/>
        <v>1551.6949999999999</v>
      </c>
      <c r="X462" s="377">
        <f t="shared" si="237"/>
        <v>1821.7</v>
      </c>
      <c r="Y462" s="377">
        <f t="shared" si="237"/>
        <v>1821.72</v>
      </c>
      <c r="Z462" s="377">
        <f t="shared" si="237"/>
        <v>1821.7149999999999</v>
      </c>
      <c r="AA462" s="377">
        <f t="shared" si="237"/>
        <v>270.39</v>
      </c>
      <c r="AB462" s="377">
        <f t="shared" si="237"/>
        <v>270.05</v>
      </c>
      <c r="AC462" s="377">
        <f t="shared" si="237"/>
        <v>270.05</v>
      </c>
      <c r="AD462" s="377">
        <f t="shared" si="237"/>
        <v>270.05</v>
      </c>
      <c r="AE462" s="377">
        <f t="shared" si="237"/>
        <v>270.05</v>
      </c>
      <c r="AF462" s="377">
        <f t="shared" si="237"/>
        <v>270.05</v>
      </c>
      <c r="AG462" s="377">
        <f t="shared" si="237"/>
        <v>269.64999999999998</v>
      </c>
      <c r="AH462" s="377">
        <f t="shared" si="237"/>
        <v>0</v>
      </c>
      <c r="AI462" s="377">
        <f t="shared" si="237"/>
        <v>0</v>
      </c>
      <c r="AJ462" s="377">
        <f t="shared" si="237"/>
        <v>712.7</v>
      </c>
      <c r="AK462" s="377">
        <f t="shared" si="237"/>
        <v>712.7</v>
      </c>
    </row>
    <row r="463" spans="1:37" s="377" customFormat="1" ht="12" customHeight="1">
      <c r="E463" s="387"/>
      <c r="I463" s="388"/>
      <c r="J463" s="388"/>
    </row>
    <row r="464" spans="1:37" s="377" customFormat="1"/>
    <row r="465" spans="1:37" s="377" customFormat="1">
      <c r="A465" s="390" t="s">
        <v>717</v>
      </c>
      <c r="B465" s="390"/>
      <c r="D465" s="387"/>
      <c r="E465" s="387"/>
      <c r="G465" s="387"/>
      <c r="I465" s="388"/>
      <c r="J465" s="388"/>
      <c r="K465" s="389"/>
      <c r="L465" s="389"/>
      <c r="M465" s="389"/>
      <c r="N465" s="389"/>
      <c r="O465" s="389"/>
      <c r="P465" s="389"/>
    </row>
    <row r="466" spans="1:37" s="377" customFormat="1">
      <c r="B466" s="377" t="s">
        <v>716</v>
      </c>
      <c r="C466" s="386">
        <f>DATE(80,1,1)</f>
        <v>29221</v>
      </c>
      <c r="D466" s="387">
        <v>9550</v>
      </c>
      <c r="E466" s="387"/>
      <c r="F466" s="377">
        <f>G466+H466</f>
        <v>9550</v>
      </c>
      <c r="G466" s="387">
        <v>7163</v>
      </c>
      <c r="H466" s="377">
        <f t="shared" ref="H466:H487" si="238">SUM(K466:AI466)</f>
        <v>2387</v>
      </c>
      <c r="I466" s="388">
        <v>10</v>
      </c>
      <c r="J466" s="388"/>
      <c r="K466" s="389">
        <f>SUM($D466*$I466)/100</f>
        <v>955</v>
      </c>
      <c r="L466" s="389">
        <f>SUM($D466*$I466)/100</f>
        <v>955</v>
      </c>
      <c r="M466" s="389">
        <v>477</v>
      </c>
      <c r="N466" s="389">
        <v>0</v>
      </c>
      <c r="O466" s="389">
        <v>0</v>
      </c>
      <c r="P466" s="389">
        <v>0</v>
      </c>
      <c r="Q466" s="389">
        <v>0</v>
      </c>
      <c r="R466" s="389">
        <v>0</v>
      </c>
      <c r="S466" s="389">
        <v>0</v>
      </c>
      <c r="T466" s="389">
        <v>0</v>
      </c>
      <c r="U466" s="389">
        <v>0</v>
      </c>
      <c r="V466" s="389">
        <v>0</v>
      </c>
      <c r="W466" s="389">
        <v>0</v>
      </c>
      <c r="X466" s="389">
        <v>0</v>
      </c>
      <c r="Y466" s="389">
        <v>0</v>
      </c>
      <c r="Z466" s="389">
        <v>0</v>
      </c>
      <c r="AA466" s="389">
        <v>0</v>
      </c>
      <c r="AB466" s="389">
        <v>0</v>
      </c>
      <c r="AC466" s="389">
        <v>0</v>
      </c>
      <c r="AD466" s="389">
        <v>0</v>
      </c>
      <c r="AE466" s="389">
        <v>0</v>
      </c>
      <c r="AF466" s="389">
        <v>0</v>
      </c>
      <c r="AG466" s="389">
        <v>0</v>
      </c>
      <c r="AH466" s="389">
        <v>0</v>
      </c>
      <c r="AI466" s="389">
        <v>0</v>
      </c>
      <c r="AJ466" s="389">
        <v>0</v>
      </c>
      <c r="AK466" s="389">
        <v>0</v>
      </c>
    </row>
    <row r="467" spans="1:37" s="377" customFormat="1">
      <c r="B467" s="377" t="s">
        <v>715</v>
      </c>
      <c r="C467" s="386">
        <f>DATE(88,6,1)</f>
        <v>32295</v>
      </c>
      <c r="D467" s="387">
        <v>1399.66</v>
      </c>
      <c r="E467" s="387"/>
      <c r="F467" s="377">
        <f>G467+H467</f>
        <v>1399.6609999999998</v>
      </c>
      <c r="G467" s="387"/>
      <c r="H467" s="377">
        <f t="shared" si="238"/>
        <v>1399.6609999999998</v>
      </c>
      <c r="I467" s="388">
        <v>10</v>
      </c>
      <c r="J467" s="388"/>
      <c r="K467" s="389">
        <f>SUM($D467*$I467)/100/2</f>
        <v>69.983000000000004</v>
      </c>
      <c r="L467" s="389">
        <f t="shared" ref="L467:S468" si="239">SUM($D467*$I467)/100</f>
        <v>139.96600000000001</v>
      </c>
      <c r="M467" s="389">
        <f t="shared" si="239"/>
        <v>139.96600000000001</v>
      </c>
      <c r="N467" s="389">
        <f t="shared" si="239"/>
        <v>139.96600000000001</v>
      </c>
      <c r="O467" s="389">
        <f t="shared" si="239"/>
        <v>139.96600000000001</v>
      </c>
      <c r="P467" s="389">
        <f t="shared" si="239"/>
        <v>139.96600000000001</v>
      </c>
      <c r="Q467" s="389">
        <f t="shared" si="239"/>
        <v>139.96600000000001</v>
      </c>
      <c r="R467" s="389">
        <f t="shared" si="239"/>
        <v>139.96600000000001</v>
      </c>
      <c r="S467" s="389">
        <f t="shared" si="239"/>
        <v>139.96600000000001</v>
      </c>
      <c r="T467" s="389">
        <v>139.97</v>
      </c>
      <c r="U467" s="389">
        <f>1399.66-1329.68</f>
        <v>69.980000000000018</v>
      </c>
      <c r="V467" s="389">
        <v>0</v>
      </c>
      <c r="W467" s="389">
        <v>0</v>
      </c>
      <c r="X467" s="389">
        <v>0</v>
      </c>
      <c r="Y467" s="389">
        <v>0</v>
      </c>
      <c r="Z467" s="389">
        <v>0</v>
      </c>
      <c r="AA467" s="389">
        <v>0</v>
      </c>
      <c r="AB467" s="389">
        <v>0</v>
      </c>
      <c r="AC467" s="389">
        <v>0</v>
      </c>
      <c r="AD467" s="389">
        <v>0</v>
      </c>
      <c r="AE467" s="389">
        <v>0</v>
      </c>
      <c r="AF467" s="389">
        <v>0</v>
      </c>
      <c r="AG467" s="389">
        <v>0</v>
      </c>
      <c r="AH467" s="389">
        <v>0</v>
      </c>
      <c r="AI467" s="389">
        <v>0</v>
      </c>
      <c r="AJ467" s="389">
        <v>0</v>
      </c>
      <c r="AK467" s="389">
        <v>0</v>
      </c>
    </row>
    <row r="468" spans="1:37" s="377" customFormat="1">
      <c r="B468" s="377" t="s">
        <v>714</v>
      </c>
      <c r="C468" s="386">
        <f>DATE(88,1,1)</f>
        <v>32143</v>
      </c>
      <c r="D468" s="387">
        <v>5981.75</v>
      </c>
      <c r="E468" s="387"/>
      <c r="F468" s="377">
        <f>G468+H468</f>
        <v>5981.7525000000014</v>
      </c>
      <c r="G468" s="387"/>
      <c r="H468" s="377">
        <f t="shared" si="238"/>
        <v>5981.7525000000014</v>
      </c>
      <c r="I468" s="388">
        <v>10</v>
      </c>
      <c r="J468" s="388"/>
      <c r="K468" s="389">
        <f>SUM($D468*$I468)/100/2</f>
        <v>299.08749999999998</v>
      </c>
      <c r="L468" s="389">
        <f t="shared" si="239"/>
        <v>598.17499999999995</v>
      </c>
      <c r="M468" s="389">
        <f t="shared" si="239"/>
        <v>598.17499999999995</v>
      </c>
      <c r="N468" s="389">
        <f t="shared" si="239"/>
        <v>598.17499999999995</v>
      </c>
      <c r="O468" s="389">
        <f t="shared" si="239"/>
        <v>598.17499999999995</v>
      </c>
      <c r="P468" s="389">
        <f t="shared" si="239"/>
        <v>598.17499999999995</v>
      </c>
      <c r="Q468" s="389">
        <f t="shared" si="239"/>
        <v>598.17499999999995</v>
      </c>
      <c r="R468" s="389">
        <f t="shared" si="239"/>
        <v>598.17499999999995</v>
      </c>
      <c r="S468" s="389">
        <f t="shared" si="239"/>
        <v>598.17499999999995</v>
      </c>
      <c r="T468" s="389">
        <f t="shared" ref="T468:T481" si="240">SUM($D468*$I468)/100</f>
        <v>598.17499999999995</v>
      </c>
      <c r="U468" s="389">
        <f>5981.75-5682.66</f>
        <v>299.09000000000015</v>
      </c>
      <c r="V468" s="389">
        <v>0</v>
      </c>
      <c r="W468" s="389">
        <v>0</v>
      </c>
      <c r="X468" s="389">
        <v>0</v>
      </c>
      <c r="Y468" s="389">
        <v>0</v>
      </c>
      <c r="Z468" s="389">
        <v>0</v>
      </c>
      <c r="AA468" s="389">
        <v>0</v>
      </c>
      <c r="AB468" s="389">
        <v>0</v>
      </c>
      <c r="AC468" s="389">
        <v>0</v>
      </c>
      <c r="AD468" s="389">
        <v>0</v>
      </c>
      <c r="AE468" s="389">
        <v>0</v>
      </c>
      <c r="AF468" s="389">
        <v>0</v>
      </c>
      <c r="AG468" s="389">
        <v>0</v>
      </c>
      <c r="AH468" s="389">
        <v>0</v>
      </c>
      <c r="AI468" s="389">
        <v>0</v>
      </c>
      <c r="AJ468" s="389">
        <v>0</v>
      </c>
      <c r="AK468" s="389">
        <v>0</v>
      </c>
    </row>
    <row r="469" spans="1:37" s="377" customFormat="1">
      <c r="B469" s="377" t="s">
        <v>713</v>
      </c>
      <c r="C469" s="386">
        <f>DATE(89,1,1)</f>
        <v>32509</v>
      </c>
      <c r="D469" s="387">
        <v>6935.41</v>
      </c>
      <c r="E469" s="387"/>
      <c r="F469" s="377">
        <f>G469+H469+200</f>
        <v>6935.4095000000007</v>
      </c>
      <c r="G469" s="387"/>
      <c r="H469" s="377">
        <f t="shared" si="238"/>
        <v>6735.4095000000007</v>
      </c>
      <c r="I469" s="388">
        <v>10</v>
      </c>
      <c r="J469" s="388"/>
      <c r="K469" s="389">
        <v>0</v>
      </c>
      <c r="L469" s="389">
        <f>SUM($D469*$I469)/100/2</f>
        <v>346.77050000000003</v>
      </c>
      <c r="M469" s="389">
        <f t="shared" ref="M469:S473" si="241">SUM($D469*$I469)/100</f>
        <v>693.54100000000005</v>
      </c>
      <c r="N469" s="389">
        <f t="shared" si="241"/>
        <v>693.54100000000005</v>
      </c>
      <c r="O469" s="389">
        <f t="shared" si="241"/>
        <v>693.54100000000005</v>
      </c>
      <c r="P469" s="389">
        <f t="shared" si="241"/>
        <v>693.54100000000005</v>
      </c>
      <c r="Q469" s="389">
        <f t="shared" si="241"/>
        <v>693.54100000000005</v>
      </c>
      <c r="R469" s="389">
        <f t="shared" si="241"/>
        <v>693.54100000000005</v>
      </c>
      <c r="S469" s="389">
        <f t="shared" si="241"/>
        <v>693.54100000000005</v>
      </c>
      <c r="T469" s="389">
        <f t="shared" si="240"/>
        <v>693.54100000000005</v>
      </c>
      <c r="U469" s="389">
        <f t="shared" ref="U469:U481" si="242">SUM($D469*$I469)/100</f>
        <v>693.54100000000005</v>
      </c>
      <c r="V469" s="389">
        <f>6935.41-6095.1-693.54</f>
        <v>146.76999999999953</v>
      </c>
      <c r="W469" s="389">
        <v>0</v>
      </c>
      <c r="X469" s="389">
        <v>0</v>
      </c>
      <c r="Y469" s="389">
        <v>0</v>
      </c>
      <c r="Z469" s="389">
        <v>0</v>
      </c>
      <c r="AA469" s="389">
        <v>0</v>
      </c>
      <c r="AB469" s="389">
        <v>0</v>
      </c>
      <c r="AC469" s="389">
        <v>0</v>
      </c>
      <c r="AD469" s="389">
        <v>0</v>
      </c>
      <c r="AE469" s="389">
        <v>0</v>
      </c>
      <c r="AF469" s="389">
        <v>0</v>
      </c>
      <c r="AG469" s="389">
        <v>0</v>
      </c>
      <c r="AH469" s="389">
        <v>0</v>
      </c>
      <c r="AI469" s="389">
        <v>0</v>
      </c>
      <c r="AJ469" s="389">
        <v>0</v>
      </c>
      <c r="AK469" s="389">
        <v>0</v>
      </c>
    </row>
    <row r="470" spans="1:37" s="377" customFormat="1">
      <c r="B470" s="377" t="s">
        <v>712</v>
      </c>
      <c r="C470" s="386">
        <f>DATE(89,3,1)</f>
        <v>32568</v>
      </c>
      <c r="D470" s="387">
        <v>1685.67</v>
      </c>
      <c r="E470" s="387"/>
      <c r="F470" s="377">
        <f t="shared" ref="F470:F481" si="243">G470+H470</f>
        <v>1685.6665000000003</v>
      </c>
      <c r="G470" s="387"/>
      <c r="H470" s="377">
        <f t="shared" si="238"/>
        <v>1685.6665000000003</v>
      </c>
      <c r="I470" s="388">
        <v>10</v>
      </c>
      <c r="J470" s="388"/>
      <c r="K470" s="389">
        <v>0</v>
      </c>
      <c r="L470" s="389">
        <f>SUM($D470*$I470)/100/2</f>
        <v>84.283500000000004</v>
      </c>
      <c r="M470" s="389">
        <f t="shared" si="241"/>
        <v>168.56700000000001</v>
      </c>
      <c r="N470" s="389">
        <f t="shared" si="241"/>
        <v>168.56700000000001</v>
      </c>
      <c r="O470" s="389">
        <f t="shared" si="241"/>
        <v>168.56700000000001</v>
      </c>
      <c r="P470" s="389">
        <f t="shared" si="241"/>
        <v>168.56700000000001</v>
      </c>
      <c r="Q470" s="389">
        <f t="shared" si="241"/>
        <v>168.56700000000001</v>
      </c>
      <c r="R470" s="389">
        <f t="shared" si="241"/>
        <v>168.56700000000001</v>
      </c>
      <c r="S470" s="389">
        <f t="shared" si="241"/>
        <v>168.56700000000001</v>
      </c>
      <c r="T470" s="389">
        <f t="shared" si="240"/>
        <v>168.56700000000001</v>
      </c>
      <c r="U470" s="389">
        <f t="shared" si="242"/>
        <v>168.56700000000001</v>
      </c>
      <c r="V470" s="377">
        <f>1685.67-1432.82-168.57</f>
        <v>84.280000000000143</v>
      </c>
      <c r="W470" s="377">
        <v>0</v>
      </c>
      <c r="X470" s="377">
        <v>0</v>
      </c>
      <c r="Y470" s="377">
        <v>0</v>
      </c>
      <c r="Z470" s="377">
        <v>0</v>
      </c>
      <c r="AA470" s="377">
        <v>0</v>
      </c>
      <c r="AB470" s="377">
        <v>0</v>
      </c>
      <c r="AC470" s="377">
        <v>0</v>
      </c>
      <c r="AD470" s="377">
        <v>0</v>
      </c>
      <c r="AE470" s="377">
        <v>0</v>
      </c>
      <c r="AF470" s="377">
        <v>0</v>
      </c>
      <c r="AG470" s="377">
        <v>0</v>
      </c>
      <c r="AH470" s="377">
        <v>0</v>
      </c>
      <c r="AI470" s="377">
        <v>0</v>
      </c>
      <c r="AJ470" s="377">
        <v>0</v>
      </c>
      <c r="AK470" s="377">
        <v>0</v>
      </c>
    </row>
    <row r="471" spans="1:37" s="377" customFormat="1">
      <c r="B471" s="377" t="s">
        <v>711</v>
      </c>
      <c r="C471" s="386">
        <f>DATE(89,4,1)</f>
        <v>32599</v>
      </c>
      <c r="D471" s="377">
        <v>1130</v>
      </c>
      <c r="F471" s="377">
        <f t="shared" si="243"/>
        <v>1130</v>
      </c>
      <c r="G471" s="387"/>
      <c r="H471" s="377">
        <f t="shared" si="238"/>
        <v>1130</v>
      </c>
      <c r="I471" s="388">
        <v>10</v>
      </c>
      <c r="J471" s="388"/>
      <c r="K471" s="389">
        <v>0</v>
      </c>
      <c r="L471" s="389">
        <f>SUM($D471*$I471)/100/2</f>
        <v>56.5</v>
      </c>
      <c r="M471" s="389">
        <f t="shared" si="241"/>
        <v>113</v>
      </c>
      <c r="N471" s="389">
        <f t="shared" si="241"/>
        <v>113</v>
      </c>
      <c r="O471" s="389">
        <f t="shared" si="241"/>
        <v>113</v>
      </c>
      <c r="P471" s="389">
        <f t="shared" si="241"/>
        <v>113</v>
      </c>
      <c r="Q471" s="389">
        <f t="shared" si="241"/>
        <v>113</v>
      </c>
      <c r="R471" s="389">
        <f t="shared" si="241"/>
        <v>113</v>
      </c>
      <c r="S471" s="389">
        <f t="shared" si="241"/>
        <v>113</v>
      </c>
      <c r="T471" s="389">
        <f t="shared" si="240"/>
        <v>113</v>
      </c>
      <c r="U471" s="389">
        <f t="shared" si="242"/>
        <v>113</v>
      </c>
      <c r="V471" s="389">
        <f>1130-960.5-113</f>
        <v>56.5</v>
      </c>
      <c r="W471" s="389">
        <v>0</v>
      </c>
      <c r="X471" s="389">
        <v>0</v>
      </c>
      <c r="Y471" s="389">
        <v>0</v>
      </c>
      <c r="Z471" s="389">
        <v>0</v>
      </c>
      <c r="AA471" s="389">
        <v>0</v>
      </c>
      <c r="AB471" s="389">
        <v>0</v>
      </c>
      <c r="AC471" s="389">
        <v>0</v>
      </c>
      <c r="AD471" s="389">
        <v>0</v>
      </c>
      <c r="AE471" s="389">
        <v>0</v>
      </c>
      <c r="AF471" s="389">
        <v>0</v>
      </c>
      <c r="AG471" s="389">
        <v>0</v>
      </c>
      <c r="AH471" s="389">
        <v>0</v>
      </c>
      <c r="AI471" s="389">
        <v>0</v>
      </c>
      <c r="AJ471" s="389">
        <v>0</v>
      </c>
      <c r="AK471" s="389">
        <v>0</v>
      </c>
    </row>
    <row r="472" spans="1:37" s="377" customFormat="1">
      <c r="B472" s="377" t="s">
        <v>710</v>
      </c>
      <c r="C472" s="386">
        <f>DATE(89,6,1)</f>
        <v>32660</v>
      </c>
      <c r="D472" s="377">
        <v>1827.23</v>
      </c>
      <c r="F472" s="377">
        <f t="shared" si="243"/>
        <v>1827.2284999999997</v>
      </c>
      <c r="G472" s="387"/>
      <c r="H472" s="377">
        <f t="shared" si="238"/>
        <v>1827.2284999999997</v>
      </c>
      <c r="I472" s="388">
        <v>10</v>
      </c>
      <c r="J472" s="388"/>
      <c r="K472" s="389">
        <v>0</v>
      </c>
      <c r="L472" s="389">
        <f>SUM($D472*$I472)/100/2</f>
        <v>91.361499999999992</v>
      </c>
      <c r="M472" s="389">
        <f t="shared" si="241"/>
        <v>182.72299999999998</v>
      </c>
      <c r="N472" s="389">
        <f t="shared" si="241"/>
        <v>182.72299999999998</v>
      </c>
      <c r="O472" s="389">
        <f t="shared" si="241"/>
        <v>182.72299999999998</v>
      </c>
      <c r="P472" s="389">
        <f t="shared" si="241"/>
        <v>182.72299999999998</v>
      </c>
      <c r="Q472" s="389">
        <f t="shared" si="241"/>
        <v>182.72299999999998</v>
      </c>
      <c r="R472" s="389">
        <f t="shared" si="241"/>
        <v>182.72299999999998</v>
      </c>
      <c r="S472" s="389">
        <f t="shared" si="241"/>
        <v>182.72299999999998</v>
      </c>
      <c r="T472" s="389">
        <f t="shared" si="240"/>
        <v>182.72299999999998</v>
      </c>
      <c r="U472" s="389">
        <f t="shared" si="242"/>
        <v>182.72299999999998</v>
      </c>
      <c r="V472" s="377">
        <f>1827.23-1553.15-182.72</f>
        <v>91.359999999999928</v>
      </c>
      <c r="W472" s="377">
        <v>0</v>
      </c>
      <c r="X472" s="377">
        <v>0</v>
      </c>
      <c r="Y472" s="377">
        <v>0</v>
      </c>
      <c r="Z472" s="377">
        <v>0</v>
      </c>
      <c r="AA472" s="377">
        <v>0</v>
      </c>
      <c r="AB472" s="377">
        <v>0</v>
      </c>
      <c r="AC472" s="377">
        <v>0</v>
      </c>
      <c r="AD472" s="377">
        <v>0</v>
      </c>
      <c r="AE472" s="377">
        <v>0</v>
      </c>
      <c r="AF472" s="377">
        <v>0</v>
      </c>
      <c r="AG472" s="377">
        <v>0</v>
      </c>
      <c r="AH472" s="377">
        <v>0</v>
      </c>
      <c r="AI472" s="377">
        <v>0</v>
      </c>
      <c r="AJ472" s="377">
        <v>0</v>
      </c>
      <c r="AK472" s="377">
        <v>0</v>
      </c>
    </row>
    <row r="473" spans="1:37" s="377" customFormat="1">
      <c r="B473" s="377" t="s">
        <v>709</v>
      </c>
      <c r="C473" s="386">
        <f>DATE(89,11,1)</f>
        <v>32813</v>
      </c>
      <c r="D473" s="377">
        <v>1430</v>
      </c>
      <c r="F473" s="377">
        <f t="shared" si="243"/>
        <v>1430</v>
      </c>
      <c r="G473" s="387"/>
      <c r="H473" s="377">
        <f t="shared" si="238"/>
        <v>1430</v>
      </c>
      <c r="I473" s="388">
        <v>10</v>
      </c>
      <c r="J473" s="388"/>
      <c r="K473" s="389">
        <v>0</v>
      </c>
      <c r="L473" s="389">
        <f>SUM($D473*$I473)/100/2</f>
        <v>71.5</v>
      </c>
      <c r="M473" s="389">
        <f t="shared" si="241"/>
        <v>143</v>
      </c>
      <c r="N473" s="389">
        <f t="shared" si="241"/>
        <v>143</v>
      </c>
      <c r="O473" s="389">
        <f t="shared" si="241"/>
        <v>143</v>
      </c>
      <c r="P473" s="389">
        <f t="shared" si="241"/>
        <v>143</v>
      </c>
      <c r="Q473" s="389">
        <f t="shared" si="241"/>
        <v>143</v>
      </c>
      <c r="R473" s="389">
        <f t="shared" si="241"/>
        <v>143</v>
      </c>
      <c r="S473" s="389">
        <f t="shared" si="241"/>
        <v>143</v>
      </c>
      <c r="T473" s="389">
        <f t="shared" si="240"/>
        <v>143</v>
      </c>
      <c r="U473" s="389">
        <f t="shared" si="242"/>
        <v>143</v>
      </c>
      <c r="V473" s="389">
        <f>1430-1215.5-143</f>
        <v>71.5</v>
      </c>
      <c r="W473" s="389">
        <v>0</v>
      </c>
      <c r="X473" s="389">
        <v>0</v>
      </c>
      <c r="Y473" s="389">
        <v>0</v>
      </c>
      <c r="Z473" s="389">
        <v>0</v>
      </c>
      <c r="AA473" s="389">
        <v>0</v>
      </c>
      <c r="AB473" s="389">
        <v>0</v>
      </c>
      <c r="AC473" s="389">
        <v>0</v>
      </c>
      <c r="AD473" s="389">
        <v>0</v>
      </c>
      <c r="AE473" s="389">
        <v>0</v>
      </c>
      <c r="AF473" s="389">
        <v>0</v>
      </c>
      <c r="AG473" s="389">
        <v>0</v>
      </c>
      <c r="AH473" s="389">
        <v>0</v>
      </c>
      <c r="AI473" s="389">
        <v>0</v>
      </c>
      <c r="AJ473" s="389">
        <v>0</v>
      </c>
      <c r="AK473" s="389">
        <v>0</v>
      </c>
    </row>
    <row r="474" spans="1:37" s="377" customFormat="1">
      <c r="B474" s="377" t="s">
        <v>708</v>
      </c>
      <c r="C474" s="386">
        <f>DATE(91,10,1)</f>
        <v>33512</v>
      </c>
      <c r="D474" s="377">
        <v>1148.4000000000001</v>
      </c>
      <c r="F474" s="377">
        <f t="shared" si="243"/>
        <v>1148.4000000000001</v>
      </c>
      <c r="H474" s="377">
        <f t="shared" si="238"/>
        <v>1148.4000000000001</v>
      </c>
      <c r="I474" s="388">
        <v>10</v>
      </c>
      <c r="J474" s="388"/>
      <c r="N474" s="389">
        <f t="shared" ref="N474:S475" si="244">SUM($D474*$I474)/100</f>
        <v>114.84</v>
      </c>
      <c r="O474" s="389">
        <f t="shared" si="244"/>
        <v>114.84</v>
      </c>
      <c r="P474" s="389">
        <f t="shared" si="244"/>
        <v>114.84</v>
      </c>
      <c r="Q474" s="389">
        <f t="shared" si="244"/>
        <v>114.84</v>
      </c>
      <c r="R474" s="389">
        <f t="shared" si="244"/>
        <v>114.84</v>
      </c>
      <c r="S474" s="389">
        <f t="shared" si="244"/>
        <v>114.84</v>
      </c>
      <c r="T474" s="389">
        <f t="shared" si="240"/>
        <v>114.84</v>
      </c>
      <c r="U474" s="389">
        <f t="shared" si="242"/>
        <v>114.84</v>
      </c>
      <c r="V474" s="389">
        <f t="shared" ref="V474:V481" si="245">SUM($D474*$I474)/100</f>
        <v>114.84</v>
      </c>
      <c r="W474" s="389">
        <v>114.84</v>
      </c>
      <c r="X474" s="389">
        <v>0</v>
      </c>
      <c r="Y474" s="389">
        <v>0</v>
      </c>
      <c r="Z474" s="389">
        <v>0</v>
      </c>
      <c r="AA474" s="389">
        <v>0</v>
      </c>
      <c r="AB474" s="389">
        <v>0</v>
      </c>
      <c r="AC474" s="389">
        <v>0</v>
      </c>
      <c r="AD474" s="389">
        <v>0</v>
      </c>
      <c r="AE474" s="389">
        <v>0</v>
      </c>
      <c r="AF474" s="389">
        <v>0</v>
      </c>
      <c r="AG474" s="389">
        <v>0</v>
      </c>
      <c r="AH474" s="389">
        <v>0</v>
      </c>
      <c r="AI474" s="389">
        <v>0</v>
      </c>
      <c r="AJ474" s="389">
        <v>0</v>
      </c>
      <c r="AK474" s="389">
        <v>0</v>
      </c>
    </row>
    <row r="475" spans="1:37" s="377" customFormat="1">
      <c r="B475" s="377" t="s">
        <v>707</v>
      </c>
      <c r="C475" s="386">
        <f>DATE(91,11,1)</f>
        <v>33543</v>
      </c>
      <c r="D475" s="377">
        <v>1850.32</v>
      </c>
      <c r="F475" s="377">
        <f t="shared" si="243"/>
        <v>1850.3179999999998</v>
      </c>
      <c r="H475" s="377">
        <f t="shared" si="238"/>
        <v>1850.3179999999998</v>
      </c>
      <c r="I475" s="388">
        <v>10</v>
      </c>
      <c r="J475" s="388"/>
      <c r="N475" s="389">
        <f t="shared" si="244"/>
        <v>185.03200000000001</v>
      </c>
      <c r="O475" s="389">
        <f t="shared" si="244"/>
        <v>185.03200000000001</v>
      </c>
      <c r="P475" s="389">
        <f t="shared" si="244"/>
        <v>185.03200000000001</v>
      </c>
      <c r="Q475" s="389">
        <f t="shared" si="244"/>
        <v>185.03200000000001</v>
      </c>
      <c r="R475" s="389">
        <f t="shared" si="244"/>
        <v>185.03200000000001</v>
      </c>
      <c r="S475" s="389">
        <f t="shared" si="244"/>
        <v>185.03200000000001</v>
      </c>
      <c r="T475" s="389">
        <f t="shared" si="240"/>
        <v>185.03200000000001</v>
      </c>
      <c r="U475" s="389">
        <f t="shared" si="242"/>
        <v>185.03200000000001</v>
      </c>
      <c r="V475" s="389">
        <f t="shared" si="245"/>
        <v>185.03200000000001</v>
      </c>
      <c r="W475" s="389">
        <v>185.04</v>
      </c>
      <c r="X475" s="389">
        <v>-0.01</v>
      </c>
      <c r="Y475" s="389">
        <v>0</v>
      </c>
      <c r="Z475" s="389">
        <v>0</v>
      </c>
      <c r="AA475" s="389">
        <v>0</v>
      </c>
      <c r="AB475" s="389">
        <v>0</v>
      </c>
      <c r="AC475" s="389">
        <v>0</v>
      </c>
      <c r="AD475" s="389">
        <v>0</v>
      </c>
      <c r="AE475" s="389">
        <v>0</v>
      </c>
      <c r="AF475" s="389">
        <v>0</v>
      </c>
      <c r="AG475" s="389">
        <v>0</v>
      </c>
      <c r="AH475" s="389">
        <v>0</v>
      </c>
      <c r="AI475" s="389">
        <v>0</v>
      </c>
      <c r="AJ475" s="389">
        <v>0</v>
      </c>
      <c r="AK475" s="389">
        <v>0</v>
      </c>
    </row>
    <row r="476" spans="1:37" s="377" customFormat="1">
      <c r="B476" s="377" t="s">
        <v>706</v>
      </c>
      <c r="C476" s="386">
        <f>DATE(92,9,1)</f>
        <v>33848</v>
      </c>
      <c r="D476" s="377">
        <v>1050.6199999999999</v>
      </c>
      <c r="F476" s="377">
        <f t="shared" si="243"/>
        <v>1050.6179999999999</v>
      </c>
      <c r="H476" s="377">
        <f t="shared" si="238"/>
        <v>1050.6179999999999</v>
      </c>
      <c r="I476" s="388">
        <v>10</v>
      </c>
      <c r="O476" s="389">
        <f t="shared" ref="O476:S477" si="246">SUM($D476*$I476)/100</f>
        <v>105.06199999999998</v>
      </c>
      <c r="P476" s="389">
        <f t="shared" si="246"/>
        <v>105.06199999999998</v>
      </c>
      <c r="Q476" s="389">
        <f t="shared" si="246"/>
        <v>105.06199999999998</v>
      </c>
      <c r="R476" s="389">
        <f t="shared" si="246"/>
        <v>105.06199999999998</v>
      </c>
      <c r="S476" s="389">
        <f t="shared" si="246"/>
        <v>105.06199999999998</v>
      </c>
      <c r="T476" s="389">
        <f t="shared" si="240"/>
        <v>105.06199999999998</v>
      </c>
      <c r="U476" s="389">
        <f t="shared" si="242"/>
        <v>105.06199999999998</v>
      </c>
      <c r="V476" s="389">
        <f t="shared" si="245"/>
        <v>105.06199999999998</v>
      </c>
      <c r="W476" s="389">
        <f t="shared" ref="W476:W481" si="247">SUM($D476*$I476)/100</f>
        <v>105.06199999999998</v>
      </c>
      <c r="X476" s="389">
        <v>105.06</v>
      </c>
      <c r="Y476" s="389">
        <v>0</v>
      </c>
      <c r="Z476" s="389">
        <v>0</v>
      </c>
      <c r="AA476" s="389">
        <v>0</v>
      </c>
      <c r="AB476" s="389">
        <v>0</v>
      </c>
      <c r="AC476" s="389">
        <v>0</v>
      </c>
      <c r="AD476" s="389">
        <v>0</v>
      </c>
      <c r="AE476" s="389">
        <v>0</v>
      </c>
      <c r="AF476" s="389">
        <v>0</v>
      </c>
      <c r="AG476" s="389">
        <v>0</v>
      </c>
      <c r="AH476" s="389">
        <v>0</v>
      </c>
      <c r="AI476" s="389">
        <v>0</v>
      </c>
      <c r="AJ476" s="389">
        <v>0</v>
      </c>
      <c r="AK476" s="389">
        <v>0</v>
      </c>
    </row>
    <row r="477" spans="1:37" s="377" customFormat="1">
      <c r="B477" s="377" t="s">
        <v>705</v>
      </c>
      <c r="C477" s="386">
        <f>DATE(92,10,1)</f>
        <v>33878</v>
      </c>
      <c r="D477" s="377">
        <v>2843.22</v>
      </c>
      <c r="F477" s="377">
        <f t="shared" si="243"/>
        <v>2843.2179999999998</v>
      </c>
      <c r="H477" s="377">
        <f t="shared" si="238"/>
        <v>2843.2179999999998</v>
      </c>
      <c r="I477" s="388">
        <v>10</v>
      </c>
      <c r="O477" s="389">
        <f t="shared" si="246"/>
        <v>284.32199999999995</v>
      </c>
      <c r="P477" s="389">
        <f t="shared" si="246"/>
        <v>284.32199999999995</v>
      </c>
      <c r="Q477" s="389">
        <f t="shared" si="246"/>
        <v>284.32199999999995</v>
      </c>
      <c r="R477" s="389">
        <f t="shared" si="246"/>
        <v>284.32199999999995</v>
      </c>
      <c r="S477" s="389">
        <f t="shared" si="246"/>
        <v>284.32199999999995</v>
      </c>
      <c r="T477" s="389">
        <f t="shared" si="240"/>
        <v>284.32199999999995</v>
      </c>
      <c r="U477" s="389">
        <f t="shared" si="242"/>
        <v>284.32199999999995</v>
      </c>
      <c r="V477" s="389">
        <f t="shared" si="245"/>
        <v>284.32199999999995</v>
      </c>
      <c r="W477" s="389">
        <f t="shared" si="247"/>
        <v>284.32199999999995</v>
      </c>
      <c r="X477" s="389">
        <v>284.32</v>
      </c>
      <c r="Y477" s="389">
        <v>0</v>
      </c>
      <c r="Z477" s="389">
        <v>0</v>
      </c>
      <c r="AA477" s="389">
        <v>0</v>
      </c>
      <c r="AB477" s="389">
        <v>0</v>
      </c>
      <c r="AC477" s="389">
        <v>0</v>
      </c>
      <c r="AD477" s="389">
        <v>0</v>
      </c>
      <c r="AE477" s="389">
        <v>0</v>
      </c>
      <c r="AF477" s="389">
        <v>0</v>
      </c>
      <c r="AG477" s="389">
        <v>0</v>
      </c>
      <c r="AH477" s="389">
        <v>0</v>
      </c>
      <c r="AI477" s="389">
        <v>0</v>
      </c>
      <c r="AJ477" s="389">
        <v>0</v>
      </c>
      <c r="AK477" s="389">
        <v>0</v>
      </c>
    </row>
    <row r="478" spans="1:37" s="377" customFormat="1">
      <c r="B478" s="377" t="s">
        <v>704</v>
      </c>
      <c r="C478" s="386">
        <f>DATE(95,9,1)</f>
        <v>34943</v>
      </c>
      <c r="D478" s="377">
        <v>16949.91</v>
      </c>
      <c r="F478" s="377">
        <f t="shared" si="243"/>
        <v>16949.907999999999</v>
      </c>
      <c r="H478" s="377">
        <f t="shared" si="238"/>
        <v>16949.907999999999</v>
      </c>
      <c r="I478" s="388">
        <v>10</v>
      </c>
      <c r="O478" s="389"/>
      <c r="P478" s="389"/>
      <c r="Q478" s="389"/>
      <c r="R478" s="389">
        <f>SUM($D478*$I478)/100</f>
        <v>1694.991</v>
      </c>
      <c r="S478" s="389">
        <f>SUM($D478*$I478)/100</f>
        <v>1694.991</v>
      </c>
      <c r="T478" s="389">
        <f t="shared" si="240"/>
        <v>1694.991</v>
      </c>
      <c r="U478" s="389">
        <f t="shared" si="242"/>
        <v>1694.991</v>
      </c>
      <c r="V478" s="389">
        <f t="shared" si="245"/>
        <v>1694.991</v>
      </c>
      <c r="W478" s="389">
        <f t="shared" si="247"/>
        <v>1694.991</v>
      </c>
      <c r="X478" s="389">
        <v>1694.99</v>
      </c>
      <c r="Y478" s="389">
        <v>1694.99</v>
      </c>
      <c r="Z478" s="389">
        <f t="shared" ref="Z478:AA481" si="248">SUM($D478*$I478)/100</f>
        <v>1694.991</v>
      </c>
      <c r="AA478" s="389">
        <f t="shared" si="248"/>
        <v>1694.991</v>
      </c>
      <c r="AB478" s="389">
        <v>0</v>
      </c>
      <c r="AC478" s="389">
        <v>0</v>
      </c>
      <c r="AD478" s="389">
        <v>0</v>
      </c>
      <c r="AE478" s="389">
        <v>0</v>
      </c>
      <c r="AF478" s="389">
        <v>0</v>
      </c>
      <c r="AG478" s="389">
        <v>0</v>
      </c>
      <c r="AH478" s="389">
        <v>0</v>
      </c>
      <c r="AI478" s="389">
        <v>0</v>
      </c>
      <c r="AJ478" s="389">
        <v>0</v>
      </c>
      <c r="AK478" s="389">
        <v>0</v>
      </c>
    </row>
    <row r="479" spans="1:37" s="377" customFormat="1">
      <c r="B479" s="377" t="s">
        <v>703</v>
      </c>
      <c r="C479" s="386">
        <f>DATE(96,7,1)</f>
        <v>35247</v>
      </c>
      <c r="D479" s="377">
        <v>3567.75</v>
      </c>
      <c r="F479" s="377">
        <f t="shared" si="243"/>
        <v>3567.7449999999999</v>
      </c>
      <c r="H479" s="377">
        <f t="shared" si="238"/>
        <v>3567.7449999999999</v>
      </c>
      <c r="I479" s="388">
        <v>10</v>
      </c>
      <c r="O479" s="389"/>
      <c r="P479" s="389"/>
      <c r="Q479" s="389"/>
      <c r="R479" s="389">
        <v>0</v>
      </c>
      <c r="S479" s="389">
        <f>SUM($D479*$I479)/100</f>
        <v>356.77499999999998</v>
      </c>
      <c r="T479" s="389">
        <f t="shared" si="240"/>
        <v>356.77499999999998</v>
      </c>
      <c r="U479" s="389">
        <f t="shared" si="242"/>
        <v>356.77499999999998</v>
      </c>
      <c r="V479" s="389">
        <f t="shared" si="245"/>
        <v>356.77499999999998</v>
      </c>
      <c r="W479" s="389">
        <f t="shared" si="247"/>
        <v>356.77499999999998</v>
      </c>
      <c r="X479" s="389">
        <v>356.78</v>
      </c>
      <c r="Y479" s="389">
        <v>356.78</v>
      </c>
      <c r="Z479" s="389">
        <f t="shared" si="248"/>
        <v>356.77499999999998</v>
      </c>
      <c r="AA479" s="389">
        <f t="shared" si="248"/>
        <v>356.77499999999998</v>
      </c>
      <c r="AB479" s="389">
        <v>356.76</v>
      </c>
      <c r="AC479" s="389">
        <v>0</v>
      </c>
      <c r="AD479" s="389">
        <v>0</v>
      </c>
      <c r="AE479" s="389">
        <v>0</v>
      </c>
      <c r="AF479" s="389">
        <v>0</v>
      </c>
      <c r="AG479" s="389">
        <v>0</v>
      </c>
      <c r="AH479" s="389">
        <v>0</v>
      </c>
      <c r="AI479" s="389">
        <v>0</v>
      </c>
      <c r="AJ479" s="389">
        <v>0</v>
      </c>
      <c r="AK479" s="389">
        <v>0</v>
      </c>
    </row>
    <row r="480" spans="1:37" s="377" customFormat="1">
      <c r="B480" s="377" t="s">
        <v>702</v>
      </c>
      <c r="C480" s="386">
        <f>DATE(96,7,1)</f>
        <v>35247</v>
      </c>
      <c r="D480" s="377">
        <f>5592.25-3567.75</f>
        <v>2024.5</v>
      </c>
      <c r="F480" s="377">
        <f t="shared" si="243"/>
        <v>2024.5000000000002</v>
      </c>
      <c r="H480" s="377">
        <f t="shared" si="238"/>
        <v>2024.5000000000002</v>
      </c>
      <c r="I480" s="388">
        <v>10</v>
      </c>
      <c r="O480" s="389"/>
      <c r="P480" s="389"/>
      <c r="Q480" s="389"/>
      <c r="R480" s="389">
        <v>0</v>
      </c>
      <c r="S480" s="389">
        <f>SUM($D480*$I480)/100</f>
        <v>202.45</v>
      </c>
      <c r="T480" s="389">
        <f t="shared" si="240"/>
        <v>202.45</v>
      </c>
      <c r="U480" s="389">
        <f t="shared" si="242"/>
        <v>202.45</v>
      </c>
      <c r="V480" s="389">
        <f t="shared" si="245"/>
        <v>202.45</v>
      </c>
      <c r="W480" s="389">
        <f t="shared" si="247"/>
        <v>202.45</v>
      </c>
      <c r="X480" s="389">
        <v>202.45</v>
      </c>
      <c r="Y480" s="389">
        <v>202.45</v>
      </c>
      <c r="Z480" s="389">
        <f t="shared" si="248"/>
        <v>202.45</v>
      </c>
      <c r="AA480" s="389">
        <f t="shared" si="248"/>
        <v>202.45</v>
      </c>
      <c r="AB480" s="389">
        <f>SUM($D480*$I480)/100</f>
        <v>202.45</v>
      </c>
      <c r="AC480" s="389">
        <v>0</v>
      </c>
      <c r="AD480" s="389">
        <v>0</v>
      </c>
      <c r="AE480" s="389">
        <v>0</v>
      </c>
      <c r="AF480" s="389">
        <v>0</v>
      </c>
      <c r="AG480" s="389">
        <v>0</v>
      </c>
      <c r="AH480" s="389">
        <v>0</v>
      </c>
      <c r="AI480" s="389">
        <v>0</v>
      </c>
      <c r="AJ480" s="389">
        <v>0</v>
      </c>
      <c r="AK480" s="389">
        <v>0</v>
      </c>
    </row>
    <row r="481" spans="1:37" s="377" customFormat="1">
      <c r="B481" s="377" t="s">
        <v>701</v>
      </c>
      <c r="C481" s="386">
        <f>DATE(97,1,1)</f>
        <v>35431</v>
      </c>
      <c r="D481" s="377">
        <v>471.8</v>
      </c>
      <c r="F481" s="377">
        <f t="shared" si="243"/>
        <v>471.8</v>
      </c>
      <c r="H481" s="377">
        <f t="shared" si="238"/>
        <v>471.8</v>
      </c>
      <c r="I481" s="388">
        <v>10</v>
      </c>
      <c r="J481" s="388"/>
      <c r="L481" s="389"/>
      <c r="M481" s="389"/>
      <c r="N481" s="389"/>
      <c r="O481" s="389"/>
      <c r="P481" s="389"/>
      <c r="Q481" s="389"/>
      <c r="R481" s="389"/>
      <c r="S481" s="389"/>
      <c r="T481" s="389">
        <f t="shared" si="240"/>
        <v>47.18</v>
      </c>
      <c r="U481" s="389">
        <f t="shared" si="242"/>
        <v>47.18</v>
      </c>
      <c r="V481" s="389">
        <f t="shared" si="245"/>
        <v>47.18</v>
      </c>
      <c r="W481" s="389">
        <f t="shared" si="247"/>
        <v>47.18</v>
      </c>
      <c r="X481" s="389">
        <v>47.18</v>
      </c>
      <c r="Y481" s="389">
        <v>47.18</v>
      </c>
      <c r="Z481" s="389">
        <f t="shared" si="248"/>
        <v>47.18</v>
      </c>
      <c r="AA481" s="389">
        <f t="shared" si="248"/>
        <v>47.18</v>
      </c>
      <c r="AB481" s="389">
        <f>SUM($D481*$I481)/100</f>
        <v>47.18</v>
      </c>
      <c r="AC481" s="389">
        <f>471.8-424.62</f>
        <v>47.180000000000007</v>
      </c>
      <c r="AD481" s="389">
        <v>0</v>
      </c>
      <c r="AE481" s="389">
        <v>0</v>
      </c>
      <c r="AF481" s="389">
        <v>0</v>
      </c>
      <c r="AG481" s="389">
        <v>0</v>
      </c>
      <c r="AH481" s="389">
        <v>0</v>
      </c>
      <c r="AI481" s="389">
        <v>0</v>
      </c>
      <c r="AJ481" s="389">
        <v>0</v>
      </c>
      <c r="AK481" s="389">
        <v>0</v>
      </c>
    </row>
    <row r="482" spans="1:37" s="377" customFormat="1">
      <c r="B482" s="377" t="s">
        <v>700</v>
      </c>
      <c r="C482" s="386">
        <f>DATE(98,12,1)</f>
        <v>36130</v>
      </c>
      <c r="D482" s="387">
        <v>3774.36</v>
      </c>
      <c r="E482" s="387"/>
      <c r="F482" s="387">
        <f>H482</f>
        <v>3774.3620000000005</v>
      </c>
      <c r="H482" s="377">
        <f t="shared" si="238"/>
        <v>3774.3620000000005</v>
      </c>
      <c r="I482" s="388">
        <v>2</v>
      </c>
      <c r="J482" s="404">
        <v>10</v>
      </c>
      <c r="L482" s="389">
        <v>0</v>
      </c>
      <c r="M482" s="389">
        <v>0</v>
      </c>
      <c r="N482" s="389">
        <v>0</v>
      </c>
      <c r="O482" s="389">
        <v>0</v>
      </c>
      <c r="P482" s="389">
        <v>0</v>
      </c>
      <c r="Q482" s="389">
        <v>0</v>
      </c>
      <c r="R482" s="389">
        <v>0</v>
      </c>
      <c r="S482" s="389">
        <v>0</v>
      </c>
      <c r="T482" s="389">
        <v>0</v>
      </c>
      <c r="U482" s="389">
        <f>SUM($D482*$J482)/100</f>
        <v>377.43599999999998</v>
      </c>
      <c r="V482" s="389">
        <f>SUM($D482*$J482)/100</f>
        <v>377.43599999999998</v>
      </c>
      <c r="W482" s="389">
        <f>SUM($D482*$J482)/100</f>
        <v>377.43599999999998</v>
      </c>
      <c r="X482" s="389">
        <v>377.44</v>
      </c>
      <c r="Y482" s="389">
        <v>377.44</v>
      </c>
      <c r="Z482" s="389">
        <f>SUM($D482*$J482)/100</f>
        <v>377.43599999999998</v>
      </c>
      <c r="AA482" s="389">
        <f>SUM($D482*$J482)/100</f>
        <v>377.43599999999998</v>
      </c>
      <c r="AB482" s="389">
        <f>SUM($D482*$J482)/100</f>
        <v>377.43599999999998</v>
      </c>
      <c r="AC482" s="389">
        <f>SUM($D482*$J482)/100</f>
        <v>377.43599999999998</v>
      </c>
      <c r="AD482" s="389">
        <v>377.43</v>
      </c>
      <c r="AE482" s="389">
        <v>0</v>
      </c>
      <c r="AF482" s="389">
        <v>0</v>
      </c>
      <c r="AG482" s="389">
        <v>0</v>
      </c>
      <c r="AH482" s="389">
        <v>0</v>
      </c>
      <c r="AI482" s="389">
        <v>0</v>
      </c>
      <c r="AJ482" s="389">
        <v>0</v>
      </c>
      <c r="AK482" s="389">
        <v>0</v>
      </c>
    </row>
    <row r="483" spans="1:37" s="377" customFormat="1">
      <c r="B483" s="377" t="s">
        <v>699</v>
      </c>
      <c r="C483" s="386">
        <f>DATE(99,12,1)</f>
        <v>36495</v>
      </c>
      <c r="D483" s="387">
        <v>839.96</v>
      </c>
      <c r="E483" s="387"/>
      <c r="F483" s="387">
        <f>H483</f>
        <v>839.952</v>
      </c>
      <c r="H483" s="377">
        <f t="shared" si="238"/>
        <v>839.952</v>
      </c>
      <c r="I483" s="388">
        <v>10</v>
      </c>
      <c r="J483" s="404"/>
      <c r="L483" s="389"/>
      <c r="M483" s="389"/>
      <c r="N483" s="389"/>
      <c r="O483" s="389"/>
      <c r="P483" s="389"/>
      <c r="Q483" s="389"/>
      <c r="R483" s="389"/>
      <c r="S483" s="389"/>
      <c r="T483" s="389"/>
      <c r="U483" s="389"/>
      <c r="V483" s="389">
        <f t="shared" ref="V483:W485" si="249">SUM($D483*$I483)/100</f>
        <v>83.996000000000009</v>
      </c>
      <c r="W483" s="389">
        <f t="shared" si="249"/>
        <v>83.996000000000009</v>
      </c>
      <c r="X483" s="389">
        <v>84</v>
      </c>
      <c r="Y483" s="389">
        <v>84</v>
      </c>
      <c r="Z483" s="389">
        <f>SUM($D483*$I483)/100</f>
        <v>83.996000000000009</v>
      </c>
      <c r="AA483" s="389">
        <f>SUM($D483*$I483)/100</f>
        <v>83.996000000000009</v>
      </c>
      <c r="AB483" s="389">
        <f>SUM($D483*$I483)/100</f>
        <v>83.996000000000009</v>
      </c>
      <c r="AC483" s="389">
        <f>SUM($D483*$I483)/100</f>
        <v>83.996000000000009</v>
      </c>
      <c r="AD483" s="389">
        <f>SUM($D483*$I483)/100</f>
        <v>83.996000000000009</v>
      </c>
      <c r="AE483" s="389">
        <v>83.98</v>
      </c>
      <c r="AF483" s="389">
        <v>0</v>
      </c>
      <c r="AG483" s="389">
        <v>0</v>
      </c>
      <c r="AH483" s="389">
        <v>0</v>
      </c>
      <c r="AI483" s="389">
        <v>0</v>
      </c>
      <c r="AJ483" s="389">
        <v>0.01</v>
      </c>
      <c r="AK483" s="389">
        <v>0</v>
      </c>
    </row>
    <row r="484" spans="1:37" s="377" customFormat="1">
      <c r="B484" s="377" t="s">
        <v>698</v>
      </c>
      <c r="C484" s="386">
        <f>DATE(99,5,1)</f>
        <v>36281</v>
      </c>
      <c r="D484" s="387">
        <v>2018.18</v>
      </c>
      <c r="E484" s="387"/>
      <c r="F484" s="387">
        <f>H484</f>
        <v>2018.1759999999999</v>
      </c>
      <c r="H484" s="377">
        <f t="shared" si="238"/>
        <v>2018.1759999999999</v>
      </c>
      <c r="I484" s="388">
        <v>10</v>
      </c>
      <c r="J484" s="404"/>
      <c r="L484" s="389"/>
      <c r="M484" s="389"/>
      <c r="N484" s="389"/>
      <c r="O484" s="389"/>
      <c r="P484" s="389"/>
      <c r="Q484" s="389"/>
      <c r="R484" s="389"/>
      <c r="S484" s="389"/>
      <c r="T484" s="389"/>
      <c r="U484" s="389"/>
      <c r="V484" s="389">
        <f t="shared" si="249"/>
        <v>201.81799999999998</v>
      </c>
      <c r="W484" s="389">
        <f t="shared" si="249"/>
        <v>201.81799999999998</v>
      </c>
      <c r="X484" s="389">
        <v>201.82</v>
      </c>
      <c r="Y484" s="389">
        <v>201.85</v>
      </c>
      <c r="Z484" s="389">
        <v>201.77</v>
      </c>
      <c r="AA484" s="389">
        <v>201.77</v>
      </c>
      <c r="AB484" s="389">
        <v>201.77</v>
      </c>
      <c r="AC484" s="389">
        <v>201.77</v>
      </c>
      <c r="AD484" s="389">
        <v>201.77</v>
      </c>
      <c r="AE484" s="389">
        <v>202.02</v>
      </c>
      <c r="AF484" s="389">
        <v>0</v>
      </c>
      <c r="AG484" s="389">
        <v>0</v>
      </c>
      <c r="AH484" s="389">
        <v>0</v>
      </c>
      <c r="AI484" s="389">
        <v>0</v>
      </c>
      <c r="AJ484" s="389">
        <v>0</v>
      </c>
      <c r="AK484" s="389">
        <v>0</v>
      </c>
    </row>
    <row r="485" spans="1:37" s="377" customFormat="1">
      <c r="B485" s="409" t="s">
        <v>697</v>
      </c>
      <c r="C485" s="413">
        <f>DATE(93,1,1)</f>
        <v>33970</v>
      </c>
      <c r="D485" s="409">
        <v>10117.5</v>
      </c>
      <c r="E485" s="409"/>
      <c r="F485" s="409">
        <f>G485+H485</f>
        <v>10117.5</v>
      </c>
      <c r="G485" s="409"/>
      <c r="H485" s="409">
        <f t="shared" si="238"/>
        <v>10117.5</v>
      </c>
      <c r="I485" s="415">
        <v>10</v>
      </c>
      <c r="J485" s="409"/>
      <c r="K485" s="409"/>
      <c r="L485" s="409"/>
      <c r="M485" s="409"/>
      <c r="N485" s="409"/>
      <c r="O485" s="409"/>
      <c r="P485" s="417">
        <f t="shared" ref="P485:U485" si="250">SUM($D485*$I485)/100</f>
        <v>1011.75</v>
      </c>
      <c r="Q485" s="417">
        <f t="shared" si="250"/>
        <v>1011.75</v>
      </c>
      <c r="R485" s="417">
        <f t="shared" si="250"/>
        <v>1011.75</v>
      </c>
      <c r="S485" s="417">
        <f t="shared" si="250"/>
        <v>1011.75</v>
      </c>
      <c r="T485" s="417">
        <f t="shared" si="250"/>
        <v>1011.75</v>
      </c>
      <c r="U485" s="417">
        <f t="shared" si="250"/>
        <v>1011.75</v>
      </c>
      <c r="V485" s="417">
        <f t="shared" si="249"/>
        <v>1011.75</v>
      </c>
      <c r="W485" s="417">
        <f t="shared" si="249"/>
        <v>1011.75</v>
      </c>
      <c r="X485" s="417">
        <v>1011.75</v>
      </c>
      <c r="Y485" s="417">
        <v>1011.75</v>
      </c>
      <c r="Z485" s="417">
        <v>0</v>
      </c>
      <c r="AA485" s="417">
        <v>0</v>
      </c>
      <c r="AB485" s="417">
        <v>0</v>
      </c>
      <c r="AC485" s="417">
        <v>0</v>
      </c>
      <c r="AD485" s="417">
        <v>0</v>
      </c>
      <c r="AE485" s="417">
        <v>0</v>
      </c>
      <c r="AF485" s="417">
        <v>0</v>
      </c>
      <c r="AG485" s="417">
        <v>0</v>
      </c>
      <c r="AH485" s="417">
        <v>0</v>
      </c>
      <c r="AI485" s="417">
        <v>0</v>
      </c>
      <c r="AJ485" s="417">
        <v>0</v>
      </c>
      <c r="AK485" s="417">
        <v>0</v>
      </c>
    </row>
    <row r="486" spans="1:37" s="377" customFormat="1">
      <c r="B486" s="377" t="s">
        <v>696</v>
      </c>
      <c r="C486" s="378">
        <f>DATE(93,9,1)</f>
        <v>34213</v>
      </c>
      <c r="D486" s="379">
        <v>1394.62</v>
      </c>
      <c r="E486" s="379"/>
      <c r="F486" s="379">
        <f>G486+H486</f>
        <v>1394.616</v>
      </c>
      <c r="G486" s="379"/>
      <c r="H486" s="377">
        <f t="shared" si="238"/>
        <v>1394.616</v>
      </c>
      <c r="I486" s="381">
        <v>20</v>
      </c>
      <c r="J486" s="379"/>
      <c r="K486" s="379"/>
      <c r="L486" s="379"/>
      <c r="M486" s="379"/>
      <c r="N486" s="379"/>
      <c r="O486" s="379"/>
      <c r="P486" s="382">
        <f>SUM($D486*$I486)/100</f>
        <v>278.92399999999998</v>
      </c>
      <c r="Q486" s="382">
        <f>SUM($D486*$I486)/100</f>
        <v>278.92399999999998</v>
      </c>
      <c r="R486" s="382">
        <f>SUM($D486*$I486)/100</f>
        <v>278.92399999999998</v>
      </c>
      <c r="S486" s="382">
        <f>SUM($D486*$I486)/100+0.01</f>
        <v>278.93399999999997</v>
      </c>
      <c r="T486" s="382">
        <v>278.91000000000003</v>
      </c>
      <c r="U486" s="379">
        <v>0</v>
      </c>
      <c r="V486" s="379">
        <v>0</v>
      </c>
      <c r="W486" s="379">
        <v>0</v>
      </c>
      <c r="X486" s="379">
        <v>0</v>
      </c>
      <c r="Y486" s="379">
        <v>0</v>
      </c>
      <c r="Z486" s="379">
        <v>0</v>
      </c>
      <c r="AA486" s="379">
        <v>0</v>
      </c>
      <c r="AB486" s="379">
        <v>0</v>
      </c>
      <c r="AC486" s="379">
        <v>0</v>
      </c>
      <c r="AD486" s="379">
        <v>0</v>
      </c>
      <c r="AE486" s="379">
        <v>0</v>
      </c>
      <c r="AF486" s="379">
        <v>0</v>
      </c>
      <c r="AG486" s="379">
        <v>0</v>
      </c>
      <c r="AH486" s="379">
        <v>0</v>
      </c>
      <c r="AI486" s="379">
        <v>0</v>
      </c>
      <c r="AJ486" s="379">
        <v>0</v>
      </c>
      <c r="AK486" s="379">
        <v>0</v>
      </c>
    </row>
    <row r="487" spans="1:37" s="377" customFormat="1">
      <c r="C487" s="386"/>
      <c r="D487" s="377">
        <f>SUM(D466:D486)</f>
        <v>77990.86</v>
      </c>
      <c r="E487" s="387">
        <f>F487+AJ487</f>
        <v>77990.841</v>
      </c>
      <c r="F487" s="377">
        <f>SUM(F466:F486)</f>
        <v>77990.831000000006</v>
      </c>
      <c r="G487" s="377">
        <f>SUM(G466:G486)</f>
        <v>7163</v>
      </c>
      <c r="H487" s="377">
        <f t="shared" si="238"/>
        <v>70627.830999999991</v>
      </c>
      <c r="I487" s="388"/>
      <c r="J487" s="388"/>
      <c r="K487" s="377">
        <f t="shared" ref="K487:AK487" si="251">SUM(K466:K486)</f>
        <v>1324.0704999999998</v>
      </c>
      <c r="L487" s="377">
        <f t="shared" si="251"/>
        <v>2343.5564999999997</v>
      </c>
      <c r="M487" s="377">
        <f t="shared" si="251"/>
        <v>2515.9720000000002</v>
      </c>
      <c r="N487" s="377">
        <f t="shared" si="251"/>
        <v>2338.8440000000001</v>
      </c>
      <c r="O487" s="377">
        <f t="shared" si="251"/>
        <v>2728.2280000000001</v>
      </c>
      <c r="P487" s="377">
        <f t="shared" si="251"/>
        <v>4018.902</v>
      </c>
      <c r="Q487" s="377">
        <f t="shared" si="251"/>
        <v>4018.902</v>
      </c>
      <c r="R487" s="377">
        <f t="shared" si="251"/>
        <v>5713.893</v>
      </c>
      <c r="S487" s="377">
        <f t="shared" si="251"/>
        <v>6273.1279999999997</v>
      </c>
      <c r="T487" s="377">
        <f t="shared" si="251"/>
        <v>6320.2879999999996</v>
      </c>
      <c r="U487" s="377">
        <f t="shared" si="251"/>
        <v>6049.7389999999996</v>
      </c>
      <c r="V487" s="377">
        <f t="shared" si="251"/>
        <v>5116.0619999999999</v>
      </c>
      <c r="W487" s="377">
        <f t="shared" si="251"/>
        <v>4665.66</v>
      </c>
      <c r="X487" s="377">
        <f t="shared" si="251"/>
        <v>4365.7800000000007</v>
      </c>
      <c r="Y487" s="377">
        <f t="shared" si="251"/>
        <v>3976.4399999999996</v>
      </c>
      <c r="Z487" s="377">
        <f t="shared" si="251"/>
        <v>2964.598</v>
      </c>
      <c r="AA487" s="377">
        <f t="shared" si="251"/>
        <v>2964.598</v>
      </c>
      <c r="AB487" s="377">
        <f t="shared" si="251"/>
        <v>1269.5920000000001</v>
      </c>
      <c r="AC487" s="377">
        <f t="shared" si="251"/>
        <v>710.38199999999995</v>
      </c>
      <c r="AD487" s="377">
        <f t="shared" si="251"/>
        <v>663.19600000000003</v>
      </c>
      <c r="AE487" s="377">
        <f t="shared" si="251"/>
        <v>286</v>
      </c>
      <c r="AF487" s="377">
        <f t="shared" si="251"/>
        <v>0</v>
      </c>
      <c r="AG487" s="377">
        <f t="shared" si="251"/>
        <v>0</v>
      </c>
      <c r="AH487" s="377">
        <f t="shared" si="251"/>
        <v>0</v>
      </c>
      <c r="AI487" s="377">
        <f t="shared" si="251"/>
        <v>0</v>
      </c>
      <c r="AJ487" s="377">
        <f t="shared" si="251"/>
        <v>0.01</v>
      </c>
      <c r="AK487" s="377">
        <f t="shared" si="251"/>
        <v>0</v>
      </c>
    </row>
    <row r="488" spans="1:37" s="377" customFormat="1">
      <c r="A488" s="410" t="s">
        <v>695</v>
      </c>
      <c r="B488" s="410"/>
      <c r="C488" s="386"/>
      <c r="E488" s="387"/>
      <c r="I488" s="388"/>
      <c r="J488" s="388"/>
    </row>
    <row r="489" spans="1:37" s="377" customFormat="1">
      <c r="B489" s="377" t="s">
        <v>694</v>
      </c>
      <c r="C489" s="386">
        <f>DATE(2009,7,1)</f>
        <v>39995</v>
      </c>
      <c r="D489" s="387">
        <v>1279494</v>
      </c>
      <c r="E489" s="387"/>
      <c r="F489" s="377">
        <f>G489+H489</f>
        <v>153539.28</v>
      </c>
      <c r="G489" s="387"/>
      <c r="H489" s="377">
        <f>SUM(K489:AI489)</f>
        <v>153539.28</v>
      </c>
      <c r="I489" s="388"/>
      <c r="J489" s="388">
        <v>3</v>
      </c>
      <c r="K489" s="389">
        <f t="shared" ref="K489:T490" si="252">SUM($D489*$I489)/100</f>
        <v>0</v>
      </c>
      <c r="L489" s="389">
        <f t="shared" si="252"/>
        <v>0</v>
      </c>
      <c r="M489" s="389">
        <f t="shared" si="252"/>
        <v>0</v>
      </c>
      <c r="N489" s="389">
        <f t="shared" si="252"/>
        <v>0</v>
      </c>
      <c r="O489" s="389">
        <f t="shared" si="252"/>
        <v>0</v>
      </c>
      <c r="P489" s="389">
        <f t="shared" si="252"/>
        <v>0</v>
      </c>
      <c r="Q489" s="389">
        <f t="shared" si="252"/>
        <v>0</v>
      </c>
      <c r="R489" s="389">
        <f t="shared" si="252"/>
        <v>0</v>
      </c>
      <c r="S489" s="389">
        <f t="shared" si="252"/>
        <v>0</v>
      </c>
      <c r="T489" s="389">
        <f t="shared" si="252"/>
        <v>0</v>
      </c>
      <c r="U489" s="389">
        <f t="shared" ref="U489:AE490" si="253">SUM($D489*$I489)/100</f>
        <v>0</v>
      </c>
      <c r="V489" s="389">
        <f t="shared" si="253"/>
        <v>0</v>
      </c>
      <c r="W489" s="389">
        <f t="shared" si="253"/>
        <v>0</v>
      </c>
      <c r="X489" s="389">
        <f t="shared" si="253"/>
        <v>0</v>
      </c>
      <c r="Y489" s="389">
        <f t="shared" si="253"/>
        <v>0</v>
      </c>
      <c r="Z489" s="389">
        <f t="shared" si="253"/>
        <v>0</v>
      </c>
      <c r="AA489" s="389">
        <f t="shared" si="253"/>
        <v>0</v>
      </c>
      <c r="AB489" s="389">
        <f t="shared" si="253"/>
        <v>0</v>
      </c>
      <c r="AC489" s="389">
        <f t="shared" si="253"/>
        <v>0</v>
      </c>
      <c r="AD489" s="389">
        <f t="shared" si="253"/>
        <v>0</v>
      </c>
      <c r="AE489" s="389">
        <f t="shared" si="253"/>
        <v>0</v>
      </c>
      <c r="AF489" s="389">
        <f t="shared" ref="AF489:AK489" si="254">SUM($D489*$J489)/100</f>
        <v>38384.82</v>
      </c>
      <c r="AG489" s="389">
        <f t="shared" si="254"/>
        <v>38384.82</v>
      </c>
      <c r="AH489" s="389">
        <f t="shared" si="254"/>
        <v>38384.82</v>
      </c>
      <c r="AI489" s="389">
        <f t="shared" si="254"/>
        <v>38384.82</v>
      </c>
      <c r="AJ489" s="389">
        <f t="shared" si="254"/>
        <v>38384.82</v>
      </c>
      <c r="AK489" s="389">
        <f t="shared" si="254"/>
        <v>38384.82</v>
      </c>
    </row>
    <row r="490" spans="1:37" s="377" customFormat="1">
      <c r="B490" s="377" t="s">
        <v>693</v>
      </c>
      <c r="C490" s="378">
        <f>DATE(2009,7,1)</f>
        <v>39995</v>
      </c>
      <c r="D490" s="380">
        <f>1900883.46-49314.1+37327.6</f>
        <v>1888896.96</v>
      </c>
      <c r="E490" s="380"/>
      <c r="F490" s="379">
        <f>G490+H490</f>
        <v>225907.42879999999</v>
      </c>
      <c r="G490" s="380"/>
      <c r="H490" s="377">
        <f>SUM(K490:AI490)</f>
        <v>225907.42879999999</v>
      </c>
      <c r="I490" s="381"/>
      <c r="J490" s="381">
        <v>3</v>
      </c>
      <c r="K490" s="382">
        <f t="shared" si="252"/>
        <v>0</v>
      </c>
      <c r="L490" s="382">
        <f t="shared" si="252"/>
        <v>0</v>
      </c>
      <c r="M490" s="382">
        <f t="shared" si="252"/>
        <v>0</v>
      </c>
      <c r="N490" s="382">
        <f t="shared" si="252"/>
        <v>0</v>
      </c>
      <c r="O490" s="382">
        <f t="shared" si="252"/>
        <v>0</v>
      </c>
      <c r="P490" s="382">
        <f t="shared" si="252"/>
        <v>0</v>
      </c>
      <c r="Q490" s="382">
        <f t="shared" si="252"/>
        <v>0</v>
      </c>
      <c r="R490" s="382">
        <f t="shared" si="252"/>
        <v>0</v>
      </c>
      <c r="S490" s="382">
        <f t="shared" si="252"/>
        <v>0</v>
      </c>
      <c r="T490" s="382">
        <f t="shared" si="252"/>
        <v>0</v>
      </c>
      <c r="U490" s="382">
        <f t="shared" si="253"/>
        <v>0</v>
      </c>
      <c r="V490" s="382">
        <f t="shared" si="253"/>
        <v>0</v>
      </c>
      <c r="W490" s="382">
        <f t="shared" si="253"/>
        <v>0</v>
      </c>
      <c r="X490" s="382">
        <f t="shared" si="253"/>
        <v>0</v>
      </c>
      <c r="Y490" s="382">
        <f t="shared" si="253"/>
        <v>0</v>
      </c>
      <c r="Z490" s="382">
        <f t="shared" si="253"/>
        <v>0</v>
      </c>
      <c r="AA490" s="382">
        <f t="shared" si="253"/>
        <v>0</v>
      </c>
      <c r="AB490" s="382">
        <f t="shared" si="253"/>
        <v>0</v>
      </c>
      <c r="AC490" s="382">
        <f t="shared" si="253"/>
        <v>0</v>
      </c>
      <c r="AD490" s="382">
        <f t="shared" si="253"/>
        <v>0</v>
      </c>
      <c r="AE490" s="382">
        <f t="shared" si="253"/>
        <v>0</v>
      </c>
      <c r="AF490" s="382">
        <v>57026.5</v>
      </c>
      <c r="AG490" s="382">
        <v>55547.08</v>
      </c>
      <c r="AH490" s="382">
        <f>SUM($D490*$J490)/100</f>
        <v>56666.908799999997</v>
      </c>
      <c r="AI490" s="382">
        <v>56666.94</v>
      </c>
      <c r="AJ490" s="382">
        <v>56666.94</v>
      </c>
      <c r="AK490" s="382">
        <v>56666.94</v>
      </c>
    </row>
    <row r="491" spans="1:37" s="377" customFormat="1">
      <c r="C491" s="386"/>
      <c r="D491" s="387">
        <f>SUM(D489:D490)</f>
        <v>3168390.96</v>
      </c>
      <c r="E491" s="387">
        <f>F491+AJ491</f>
        <v>474498.46880000003</v>
      </c>
      <c r="F491" s="377">
        <f>SUM(F489:F490)</f>
        <v>379446.70880000002</v>
      </c>
      <c r="G491" s="387"/>
      <c r="H491" s="377">
        <f>SUM(K491:AI491)</f>
        <v>379446.70880000002</v>
      </c>
      <c r="I491" s="388"/>
      <c r="J491" s="388"/>
      <c r="K491" s="389"/>
      <c r="L491" s="389"/>
      <c r="M491" s="389"/>
      <c r="N491" s="389"/>
      <c r="O491" s="389"/>
      <c r="P491" s="389"/>
      <c r="Q491" s="389"/>
      <c r="R491" s="389"/>
      <c r="S491" s="389"/>
      <c r="T491" s="389"/>
      <c r="U491" s="389"/>
      <c r="V491" s="389"/>
      <c r="W491" s="389"/>
      <c r="X491" s="389"/>
      <c r="Y491" s="389"/>
      <c r="Z491" s="389"/>
      <c r="AA491" s="389"/>
      <c r="AB491" s="389"/>
      <c r="AC491" s="389"/>
      <c r="AD491" s="389"/>
      <c r="AE491" s="389"/>
      <c r="AF491" s="389">
        <f t="shared" ref="AF491:AK491" si="255">SUM(AF489:AF490)</f>
        <v>95411.32</v>
      </c>
      <c r="AG491" s="389">
        <f t="shared" si="255"/>
        <v>93931.9</v>
      </c>
      <c r="AH491" s="389">
        <f t="shared" si="255"/>
        <v>95051.728799999997</v>
      </c>
      <c r="AI491" s="389">
        <f t="shared" si="255"/>
        <v>95051.760000000009</v>
      </c>
      <c r="AJ491" s="389">
        <f t="shared" si="255"/>
        <v>95051.760000000009</v>
      </c>
      <c r="AK491" s="389">
        <f t="shared" si="255"/>
        <v>95051.760000000009</v>
      </c>
    </row>
    <row r="492" spans="1:37" s="377" customFormat="1">
      <c r="C492" s="386"/>
      <c r="D492" s="387"/>
      <c r="E492" s="387"/>
      <c r="G492" s="387"/>
      <c r="I492" s="388"/>
      <c r="J492" s="388"/>
      <c r="K492" s="389"/>
      <c r="L492" s="389"/>
      <c r="M492" s="389"/>
      <c r="N492" s="389"/>
      <c r="O492" s="389"/>
      <c r="P492" s="389"/>
      <c r="Q492" s="389"/>
      <c r="R492" s="389"/>
      <c r="S492" s="389"/>
      <c r="T492" s="389"/>
      <c r="U492" s="389"/>
      <c r="V492" s="389"/>
      <c r="W492" s="389"/>
      <c r="X492" s="389"/>
      <c r="Y492" s="389"/>
      <c r="Z492" s="389"/>
      <c r="AA492" s="389"/>
      <c r="AB492" s="389"/>
      <c r="AC492" s="389"/>
      <c r="AD492" s="389"/>
      <c r="AE492" s="389"/>
      <c r="AF492" s="389"/>
      <c r="AG492" s="389"/>
    </row>
    <row r="493" spans="1:37" s="377" customFormat="1">
      <c r="A493" s="390" t="s">
        <v>692</v>
      </c>
      <c r="B493" s="390"/>
      <c r="C493" s="386">
        <f>DATE(88,1,1)</f>
        <v>32143</v>
      </c>
      <c r="D493" s="387">
        <v>1999</v>
      </c>
      <c r="E493" s="387"/>
      <c r="F493" s="377">
        <f t="shared" ref="F493:F499" si="256">G493+H493</f>
        <v>0</v>
      </c>
      <c r="G493" s="387"/>
      <c r="H493" s="377">
        <f t="shared" ref="H493:H500" si="257">SUM(K493:AI493)</f>
        <v>0</v>
      </c>
      <c r="I493" s="388"/>
      <c r="J493" s="388"/>
      <c r="K493" s="389">
        <f t="shared" ref="K493:T494" si="258">SUM($D493*$I493)/100</f>
        <v>0</v>
      </c>
      <c r="L493" s="389">
        <f t="shared" si="258"/>
        <v>0</v>
      </c>
      <c r="M493" s="389">
        <f t="shared" si="258"/>
        <v>0</v>
      </c>
      <c r="N493" s="389">
        <f t="shared" si="258"/>
        <v>0</v>
      </c>
      <c r="O493" s="389">
        <f t="shared" si="258"/>
        <v>0</v>
      </c>
      <c r="P493" s="389">
        <f t="shared" si="258"/>
        <v>0</v>
      </c>
      <c r="Q493" s="389">
        <f t="shared" si="258"/>
        <v>0</v>
      </c>
      <c r="R493" s="389">
        <f t="shared" si="258"/>
        <v>0</v>
      </c>
      <c r="S493" s="389">
        <f t="shared" si="258"/>
        <v>0</v>
      </c>
      <c r="T493" s="389">
        <f t="shared" si="258"/>
        <v>0</v>
      </c>
      <c r="U493" s="389">
        <f t="shared" ref="U493:AD494" si="259">SUM($D493*$I493)/100</f>
        <v>0</v>
      </c>
      <c r="V493" s="389">
        <f t="shared" si="259"/>
        <v>0</v>
      </c>
      <c r="W493" s="389">
        <f t="shared" si="259"/>
        <v>0</v>
      </c>
      <c r="X493" s="389">
        <f t="shared" si="259"/>
        <v>0</v>
      </c>
      <c r="Y493" s="389">
        <f t="shared" si="259"/>
        <v>0</v>
      </c>
      <c r="Z493" s="389">
        <f t="shared" si="259"/>
        <v>0</v>
      </c>
      <c r="AA493" s="389">
        <f t="shared" si="259"/>
        <v>0</v>
      </c>
      <c r="AB493" s="389">
        <f t="shared" si="259"/>
        <v>0</v>
      </c>
      <c r="AC493" s="389">
        <f t="shared" si="259"/>
        <v>0</v>
      </c>
      <c r="AD493" s="389">
        <f t="shared" si="259"/>
        <v>0</v>
      </c>
      <c r="AE493" s="389">
        <f t="shared" ref="AE493:AK494" si="260">SUM($D493*$I493)/100</f>
        <v>0</v>
      </c>
      <c r="AF493" s="389">
        <f t="shared" si="260"/>
        <v>0</v>
      </c>
      <c r="AG493" s="389">
        <f t="shared" si="260"/>
        <v>0</v>
      </c>
      <c r="AH493" s="389">
        <f t="shared" si="260"/>
        <v>0</v>
      </c>
      <c r="AI493" s="389">
        <f t="shared" si="260"/>
        <v>0</v>
      </c>
      <c r="AJ493" s="389">
        <f t="shared" si="260"/>
        <v>0</v>
      </c>
      <c r="AK493" s="389">
        <f t="shared" si="260"/>
        <v>0</v>
      </c>
    </row>
    <row r="494" spans="1:37" s="377" customFormat="1">
      <c r="B494" s="377" t="s">
        <v>684</v>
      </c>
      <c r="C494" s="386">
        <f>DATE(88,1,1)</f>
        <v>32143</v>
      </c>
      <c r="D494" s="387">
        <v>2000</v>
      </c>
      <c r="E494" s="387"/>
      <c r="F494" s="377">
        <f t="shared" si="256"/>
        <v>0</v>
      </c>
      <c r="G494" s="387"/>
      <c r="H494" s="377">
        <f t="shared" si="257"/>
        <v>0</v>
      </c>
      <c r="I494" s="388"/>
      <c r="J494" s="388"/>
      <c r="K494" s="389">
        <f t="shared" si="258"/>
        <v>0</v>
      </c>
      <c r="L494" s="389">
        <f t="shared" si="258"/>
        <v>0</v>
      </c>
      <c r="M494" s="389">
        <f t="shared" si="258"/>
        <v>0</v>
      </c>
      <c r="N494" s="389">
        <f t="shared" si="258"/>
        <v>0</v>
      </c>
      <c r="O494" s="389">
        <f t="shared" si="258"/>
        <v>0</v>
      </c>
      <c r="P494" s="389">
        <f t="shared" si="258"/>
        <v>0</v>
      </c>
      <c r="Q494" s="389">
        <f t="shared" si="258"/>
        <v>0</v>
      </c>
      <c r="R494" s="389">
        <f t="shared" si="258"/>
        <v>0</v>
      </c>
      <c r="S494" s="389">
        <f t="shared" si="258"/>
        <v>0</v>
      </c>
      <c r="T494" s="389">
        <f t="shared" si="258"/>
        <v>0</v>
      </c>
      <c r="U494" s="389">
        <f t="shared" si="259"/>
        <v>0</v>
      </c>
      <c r="V494" s="389">
        <f t="shared" si="259"/>
        <v>0</v>
      </c>
      <c r="W494" s="389">
        <f t="shared" si="259"/>
        <v>0</v>
      </c>
      <c r="X494" s="389">
        <f t="shared" si="259"/>
        <v>0</v>
      </c>
      <c r="Y494" s="389">
        <f t="shared" si="259"/>
        <v>0</v>
      </c>
      <c r="Z494" s="389">
        <f t="shared" si="259"/>
        <v>0</v>
      </c>
      <c r="AA494" s="389">
        <f t="shared" si="259"/>
        <v>0</v>
      </c>
      <c r="AB494" s="389">
        <f t="shared" si="259"/>
        <v>0</v>
      </c>
      <c r="AC494" s="389">
        <f t="shared" si="259"/>
        <v>0</v>
      </c>
      <c r="AD494" s="389">
        <f t="shared" si="259"/>
        <v>0</v>
      </c>
      <c r="AE494" s="389">
        <f t="shared" si="260"/>
        <v>0</v>
      </c>
      <c r="AF494" s="389">
        <f t="shared" si="260"/>
        <v>0</v>
      </c>
      <c r="AG494" s="389">
        <f t="shared" si="260"/>
        <v>0</v>
      </c>
      <c r="AH494" s="389">
        <f t="shared" si="260"/>
        <v>0</v>
      </c>
      <c r="AI494" s="389">
        <f t="shared" si="260"/>
        <v>0</v>
      </c>
      <c r="AJ494" s="389">
        <f t="shared" si="260"/>
        <v>0</v>
      </c>
      <c r="AK494" s="389">
        <f t="shared" si="260"/>
        <v>0</v>
      </c>
    </row>
    <row r="495" spans="1:37" s="377" customFormat="1">
      <c r="B495" s="377" t="s">
        <v>691</v>
      </c>
      <c r="C495" s="386">
        <f>DATE(88,1,1)</f>
        <v>32143</v>
      </c>
      <c r="D495" s="387">
        <v>21090.15</v>
      </c>
      <c r="E495" s="387"/>
      <c r="F495" s="377">
        <f t="shared" si="256"/>
        <v>21090.151249999999</v>
      </c>
      <c r="G495" s="387"/>
      <c r="H495" s="377">
        <f t="shared" si="257"/>
        <v>21090.151249999999</v>
      </c>
      <c r="I495" s="388">
        <v>5</v>
      </c>
      <c r="J495" s="388"/>
      <c r="K495" s="389">
        <f>SUM($D495*$I495)/100/2</f>
        <v>527.25374999999997</v>
      </c>
      <c r="L495" s="389">
        <f t="shared" ref="L495:W495" si="261">SUM($D495*$I495)/100</f>
        <v>1054.5074999999999</v>
      </c>
      <c r="M495" s="389">
        <f t="shared" si="261"/>
        <v>1054.5074999999999</v>
      </c>
      <c r="N495" s="389">
        <f t="shared" si="261"/>
        <v>1054.5074999999999</v>
      </c>
      <c r="O495" s="389">
        <f t="shared" si="261"/>
        <v>1054.5074999999999</v>
      </c>
      <c r="P495" s="389">
        <f t="shared" si="261"/>
        <v>1054.5074999999999</v>
      </c>
      <c r="Q495" s="389">
        <f t="shared" si="261"/>
        <v>1054.5074999999999</v>
      </c>
      <c r="R495" s="389">
        <f t="shared" si="261"/>
        <v>1054.5074999999999</v>
      </c>
      <c r="S495" s="389">
        <f t="shared" si="261"/>
        <v>1054.5074999999999</v>
      </c>
      <c r="T495" s="389">
        <f t="shared" si="261"/>
        <v>1054.5074999999999</v>
      </c>
      <c r="U495" s="389">
        <f t="shared" si="261"/>
        <v>1054.5074999999999</v>
      </c>
      <c r="V495" s="389">
        <f t="shared" si="261"/>
        <v>1054.5074999999999</v>
      </c>
      <c r="W495" s="389">
        <f t="shared" si="261"/>
        <v>1054.5074999999999</v>
      </c>
      <c r="X495" s="389">
        <v>1054.51</v>
      </c>
      <c r="Y495" s="389">
        <v>1054.51</v>
      </c>
      <c r="Z495" s="389">
        <f>SUM($D495*$I495)/100</f>
        <v>1054.5074999999999</v>
      </c>
      <c r="AA495" s="389">
        <f>SUM($D495*$I495)/100</f>
        <v>1054.5074999999999</v>
      </c>
      <c r="AB495" s="389">
        <f>SUM($D495*$I495)/100</f>
        <v>1054.5074999999999</v>
      </c>
      <c r="AC495" s="389">
        <f>SUM($D495*$I495)/100</f>
        <v>1054.5074999999999</v>
      </c>
      <c r="AD495" s="389">
        <f>SUM($D495*$I495)/100</f>
        <v>1054.5074999999999</v>
      </c>
      <c r="AE495" s="389">
        <v>527.24</v>
      </c>
      <c r="AF495" s="389">
        <v>0.01</v>
      </c>
      <c r="AG495" s="389">
        <v>0</v>
      </c>
      <c r="AH495" s="389">
        <v>0</v>
      </c>
      <c r="AI495" s="389">
        <v>0</v>
      </c>
      <c r="AJ495" s="389">
        <v>0</v>
      </c>
      <c r="AK495" s="389">
        <v>0</v>
      </c>
    </row>
    <row r="496" spans="1:37" s="377" customFormat="1">
      <c r="B496" s="377" t="s">
        <v>690</v>
      </c>
      <c r="C496" s="386">
        <f>DATE(88,1,1)</f>
        <v>32143</v>
      </c>
      <c r="D496" s="387">
        <v>10298.17</v>
      </c>
      <c r="E496" s="387"/>
      <c r="F496" s="377">
        <f t="shared" si="256"/>
        <v>10298.1715</v>
      </c>
      <c r="G496" s="387"/>
      <c r="H496" s="377">
        <f t="shared" si="257"/>
        <v>10298.1715</v>
      </c>
      <c r="I496" s="388">
        <v>10</v>
      </c>
      <c r="J496" s="388"/>
      <c r="K496" s="389">
        <f>SUM($D496*$I496)/100/2</f>
        <v>514.9085</v>
      </c>
      <c r="L496" s="389">
        <f t="shared" ref="L496:T497" si="262">SUM($D496*$I496)/100</f>
        <v>1029.817</v>
      </c>
      <c r="M496" s="389">
        <f t="shared" si="262"/>
        <v>1029.817</v>
      </c>
      <c r="N496" s="389">
        <f t="shared" si="262"/>
        <v>1029.817</v>
      </c>
      <c r="O496" s="389">
        <f t="shared" si="262"/>
        <v>1029.817</v>
      </c>
      <c r="P496" s="389">
        <f t="shared" si="262"/>
        <v>1029.817</v>
      </c>
      <c r="Q496" s="389">
        <f t="shared" si="262"/>
        <v>1029.817</v>
      </c>
      <c r="R496" s="389">
        <f t="shared" si="262"/>
        <v>1029.817</v>
      </c>
      <c r="S496" s="389">
        <f t="shared" si="262"/>
        <v>1029.817</v>
      </c>
      <c r="T496" s="389">
        <f t="shared" si="262"/>
        <v>1029.817</v>
      </c>
      <c r="U496" s="389">
        <f>10298.17-9783.26</f>
        <v>514.90999999999985</v>
      </c>
      <c r="V496" s="389">
        <v>0</v>
      </c>
      <c r="W496" s="389">
        <v>0</v>
      </c>
      <c r="X496" s="389">
        <v>0</v>
      </c>
      <c r="Y496" s="389">
        <v>0</v>
      </c>
      <c r="Z496" s="389">
        <v>0</v>
      </c>
      <c r="AA496" s="389">
        <v>0</v>
      </c>
      <c r="AB496" s="389">
        <v>0</v>
      </c>
      <c r="AC496" s="389">
        <v>0</v>
      </c>
      <c r="AD496" s="389">
        <v>0</v>
      </c>
      <c r="AE496" s="389">
        <v>0</v>
      </c>
      <c r="AF496" s="389">
        <v>0</v>
      </c>
      <c r="AG496" s="389">
        <v>0</v>
      </c>
      <c r="AH496" s="389">
        <v>0</v>
      </c>
      <c r="AI496" s="389">
        <v>0</v>
      </c>
      <c r="AJ496" s="389">
        <v>0</v>
      </c>
      <c r="AK496" s="389">
        <v>0</v>
      </c>
    </row>
    <row r="497" spans="1:37" s="377" customFormat="1">
      <c r="B497" s="377" t="s">
        <v>689</v>
      </c>
      <c r="C497" s="386">
        <f>DATE(88,1,1)</f>
        <v>32143</v>
      </c>
      <c r="D497" s="387">
        <v>8210.39</v>
      </c>
      <c r="E497" s="387"/>
      <c r="F497" s="377">
        <f t="shared" si="256"/>
        <v>8210.3912500000024</v>
      </c>
      <c r="G497" s="387"/>
      <c r="H497" s="377">
        <f t="shared" si="257"/>
        <v>8210.3912500000024</v>
      </c>
      <c r="I497" s="388">
        <v>7</v>
      </c>
      <c r="J497" s="388"/>
      <c r="K497" s="389">
        <f>SUM($D497*$I497)/100/2</f>
        <v>287.36365000000001</v>
      </c>
      <c r="L497" s="389">
        <f t="shared" si="262"/>
        <v>574.72730000000001</v>
      </c>
      <c r="M497" s="389">
        <f t="shared" si="262"/>
        <v>574.72730000000001</v>
      </c>
      <c r="N497" s="389">
        <f t="shared" si="262"/>
        <v>574.72730000000001</v>
      </c>
      <c r="O497" s="389">
        <f t="shared" si="262"/>
        <v>574.72730000000001</v>
      </c>
      <c r="P497" s="389">
        <f t="shared" si="262"/>
        <v>574.72730000000001</v>
      </c>
      <c r="Q497" s="389">
        <f t="shared" si="262"/>
        <v>574.72730000000001</v>
      </c>
      <c r="R497" s="389">
        <f t="shared" si="262"/>
        <v>574.72730000000001</v>
      </c>
      <c r="S497" s="389">
        <f t="shared" si="262"/>
        <v>574.72730000000001</v>
      </c>
      <c r="T497" s="389">
        <f t="shared" si="262"/>
        <v>574.72730000000001</v>
      </c>
      <c r="U497" s="389">
        <f t="shared" ref="U497:W498" si="263">SUM($D497*$I497)/100</f>
        <v>574.72730000000001</v>
      </c>
      <c r="V497" s="389">
        <f t="shared" si="263"/>
        <v>574.72730000000001</v>
      </c>
      <c r="W497" s="389">
        <f t="shared" si="263"/>
        <v>574.72730000000001</v>
      </c>
      <c r="X497" s="389">
        <v>574.73</v>
      </c>
      <c r="Y497" s="389">
        <v>451.57</v>
      </c>
      <c r="Z497" s="389">
        <v>0</v>
      </c>
      <c r="AA497" s="389">
        <v>0</v>
      </c>
      <c r="AB497" s="389">
        <v>0</v>
      </c>
      <c r="AC497" s="389">
        <v>0</v>
      </c>
      <c r="AD497" s="389">
        <v>0</v>
      </c>
      <c r="AE497" s="389">
        <v>0</v>
      </c>
      <c r="AF497" s="389">
        <v>0</v>
      </c>
      <c r="AG497" s="389">
        <v>0</v>
      </c>
      <c r="AH497" s="389">
        <v>0</v>
      </c>
      <c r="AI497" s="389">
        <v>0</v>
      </c>
      <c r="AJ497" s="389">
        <v>0</v>
      </c>
      <c r="AK497" s="389">
        <v>0</v>
      </c>
    </row>
    <row r="498" spans="1:37" s="377" customFormat="1">
      <c r="B498" s="377" t="s">
        <v>688</v>
      </c>
      <c r="C498" s="386">
        <f>DATE(89,1,1)</f>
        <v>32509</v>
      </c>
      <c r="D498" s="387">
        <v>48929.440000000002</v>
      </c>
      <c r="E498" s="387"/>
      <c r="F498" s="377">
        <f t="shared" si="256"/>
        <v>48929.438000000024</v>
      </c>
      <c r="G498" s="387"/>
      <c r="H498" s="377">
        <f t="shared" si="257"/>
        <v>48929.438000000024</v>
      </c>
      <c r="I498" s="388">
        <v>5</v>
      </c>
      <c r="J498" s="388"/>
      <c r="K498" s="389">
        <v>0</v>
      </c>
      <c r="L498" s="389">
        <f>SUM($D498*$I498)/100/2</f>
        <v>1223.2360000000001</v>
      </c>
      <c r="M498" s="389">
        <f t="shared" ref="M498:T498" si="264">SUM($D498*$I498)/100</f>
        <v>2446.4720000000002</v>
      </c>
      <c r="N498" s="389">
        <f t="shared" si="264"/>
        <v>2446.4720000000002</v>
      </c>
      <c r="O498" s="389">
        <f t="shared" si="264"/>
        <v>2446.4720000000002</v>
      </c>
      <c r="P498" s="389">
        <f t="shared" si="264"/>
        <v>2446.4720000000002</v>
      </c>
      <c r="Q498" s="389">
        <f t="shared" si="264"/>
        <v>2446.4720000000002</v>
      </c>
      <c r="R498" s="389">
        <f t="shared" si="264"/>
        <v>2446.4720000000002</v>
      </c>
      <c r="S498" s="389">
        <f t="shared" si="264"/>
        <v>2446.4720000000002</v>
      </c>
      <c r="T498" s="389">
        <f t="shared" si="264"/>
        <v>2446.4720000000002</v>
      </c>
      <c r="U498" s="389">
        <f t="shared" si="263"/>
        <v>2446.4720000000002</v>
      </c>
      <c r="V498" s="389">
        <f t="shared" si="263"/>
        <v>2446.4720000000002</v>
      </c>
      <c r="W498" s="389">
        <f t="shared" si="263"/>
        <v>2446.4720000000002</v>
      </c>
      <c r="X498" s="389">
        <v>2446.4699999999998</v>
      </c>
      <c r="Y498" s="389">
        <v>2446.48</v>
      </c>
      <c r="Z498" s="389">
        <v>2446.37</v>
      </c>
      <c r="AA498" s="389">
        <v>2446.37</v>
      </c>
      <c r="AB498" s="389">
        <v>2446.37</v>
      </c>
      <c r="AC498" s="389">
        <v>2446.37</v>
      </c>
      <c r="AD498" s="389">
        <v>2446.37</v>
      </c>
      <c r="AE498" s="389">
        <v>2446.37</v>
      </c>
      <c r="AF498" s="389">
        <v>1223.8399999999999</v>
      </c>
      <c r="AG498" s="389">
        <v>0</v>
      </c>
      <c r="AH498" s="389">
        <v>0</v>
      </c>
      <c r="AI498" s="389">
        <v>0</v>
      </c>
      <c r="AJ498" s="389">
        <v>0</v>
      </c>
      <c r="AK498" s="389">
        <v>0</v>
      </c>
    </row>
    <row r="499" spans="1:37" s="377" customFormat="1">
      <c r="B499" s="377" t="s">
        <v>687</v>
      </c>
      <c r="C499" s="378">
        <f>DATE(90,1,1)</f>
        <v>32874</v>
      </c>
      <c r="D499" s="380">
        <v>3520.69</v>
      </c>
      <c r="E499" s="380"/>
      <c r="F499" s="379">
        <f t="shared" si="256"/>
        <v>3520.6914999999999</v>
      </c>
      <c r="G499" s="380"/>
      <c r="H499" s="377">
        <f t="shared" si="257"/>
        <v>3520.6914999999999</v>
      </c>
      <c r="I499" s="381">
        <v>10</v>
      </c>
      <c r="J499" s="381"/>
      <c r="K499" s="382">
        <v>0</v>
      </c>
      <c r="L499" s="382">
        <v>0</v>
      </c>
      <c r="M499" s="382">
        <f>SUM($D499*$I499)/100/2</f>
        <v>176.03450000000001</v>
      </c>
      <c r="N499" s="382">
        <f>SUM($D499*$I499)/100</f>
        <v>352.06900000000002</v>
      </c>
      <c r="O499" s="382">
        <f>SUM($D499*$I499)/100</f>
        <v>352.06900000000002</v>
      </c>
      <c r="P499" s="382">
        <f>SUM($D499*$I499)/100</f>
        <v>352.06900000000002</v>
      </c>
      <c r="Q499" s="382">
        <v>352.04</v>
      </c>
      <c r="R499" s="382">
        <v>352.04</v>
      </c>
      <c r="S499" s="382">
        <v>352.04</v>
      </c>
      <c r="T499" s="382">
        <v>352.04</v>
      </c>
      <c r="U499" s="382">
        <v>352.04</v>
      </c>
      <c r="V499" s="382">
        <v>352.04</v>
      </c>
      <c r="W499" s="382">
        <v>176.21</v>
      </c>
      <c r="X499" s="382">
        <v>0</v>
      </c>
      <c r="Y499" s="382">
        <v>0</v>
      </c>
      <c r="Z499" s="382">
        <v>0</v>
      </c>
      <c r="AA499" s="382">
        <v>0</v>
      </c>
      <c r="AB499" s="382">
        <v>0</v>
      </c>
      <c r="AC499" s="382">
        <v>0</v>
      </c>
      <c r="AD499" s="382">
        <v>0</v>
      </c>
      <c r="AE499" s="382">
        <v>0</v>
      </c>
      <c r="AF499" s="382">
        <v>0</v>
      </c>
      <c r="AG499" s="382">
        <v>0</v>
      </c>
      <c r="AH499" s="382">
        <v>0</v>
      </c>
      <c r="AI499" s="382">
        <v>0</v>
      </c>
      <c r="AJ499" s="382">
        <v>0</v>
      </c>
      <c r="AK499" s="382">
        <v>0</v>
      </c>
    </row>
    <row r="500" spans="1:37" s="377" customFormat="1">
      <c r="D500" s="377">
        <f>SUM(D494:D499)</f>
        <v>94048.84</v>
      </c>
      <c r="E500" s="387">
        <f>F500+AJ500</f>
        <v>92048.843500000032</v>
      </c>
      <c r="F500" s="377">
        <f>SUM(F494:F499)</f>
        <v>92048.843500000032</v>
      </c>
      <c r="G500" s="377">
        <f>SUM(G494:G499)</f>
        <v>0</v>
      </c>
      <c r="H500" s="377">
        <f t="shared" si="257"/>
        <v>92048.843500000017</v>
      </c>
      <c r="I500" s="388"/>
      <c r="J500" s="388"/>
      <c r="K500" s="377">
        <f t="shared" ref="K500:AK500" si="265">SUM(K494:K499)</f>
        <v>1329.5258999999999</v>
      </c>
      <c r="L500" s="377">
        <f t="shared" si="265"/>
        <v>3882.2878000000001</v>
      </c>
      <c r="M500" s="377">
        <f t="shared" si="265"/>
        <v>5281.5582999999997</v>
      </c>
      <c r="N500" s="377">
        <f t="shared" si="265"/>
        <v>5457.5928000000004</v>
      </c>
      <c r="O500" s="377">
        <f t="shared" si="265"/>
        <v>5457.5928000000004</v>
      </c>
      <c r="P500" s="377">
        <f t="shared" si="265"/>
        <v>5457.5928000000004</v>
      </c>
      <c r="Q500" s="377">
        <f t="shared" si="265"/>
        <v>5457.5637999999999</v>
      </c>
      <c r="R500" s="377">
        <f t="shared" si="265"/>
        <v>5457.5637999999999</v>
      </c>
      <c r="S500" s="377">
        <f t="shared" si="265"/>
        <v>5457.5637999999999</v>
      </c>
      <c r="T500" s="377">
        <f t="shared" si="265"/>
        <v>5457.5637999999999</v>
      </c>
      <c r="U500" s="377">
        <f t="shared" si="265"/>
        <v>4942.6567999999997</v>
      </c>
      <c r="V500" s="377">
        <f t="shared" si="265"/>
        <v>4427.7467999999999</v>
      </c>
      <c r="W500" s="377">
        <f t="shared" si="265"/>
        <v>4251.9168</v>
      </c>
      <c r="X500" s="377">
        <f t="shared" si="265"/>
        <v>4075.71</v>
      </c>
      <c r="Y500" s="377">
        <f t="shared" si="265"/>
        <v>3952.56</v>
      </c>
      <c r="Z500" s="377">
        <f t="shared" si="265"/>
        <v>3500.8774999999996</v>
      </c>
      <c r="AA500" s="377">
        <f t="shared" si="265"/>
        <v>3500.8774999999996</v>
      </c>
      <c r="AB500" s="377">
        <f t="shared" si="265"/>
        <v>3500.8774999999996</v>
      </c>
      <c r="AC500" s="377">
        <f t="shared" si="265"/>
        <v>3500.8774999999996</v>
      </c>
      <c r="AD500" s="377">
        <f t="shared" si="265"/>
        <v>3500.8774999999996</v>
      </c>
      <c r="AE500" s="377">
        <f t="shared" si="265"/>
        <v>2973.6099999999997</v>
      </c>
      <c r="AF500" s="377">
        <f t="shared" si="265"/>
        <v>1223.8499999999999</v>
      </c>
      <c r="AG500" s="377">
        <f t="shared" si="265"/>
        <v>0</v>
      </c>
      <c r="AH500" s="377">
        <f t="shared" si="265"/>
        <v>0</v>
      </c>
      <c r="AI500" s="377">
        <f t="shared" si="265"/>
        <v>0</v>
      </c>
      <c r="AJ500" s="377">
        <f t="shared" si="265"/>
        <v>0</v>
      </c>
      <c r="AK500" s="377">
        <f t="shared" si="265"/>
        <v>0</v>
      </c>
    </row>
    <row r="501" spans="1:37" s="377" customFormat="1">
      <c r="A501" s="377" t="s">
        <v>686</v>
      </c>
      <c r="I501" s="388"/>
      <c r="J501" s="388"/>
    </row>
    <row r="502" spans="1:37" s="377" customFormat="1">
      <c r="A502" s="377" t="s">
        <v>685</v>
      </c>
      <c r="D502" s="387"/>
      <c r="E502" s="387"/>
      <c r="G502" s="387"/>
      <c r="I502" s="388"/>
      <c r="J502" s="388"/>
      <c r="K502" s="389"/>
      <c r="L502" s="389"/>
      <c r="M502" s="389"/>
      <c r="N502" s="389"/>
      <c r="O502" s="389"/>
      <c r="P502" s="389"/>
    </row>
    <row r="503" spans="1:37" s="377" customFormat="1">
      <c r="B503" s="377" t="s">
        <v>684</v>
      </c>
      <c r="C503" s="386">
        <f>DATE(76,1,1)</f>
        <v>27760</v>
      </c>
      <c r="D503" s="387">
        <v>37940.730000000003</v>
      </c>
      <c r="E503" s="387"/>
      <c r="G503" s="387"/>
      <c r="H503" s="377">
        <f>SUM(K503:AE503)</f>
        <v>0</v>
      </c>
      <c r="I503" s="388"/>
      <c r="J503" s="388"/>
      <c r="K503" s="389"/>
      <c r="L503" s="389"/>
      <c r="M503" s="389"/>
      <c r="N503" s="389"/>
      <c r="O503" s="389"/>
      <c r="P503" s="389"/>
    </row>
    <row r="504" spans="1:37" s="377" customFormat="1">
      <c r="D504" s="387"/>
      <c r="E504" s="387"/>
      <c r="G504" s="387"/>
      <c r="I504" s="388"/>
      <c r="J504" s="388"/>
      <c r="K504" s="389"/>
      <c r="L504" s="389"/>
      <c r="M504" s="389"/>
      <c r="N504" s="389"/>
      <c r="O504" s="389"/>
      <c r="P504" s="389"/>
    </row>
    <row r="505" spans="1:37" s="377" customFormat="1">
      <c r="D505" s="387"/>
      <c r="E505" s="387"/>
      <c r="G505" s="387"/>
      <c r="I505" s="388"/>
      <c r="J505" s="388"/>
      <c r="K505" s="389"/>
      <c r="L505" s="389"/>
      <c r="M505" s="389"/>
      <c r="N505" s="389"/>
      <c r="O505" s="389"/>
      <c r="P505" s="389"/>
    </row>
    <row r="506" spans="1:37" s="377" customFormat="1">
      <c r="A506" s="377" t="s">
        <v>683</v>
      </c>
      <c r="D506" s="387"/>
      <c r="E506" s="387"/>
      <c r="G506" s="387"/>
      <c r="I506" s="388"/>
      <c r="J506" s="388"/>
      <c r="K506" s="389"/>
      <c r="L506" s="389"/>
      <c r="M506" s="389"/>
      <c r="N506" s="389"/>
      <c r="O506" s="389"/>
      <c r="P506" s="389"/>
    </row>
    <row r="507" spans="1:37" s="377" customFormat="1">
      <c r="B507" s="377" t="s">
        <v>682</v>
      </c>
      <c r="D507" s="387">
        <v>80091.22</v>
      </c>
      <c r="E507" s="387"/>
      <c r="F507" s="377">
        <f>G507+H507</f>
        <v>79690.687200000015</v>
      </c>
      <c r="G507" s="387">
        <v>39645.050000000003</v>
      </c>
      <c r="H507" s="377">
        <f t="shared" ref="H507:H512" si="266">SUM(K507:AI507)</f>
        <v>40045.637200000012</v>
      </c>
      <c r="I507" s="388">
        <v>2</v>
      </c>
      <c r="J507" s="388"/>
      <c r="K507" s="389">
        <f t="shared" ref="K507:R507" si="267">SUM($D507*$I507)/100</f>
        <v>1601.8244</v>
      </c>
      <c r="L507" s="389">
        <f t="shared" si="267"/>
        <v>1601.8244</v>
      </c>
      <c r="M507" s="389">
        <f t="shared" si="267"/>
        <v>1601.8244</v>
      </c>
      <c r="N507" s="389">
        <f t="shared" si="267"/>
        <v>1601.8244</v>
      </c>
      <c r="O507" s="389">
        <f t="shared" si="267"/>
        <v>1601.8244</v>
      </c>
      <c r="P507" s="389">
        <f t="shared" si="267"/>
        <v>1601.8244</v>
      </c>
      <c r="Q507" s="389">
        <f t="shared" si="267"/>
        <v>1601.8244</v>
      </c>
      <c r="R507" s="389">
        <f t="shared" si="267"/>
        <v>1601.8244</v>
      </c>
      <c r="S507" s="389">
        <f>SUM($D507*$I507)/100-0.02</f>
        <v>1601.8044</v>
      </c>
      <c r="T507" s="389">
        <f>SUM($D507*$I507)/100</f>
        <v>1601.8244</v>
      </c>
      <c r="U507" s="389">
        <f>SUM($D507*$I507)/100</f>
        <v>1601.8244</v>
      </c>
      <c r="V507" s="389">
        <f>SUM($D507*$I507)/100</f>
        <v>1601.8244</v>
      </c>
      <c r="W507" s="389">
        <f>SUM($D507*$I507)/100</f>
        <v>1601.8244</v>
      </c>
      <c r="X507" s="389">
        <v>1601.82</v>
      </c>
      <c r="Y507" s="389">
        <v>1601.82</v>
      </c>
      <c r="Z507" s="389">
        <v>1601.83</v>
      </c>
      <c r="AA507" s="389">
        <v>1601.83</v>
      </c>
      <c r="AB507" s="389">
        <v>1601.83</v>
      </c>
      <c r="AC507" s="389">
        <v>1601.83</v>
      </c>
      <c r="AD507" s="389">
        <v>1601.83</v>
      </c>
      <c r="AE507" s="389">
        <v>1601.83</v>
      </c>
      <c r="AF507" s="389">
        <v>1601.83</v>
      </c>
      <c r="AG507" s="389">
        <v>1601.83</v>
      </c>
      <c r="AH507" s="389">
        <v>1601.83</v>
      </c>
      <c r="AI507" s="389">
        <v>1601.83</v>
      </c>
      <c r="AJ507" s="389">
        <v>400.53</v>
      </c>
      <c r="AK507" s="389">
        <v>0</v>
      </c>
    </row>
    <row r="508" spans="1:37" s="377" customFormat="1">
      <c r="B508" s="377" t="s">
        <v>679</v>
      </c>
      <c r="C508" s="386">
        <f>DATE(98,1,1)</f>
        <v>35796</v>
      </c>
      <c r="D508" s="387">
        <v>220529.52</v>
      </c>
      <c r="E508" s="387"/>
      <c r="F508" s="387">
        <f>H508</f>
        <v>220529.516</v>
      </c>
      <c r="H508" s="377">
        <f t="shared" si="266"/>
        <v>220529.516</v>
      </c>
      <c r="I508" s="388">
        <v>2</v>
      </c>
      <c r="J508" s="404">
        <v>8</v>
      </c>
      <c r="L508" s="389">
        <v>0</v>
      </c>
      <c r="M508" s="389">
        <v>0</v>
      </c>
      <c r="N508" s="389">
        <v>0</v>
      </c>
      <c r="O508" s="389">
        <v>0</v>
      </c>
      <c r="P508" s="389">
        <v>0</v>
      </c>
      <c r="Q508" s="389">
        <v>0</v>
      </c>
      <c r="R508" s="389">
        <v>0</v>
      </c>
      <c r="S508" s="389">
        <v>0</v>
      </c>
      <c r="T508" s="389">
        <v>0</v>
      </c>
      <c r="U508" s="389">
        <f>SUM($D508*$J508)/100</f>
        <v>17642.3616</v>
      </c>
      <c r="V508" s="389">
        <f>SUM($D508*$J508)/100</f>
        <v>17642.3616</v>
      </c>
      <c r="W508" s="389">
        <f>SUM($D508*$J508)/100</f>
        <v>17642.3616</v>
      </c>
      <c r="X508" s="389">
        <v>17642.36</v>
      </c>
      <c r="Y508" s="389">
        <v>17642.36</v>
      </c>
      <c r="Z508" s="389">
        <f t="shared" ref="Z508:AF509" si="268">SUM($D508*$J508)/100</f>
        <v>17642.3616</v>
      </c>
      <c r="AA508" s="389">
        <f t="shared" si="268"/>
        <v>17642.3616</v>
      </c>
      <c r="AB508" s="389">
        <f t="shared" si="268"/>
        <v>17642.3616</v>
      </c>
      <c r="AC508" s="389">
        <f t="shared" si="268"/>
        <v>17642.3616</v>
      </c>
      <c r="AD508" s="389">
        <f t="shared" si="268"/>
        <v>17642.3616</v>
      </c>
      <c r="AE508" s="389">
        <f t="shared" si="268"/>
        <v>17642.3616</v>
      </c>
      <c r="AF508" s="389">
        <f t="shared" si="268"/>
        <v>17642.3616</v>
      </c>
      <c r="AG508" s="389">
        <v>8821.18</v>
      </c>
      <c r="AH508" s="389">
        <v>0</v>
      </c>
      <c r="AI508" s="389">
        <v>0</v>
      </c>
      <c r="AJ508" s="389">
        <v>0</v>
      </c>
      <c r="AK508" s="389">
        <v>0</v>
      </c>
    </row>
    <row r="509" spans="1:37" s="377" customFormat="1">
      <c r="B509" s="377" t="s">
        <v>681</v>
      </c>
      <c r="C509" s="386">
        <f>DATE(2001,7,1)</f>
        <v>37073</v>
      </c>
      <c r="D509" s="387">
        <v>10164.61</v>
      </c>
      <c r="E509" s="387"/>
      <c r="F509" s="387">
        <f>H509</f>
        <v>9758.0280000000002</v>
      </c>
      <c r="H509" s="377">
        <f t="shared" si="266"/>
        <v>9758.0280000000002</v>
      </c>
      <c r="I509" s="388">
        <v>2</v>
      </c>
      <c r="J509" s="404">
        <v>8</v>
      </c>
      <c r="L509" s="389">
        <v>0</v>
      </c>
      <c r="M509" s="389">
        <v>0</v>
      </c>
      <c r="N509" s="389">
        <v>0</v>
      </c>
      <c r="O509" s="389">
        <v>0</v>
      </c>
      <c r="P509" s="389">
        <v>0</v>
      </c>
      <c r="Q509" s="389">
        <v>0</v>
      </c>
      <c r="R509" s="389">
        <v>0</v>
      </c>
      <c r="S509" s="389">
        <v>0</v>
      </c>
      <c r="T509" s="389">
        <v>0</v>
      </c>
      <c r="U509" s="389">
        <v>0</v>
      </c>
      <c r="V509" s="389">
        <v>0</v>
      </c>
      <c r="W509" s="389">
        <v>0</v>
      </c>
      <c r="X509" s="389">
        <v>813.17</v>
      </c>
      <c r="Y509" s="389">
        <v>813.17</v>
      </c>
      <c r="Z509" s="389">
        <f t="shared" si="268"/>
        <v>813.16880000000003</v>
      </c>
      <c r="AA509" s="389">
        <f t="shared" si="268"/>
        <v>813.16880000000003</v>
      </c>
      <c r="AB509" s="389">
        <f t="shared" si="268"/>
        <v>813.16880000000003</v>
      </c>
      <c r="AC509" s="389">
        <f t="shared" si="268"/>
        <v>813.16880000000003</v>
      </c>
      <c r="AD509" s="389">
        <f t="shared" si="268"/>
        <v>813.16880000000003</v>
      </c>
      <c r="AE509" s="389">
        <f t="shared" si="268"/>
        <v>813.16880000000003</v>
      </c>
      <c r="AF509" s="389">
        <f t="shared" si="268"/>
        <v>813.16880000000003</v>
      </c>
      <c r="AG509" s="389">
        <f>SUM($D509*$J509)/100</f>
        <v>813.16880000000003</v>
      </c>
      <c r="AH509" s="389">
        <f>SUM($D509*$J509)/100</f>
        <v>813.16880000000003</v>
      </c>
      <c r="AI509" s="389">
        <f>SUM($D509*$J509)/100</f>
        <v>813.16880000000003</v>
      </c>
      <c r="AJ509" s="389">
        <v>406.58</v>
      </c>
      <c r="AK509" s="389">
        <v>0</v>
      </c>
    </row>
    <row r="510" spans="1:37" s="377" customFormat="1">
      <c r="B510" s="377" t="s">
        <v>680</v>
      </c>
      <c r="C510" s="386">
        <f>DATE(2004,12,1)</f>
        <v>38322</v>
      </c>
      <c r="D510" s="387">
        <v>13791.45</v>
      </c>
      <c r="E510" s="387"/>
      <c r="F510" s="387">
        <f>H510</f>
        <v>6206.1525000000011</v>
      </c>
      <c r="H510" s="377">
        <f t="shared" si="266"/>
        <v>6206.1525000000011</v>
      </c>
      <c r="I510" s="388">
        <v>5</v>
      </c>
      <c r="J510" s="404"/>
      <c r="L510" s="389">
        <v>0</v>
      </c>
      <c r="M510" s="389">
        <v>0</v>
      </c>
      <c r="N510" s="389">
        <v>0</v>
      </c>
      <c r="O510" s="389">
        <v>0</v>
      </c>
      <c r="P510" s="389">
        <v>0</v>
      </c>
      <c r="Q510" s="389">
        <v>0</v>
      </c>
      <c r="R510" s="389">
        <v>0</v>
      </c>
      <c r="S510" s="389">
        <v>0</v>
      </c>
      <c r="T510" s="389">
        <v>0</v>
      </c>
      <c r="U510" s="389">
        <v>0</v>
      </c>
      <c r="V510" s="389">
        <v>0</v>
      </c>
      <c r="W510" s="389">
        <v>0</v>
      </c>
      <c r="X510" s="389">
        <v>0</v>
      </c>
      <c r="Y510" s="389">
        <v>0</v>
      </c>
      <c r="Z510" s="389">
        <v>0</v>
      </c>
      <c r="AA510" s="389">
        <f t="shared" ref="AA510:AK510" si="269">SUM($D510*$I510)/100</f>
        <v>689.57249999999999</v>
      </c>
      <c r="AB510" s="389">
        <f t="shared" si="269"/>
        <v>689.57249999999999</v>
      </c>
      <c r="AC510" s="389">
        <f t="shared" si="269"/>
        <v>689.57249999999999</v>
      </c>
      <c r="AD510" s="389">
        <f t="shared" si="269"/>
        <v>689.57249999999999</v>
      </c>
      <c r="AE510" s="389">
        <f t="shared" si="269"/>
        <v>689.57249999999999</v>
      </c>
      <c r="AF510" s="389">
        <f t="shared" si="269"/>
        <v>689.57249999999999</v>
      </c>
      <c r="AG510" s="389">
        <f t="shared" si="269"/>
        <v>689.57249999999999</v>
      </c>
      <c r="AH510" s="389">
        <f t="shared" si="269"/>
        <v>689.57249999999999</v>
      </c>
      <c r="AI510" s="389">
        <f t="shared" si="269"/>
        <v>689.57249999999999</v>
      </c>
      <c r="AJ510" s="389">
        <f t="shared" si="269"/>
        <v>689.57249999999999</v>
      </c>
      <c r="AK510" s="389">
        <f t="shared" si="269"/>
        <v>689.57249999999999</v>
      </c>
    </row>
    <row r="511" spans="1:37" s="377" customFormat="1">
      <c r="B511" s="377" t="s">
        <v>679</v>
      </c>
      <c r="C511" s="386">
        <f>DATE(72,1,1)</f>
        <v>26299</v>
      </c>
      <c r="D511" s="387">
        <v>13106.65</v>
      </c>
      <c r="E511" s="387"/>
      <c r="F511" s="377">
        <f>G511+H511</f>
        <v>13106.650000000001</v>
      </c>
      <c r="G511" s="387">
        <v>10157.620000000001</v>
      </c>
      <c r="H511" s="377">
        <f t="shared" si="266"/>
        <v>2949.0299999999997</v>
      </c>
      <c r="I511" s="388">
        <v>5</v>
      </c>
      <c r="J511" s="388"/>
      <c r="K511" s="389">
        <f>SUM($D511*$I511)/100</f>
        <v>655.33249999999998</v>
      </c>
      <c r="L511" s="389">
        <f>SUM($D511*$I511)/100</f>
        <v>655.33249999999998</v>
      </c>
      <c r="M511" s="389">
        <f>SUM($D511*$I511)/100</f>
        <v>655.33249999999998</v>
      </c>
      <c r="N511" s="389">
        <f>SUM($D511*$I511)/100</f>
        <v>655.33249999999998</v>
      </c>
      <c r="O511" s="389">
        <v>327.7</v>
      </c>
      <c r="P511" s="389">
        <v>0</v>
      </c>
      <c r="Q511" s="389">
        <v>0</v>
      </c>
      <c r="R511" s="389">
        <v>0</v>
      </c>
      <c r="S511" s="389">
        <v>0</v>
      </c>
      <c r="T511" s="389">
        <v>0</v>
      </c>
      <c r="U511" s="389">
        <v>0</v>
      </c>
      <c r="V511" s="389">
        <v>0</v>
      </c>
      <c r="W511" s="389">
        <v>0</v>
      </c>
      <c r="X511" s="389">
        <v>0</v>
      </c>
      <c r="Y511" s="389">
        <v>0</v>
      </c>
      <c r="Z511" s="389">
        <v>0</v>
      </c>
      <c r="AA511" s="389">
        <v>0</v>
      </c>
      <c r="AB511" s="389">
        <v>0</v>
      </c>
      <c r="AC511" s="389">
        <v>0</v>
      </c>
      <c r="AD511" s="389">
        <v>0</v>
      </c>
      <c r="AE511" s="389">
        <v>0</v>
      </c>
      <c r="AF511" s="389">
        <v>0</v>
      </c>
      <c r="AG511" s="389">
        <v>0</v>
      </c>
      <c r="AH511" s="389">
        <v>0</v>
      </c>
      <c r="AI511" s="389">
        <v>0</v>
      </c>
      <c r="AJ511" s="389">
        <v>0</v>
      </c>
      <c r="AK511" s="389">
        <v>0</v>
      </c>
    </row>
    <row r="512" spans="1:37" s="377" customFormat="1">
      <c r="B512" s="377" t="s">
        <v>679</v>
      </c>
      <c r="C512" s="386">
        <f>DATE(88,1,1)</f>
        <v>32143</v>
      </c>
      <c r="D512" s="387">
        <v>47217.56</v>
      </c>
      <c r="E512" s="387"/>
      <c r="F512" s="377">
        <v>47217.56</v>
      </c>
      <c r="G512" s="387"/>
      <c r="H512" s="377">
        <f t="shared" si="266"/>
        <v>28330.533000000007</v>
      </c>
      <c r="I512" s="388">
        <v>5</v>
      </c>
      <c r="J512" s="388"/>
      <c r="K512" s="389">
        <f>SUM($D512*$I512)/100/2</f>
        <v>1180.4389999999999</v>
      </c>
      <c r="L512" s="389">
        <f t="shared" ref="L512:S512" si="270">SUM($D512*$I512)/100</f>
        <v>2360.8779999999997</v>
      </c>
      <c r="M512" s="389">
        <f t="shared" si="270"/>
        <v>2360.8779999999997</v>
      </c>
      <c r="N512" s="389">
        <f t="shared" si="270"/>
        <v>2360.8779999999997</v>
      </c>
      <c r="O512" s="389">
        <f t="shared" si="270"/>
        <v>2360.8779999999997</v>
      </c>
      <c r="P512" s="389">
        <f t="shared" si="270"/>
        <v>2360.8779999999997</v>
      </c>
      <c r="Q512" s="389">
        <f t="shared" si="270"/>
        <v>2360.8779999999997</v>
      </c>
      <c r="R512" s="389">
        <f t="shared" si="270"/>
        <v>2360.8779999999997</v>
      </c>
      <c r="S512" s="389">
        <f t="shared" si="270"/>
        <v>2360.8779999999997</v>
      </c>
      <c r="T512" s="389">
        <f>SUM($D512*$J512)/100</f>
        <v>0</v>
      </c>
      <c r="U512" s="389">
        <f>SUM($D512*$J512)/100</f>
        <v>0</v>
      </c>
      <c r="V512" s="389">
        <f>SUM($D512*$J512)/100</f>
        <v>0</v>
      </c>
      <c r="W512" s="389">
        <f>SUM($D512*$J512)/100</f>
        <v>0</v>
      </c>
      <c r="X512" s="389">
        <v>4721.76</v>
      </c>
      <c r="Y512" s="389">
        <v>3541.31</v>
      </c>
      <c r="Z512" s="389">
        <v>0</v>
      </c>
      <c r="AA512" s="389">
        <v>0</v>
      </c>
      <c r="AB512" s="389">
        <v>0</v>
      </c>
      <c r="AC512" s="389">
        <v>0</v>
      </c>
      <c r="AD512" s="389">
        <v>0</v>
      </c>
      <c r="AE512" s="389">
        <v>0</v>
      </c>
      <c r="AF512" s="389">
        <v>0</v>
      </c>
      <c r="AG512" s="389">
        <v>0</v>
      </c>
      <c r="AH512" s="389">
        <v>0</v>
      </c>
      <c r="AI512" s="389">
        <v>0</v>
      </c>
      <c r="AJ512" s="389">
        <v>0</v>
      </c>
      <c r="AK512" s="389">
        <v>0</v>
      </c>
    </row>
    <row r="513" spans="1:37" s="377" customFormat="1">
      <c r="B513" s="377" t="s">
        <v>678</v>
      </c>
      <c r="C513" s="386">
        <f>DATE(92,5,1)</f>
        <v>33725</v>
      </c>
      <c r="D513" s="377">
        <v>5360.57</v>
      </c>
      <c r="F513" s="377">
        <v>5360.57</v>
      </c>
      <c r="G513" s="387"/>
      <c r="H513" s="377">
        <v>5360.57</v>
      </c>
      <c r="I513" s="388">
        <v>10</v>
      </c>
      <c r="O513" s="389">
        <v>268.02999999999997</v>
      </c>
      <c r="P513" s="389">
        <v>268.02999999999997</v>
      </c>
      <c r="Q513" s="389">
        <f>SUM($D513*$I513)/100</f>
        <v>536.05700000000002</v>
      </c>
      <c r="R513" s="389">
        <f>SUM($D513*$I513)/100</f>
        <v>536.05700000000002</v>
      </c>
      <c r="S513" s="389">
        <f>SUM($D513*$I513)/100</f>
        <v>536.05700000000002</v>
      </c>
      <c r="T513" s="389">
        <f>SUM($D513*$I513)/100</f>
        <v>536.05700000000002</v>
      </c>
      <c r="U513" s="389">
        <f>SUM($D513*$J513)/100</f>
        <v>0</v>
      </c>
      <c r="V513" s="389">
        <f>SUM($D513*$J513)/100</f>
        <v>0</v>
      </c>
      <c r="W513" s="389">
        <f>5360.57-2680.29-1072.11-1072.11</f>
        <v>536.05999999999995</v>
      </c>
      <c r="X513" s="389">
        <v>-0.01</v>
      </c>
      <c r="Y513" s="389">
        <v>0</v>
      </c>
      <c r="Z513" s="389">
        <v>0</v>
      </c>
      <c r="AA513" s="389">
        <v>0</v>
      </c>
      <c r="AB513" s="389">
        <v>0</v>
      </c>
      <c r="AC513" s="389">
        <v>0</v>
      </c>
      <c r="AD513" s="389">
        <v>0</v>
      </c>
      <c r="AE513" s="389">
        <v>0</v>
      </c>
      <c r="AF513" s="389">
        <v>0</v>
      </c>
      <c r="AG513" s="389">
        <v>0</v>
      </c>
      <c r="AH513" s="389">
        <v>0</v>
      </c>
      <c r="AI513" s="389">
        <v>0</v>
      </c>
      <c r="AJ513" s="389">
        <v>0</v>
      </c>
      <c r="AK513" s="389">
        <v>0</v>
      </c>
    </row>
    <row r="514" spans="1:37" s="377" customFormat="1">
      <c r="B514" s="377" t="s">
        <v>677</v>
      </c>
      <c r="C514" s="386">
        <f>DATE(10,6,1)</f>
        <v>3805</v>
      </c>
      <c r="D514" s="377">
        <v>18079.38</v>
      </c>
      <c r="F514" s="377">
        <f>G514+H514</f>
        <v>3796.7366000000002</v>
      </c>
      <c r="G514" s="387"/>
      <c r="H514" s="377">
        <f>SUM(K514:AI514)</f>
        <v>3796.7366000000002</v>
      </c>
      <c r="I514" s="388">
        <v>7</v>
      </c>
      <c r="O514" s="389">
        <v>0</v>
      </c>
      <c r="P514" s="389"/>
      <c r="Q514" s="389"/>
      <c r="R514" s="389"/>
      <c r="S514" s="389"/>
      <c r="T514" s="389"/>
      <c r="U514" s="389">
        <f>SUM($D514*$J514)/100</f>
        <v>0</v>
      </c>
      <c r="V514" s="389">
        <f>SUM($D514*$J514)/100</f>
        <v>0</v>
      </c>
      <c r="W514" s="389"/>
      <c r="X514" s="389"/>
      <c r="Y514" s="389">
        <v>0</v>
      </c>
      <c r="Z514" s="389">
        <v>0</v>
      </c>
      <c r="AA514" s="389">
        <v>0</v>
      </c>
      <c r="AB514" s="389">
        <v>0</v>
      </c>
      <c r="AC514" s="389">
        <v>0</v>
      </c>
      <c r="AD514" s="389">
        <v>0</v>
      </c>
      <c r="AE514" s="389">
        <v>0</v>
      </c>
      <c r="AF514" s="389">
        <v>0</v>
      </c>
      <c r="AG514" s="389">
        <f>SUM($D514*$I514)/100</f>
        <v>1265.5566000000001</v>
      </c>
      <c r="AH514" s="389">
        <v>1265.5899999999999</v>
      </c>
      <c r="AI514" s="389">
        <v>1265.5899999999999</v>
      </c>
      <c r="AJ514" s="389">
        <v>1265.5899999999999</v>
      </c>
      <c r="AK514" s="389">
        <v>1265.5899999999999</v>
      </c>
    </row>
    <row r="515" spans="1:37" s="377" customFormat="1">
      <c r="D515" s="377">
        <f>SUM(D507:D514)</f>
        <v>408340.96</v>
      </c>
      <c r="E515" s="387">
        <f>F515+AJ515</f>
        <v>388428.17280000006</v>
      </c>
      <c r="F515" s="377">
        <f>SUM(F507:F514)</f>
        <v>385665.90030000004</v>
      </c>
      <c r="G515" s="377">
        <f>SUM(G507:G514)</f>
        <v>49802.670000000006</v>
      </c>
      <c r="H515" s="377">
        <f>SUM(K515:AI515)</f>
        <v>314831.97129999992</v>
      </c>
      <c r="I515" s="388"/>
      <c r="J515" s="388"/>
      <c r="K515" s="377">
        <f t="shared" ref="K515:AK515" si="271">SUM(K507:K514)</f>
        <v>3437.5958999999998</v>
      </c>
      <c r="L515" s="377">
        <f t="shared" si="271"/>
        <v>4618.0348999999997</v>
      </c>
      <c r="M515" s="377">
        <f t="shared" si="271"/>
        <v>4618.0348999999997</v>
      </c>
      <c r="N515" s="377">
        <f t="shared" si="271"/>
        <v>4618.0348999999997</v>
      </c>
      <c r="O515" s="377">
        <f t="shared" si="271"/>
        <v>4558.4323999999997</v>
      </c>
      <c r="P515" s="377">
        <f t="shared" si="271"/>
        <v>4230.7323999999999</v>
      </c>
      <c r="Q515" s="377">
        <f t="shared" si="271"/>
        <v>4498.7593999999999</v>
      </c>
      <c r="R515" s="377">
        <f t="shared" si="271"/>
        <v>4498.7593999999999</v>
      </c>
      <c r="S515" s="377">
        <f t="shared" si="271"/>
        <v>4498.7393999999995</v>
      </c>
      <c r="T515" s="377">
        <f t="shared" si="271"/>
        <v>2137.8814000000002</v>
      </c>
      <c r="U515" s="377">
        <f t="shared" si="271"/>
        <v>19244.186000000002</v>
      </c>
      <c r="V515" s="377">
        <f t="shared" si="271"/>
        <v>19244.186000000002</v>
      </c>
      <c r="W515" s="377">
        <f t="shared" si="271"/>
        <v>19780.246000000003</v>
      </c>
      <c r="X515" s="377">
        <f t="shared" si="271"/>
        <v>24779.100000000002</v>
      </c>
      <c r="Y515" s="377">
        <f t="shared" si="271"/>
        <v>23598.66</v>
      </c>
      <c r="Z515" s="377">
        <f t="shared" si="271"/>
        <v>20057.360399999998</v>
      </c>
      <c r="AA515" s="377">
        <f t="shared" si="271"/>
        <v>20746.932899999996</v>
      </c>
      <c r="AB515" s="377">
        <f t="shared" si="271"/>
        <v>20746.932899999996</v>
      </c>
      <c r="AC515" s="377">
        <f t="shared" si="271"/>
        <v>20746.932899999996</v>
      </c>
      <c r="AD515" s="377">
        <f t="shared" si="271"/>
        <v>20746.932899999996</v>
      </c>
      <c r="AE515" s="377">
        <f t="shared" si="271"/>
        <v>20746.932899999996</v>
      </c>
      <c r="AF515" s="377">
        <f t="shared" si="271"/>
        <v>20746.932899999996</v>
      </c>
      <c r="AG515" s="377">
        <f t="shared" si="271"/>
        <v>13191.3079</v>
      </c>
      <c r="AH515" s="377">
        <f t="shared" si="271"/>
        <v>4370.1612999999998</v>
      </c>
      <c r="AI515" s="377">
        <f t="shared" si="271"/>
        <v>4370.1612999999998</v>
      </c>
      <c r="AJ515" s="377">
        <f t="shared" si="271"/>
        <v>2762.2725</v>
      </c>
      <c r="AK515" s="377">
        <f t="shared" si="271"/>
        <v>1955.1624999999999</v>
      </c>
    </row>
    <row r="516" spans="1:37" s="377" customFormat="1">
      <c r="D516" s="387"/>
      <c r="E516" s="387"/>
      <c r="G516" s="387"/>
      <c r="I516" s="388"/>
      <c r="J516" s="388"/>
      <c r="K516" s="389"/>
      <c r="L516" s="389"/>
      <c r="M516" s="389"/>
      <c r="N516" s="389"/>
      <c r="O516" s="389"/>
      <c r="P516" s="389"/>
    </row>
    <row r="517" spans="1:37" s="377" customFormat="1">
      <c r="A517" s="377" t="s">
        <v>676</v>
      </c>
      <c r="D517" s="387"/>
      <c r="E517" s="387"/>
      <c r="G517" s="387"/>
      <c r="I517" s="388"/>
      <c r="J517" s="388"/>
      <c r="K517" s="389"/>
      <c r="L517" s="389"/>
      <c r="M517" s="389"/>
      <c r="N517" s="389"/>
      <c r="O517" s="389"/>
      <c r="P517" s="389"/>
    </row>
    <row r="518" spans="1:37" s="377" customFormat="1">
      <c r="B518" s="377" t="s">
        <v>675</v>
      </c>
      <c r="C518" s="386">
        <f>DATE(87,10,1)</f>
        <v>32051</v>
      </c>
      <c r="D518" s="387">
        <v>1000</v>
      </c>
      <c r="E518" s="387"/>
      <c r="F518" s="377">
        <f t="shared" ref="F518:F523" si="272">G518+H518</f>
        <v>1000</v>
      </c>
      <c r="G518" s="387">
        <v>25</v>
      </c>
      <c r="H518" s="377">
        <f t="shared" ref="H518:H528" si="273">SUM(K518:AI518)</f>
        <v>975</v>
      </c>
      <c r="I518" s="388">
        <v>5</v>
      </c>
      <c r="J518" s="388"/>
      <c r="K518" s="389">
        <f t="shared" ref="K518:W518" si="274">SUM($D518*$I518)/100</f>
        <v>50</v>
      </c>
      <c r="L518" s="389">
        <f t="shared" si="274"/>
        <v>50</v>
      </c>
      <c r="M518" s="389">
        <f t="shared" si="274"/>
        <v>50</v>
      </c>
      <c r="N518" s="389">
        <f t="shared" si="274"/>
        <v>50</v>
      </c>
      <c r="O518" s="389">
        <f t="shared" si="274"/>
        <v>50</v>
      </c>
      <c r="P518" s="389">
        <f t="shared" si="274"/>
        <v>50</v>
      </c>
      <c r="Q518" s="389">
        <f t="shared" si="274"/>
        <v>50</v>
      </c>
      <c r="R518" s="389">
        <f t="shared" si="274"/>
        <v>50</v>
      </c>
      <c r="S518" s="389">
        <f t="shared" si="274"/>
        <v>50</v>
      </c>
      <c r="T518" s="389">
        <f t="shared" si="274"/>
        <v>50</v>
      </c>
      <c r="U518" s="389">
        <f t="shared" si="274"/>
        <v>50</v>
      </c>
      <c r="V518" s="389">
        <f t="shared" si="274"/>
        <v>50</v>
      </c>
      <c r="W518" s="389">
        <f t="shared" si="274"/>
        <v>50</v>
      </c>
      <c r="X518" s="389">
        <v>50</v>
      </c>
      <c r="Y518" s="389">
        <v>50</v>
      </c>
      <c r="Z518" s="389">
        <f>SUM($D518*$I518)/100</f>
        <v>50</v>
      </c>
      <c r="AA518" s="389">
        <f>SUM($D518*$I518)/100</f>
        <v>50</v>
      </c>
      <c r="AB518" s="389">
        <f>SUM($D518*$I518)/100</f>
        <v>50</v>
      </c>
      <c r="AC518" s="389">
        <f>SUM($D518*$I518)/100</f>
        <v>50</v>
      </c>
      <c r="AD518" s="389">
        <v>25</v>
      </c>
      <c r="AE518" s="389">
        <v>0</v>
      </c>
      <c r="AF518" s="389">
        <v>0</v>
      </c>
      <c r="AG518" s="389">
        <v>0</v>
      </c>
      <c r="AH518" s="389">
        <v>0</v>
      </c>
      <c r="AI518" s="389">
        <v>0</v>
      </c>
      <c r="AJ518" s="389">
        <v>0</v>
      </c>
      <c r="AK518" s="389">
        <v>0</v>
      </c>
    </row>
    <row r="519" spans="1:37" s="377" customFormat="1">
      <c r="B519" s="377" t="s">
        <v>674</v>
      </c>
      <c r="C519" s="386">
        <f>DATE(88,10,1)</f>
        <v>32417</v>
      </c>
      <c r="D519" s="387">
        <v>1637.5</v>
      </c>
      <c r="E519" s="387"/>
      <c r="F519" s="377">
        <f t="shared" si="272"/>
        <v>1637.4975000000006</v>
      </c>
      <c r="G519" s="387"/>
      <c r="H519" s="377">
        <f t="shared" si="273"/>
        <v>1637.4975000000006</v>
      </c>
      <c r="I519" s="388">
        <v>5</v>
      </c>
      <c r="J519" s="388"/>
      <c r="K519" s="389">
        <f>SUM($D519*$I519)/100/2</f>
        <v>40.9375</v>
      </c>
      <c r="L519" s="389">
        <f t="shared" ref="L519:W519" si="275">SUM($D519*$I519)/100</f>
        <v>81.875</v>
      </c>
      <c r="M519" s="389">
        <f t="shared" si="275"/>
        <v>81.875</v>
      </c>
      <c r="N519" s="389">
        <f t="shared" si="275"/>
        <v>81.875</v>
      </c>
      <c r="O519" s="389">
        <f t="shared" si="275"/>
        <v>81.875</v>
      </c>
      <c r="P519" s="389">
        <f t="shared" si="275"/>
        <v>81.875</v>
      </c>
      <c r="Q519" s="389">
        <f t="shared" si="275"/>
        <v>81.875</v>
      </c>
      <c r="R519" s="389">
        <f t="shared" si="275"/>
        <v>81.875</v>
      </c>
      <c r="S519" s="389">
        <f t="shared" si="275"/>
        <v>81.875</v>
      </c>
      <c r="T519" s="389">
        <f t="shared" si="275"/>
        <v>81.875</v>
      </c>
      <c r="U519" s="389">
        <f t="shared" si="275"/>
        <v>81.875</v>
      </c>
      <c r="V519" s="389">
        <f t="shared" si="275"/>
        <v>81.875</v>
      </c>
      <c r="W519" s="389">
        <f t="shared" si="275"/>
        <v>81.875</v>
      </c>
      <c r="X519" s="389">
        <v>81.88</v>
      </c>
      <c r="Y519" s="389">
        <v>81.88</v>
      </c>
      <c r="Z519" s="389">
        <v>81.900000000000006</v>
      </c>
      <c r="AA519" s="389">
        <v>81.900000000000006</v>
      </c>
      <c r="AB519" s="389">
        <v>81.900000000000006</v>
      </c>
      <c r="AC519" s="389">
        <v>81.900000000000006</v>
      </c>
      <c r="AD519" s="389">
        <v>81.900000000000006</v>
      </c>
      <c r="AE519" s="389">
        <v>40.799999999999997</v>
      </c>
      <c r="AF519" s="389">
        <v>0</v>
      </c>
      <c r="AG519" s="389">
        <v>0</v>
      </c>
      <c r="AH519" s="389">
        <v>0</v>
      </c>
      <c r="AI519" s="389">
        <v>0</v>
      </c>
      <c r="AJ519" s="389">
        <v>0</v>
      </c>
      <c r="AK519" s="389">
        <v>0</v>
      </c>
    </row>
    <row r="520" spans="1:37" s="377" customFormat="1">
      <c r="B520" s="377" t="s">
        <v>673</v>
      </c>
      <c r="C520" s="386">
        <f>DATE(96,7,1)</f>
        <v>35247</v>
      </c>
      <c r="D520" s="387">
        <v>12610.68</v>
      </c>
      <c r="E520" s="387"/>
      <c r="F520" s="377">
        <f t="shared" si="272"/>
        <v>10719.069999999996</v>
      </c>
      <c r="G520" s="387"/>
      <c r="H520" s="377">
        <f t="shared" si="273"/>
        <v>10719.069999999996</v>
      </c>
      <c r="I520" s="388">
        <v>5</v>
      </c>
      <c r="J520" s="388"/>
      <c r="K520" s="389">
        <v>0</v>
      </c>
      <c r="L520" s="389">
        <v>0</v>
      </c>
      <c r="M520" s="389">
        <v>0</v>
      </c>
      <c r="N520" s="389">
        <v>0</v>
      </c>
      <c r="O520" s="389">
        <v>0</v>
      </c>
      <c r="P520" s="389">
        <v>0</v>
      </c>
      <c r="Q520" s="389">
        <v>0</v>
      </c>
      <c r="R520" s="389">
        <v>0</v>
      </c>
      <c r="S520" s="389">
        <f>SUM($D520*$I520)/100</f>
        <v>630.53399999999999</v>
      </c>
      <c r="T520" s="389">
        <f>SUM($D520*$I520)/100</f>
        <v>630.53399999999999</v>
      </c>
      <c r="U520" s="389">
        <f>SUM($D520*$I520)/100</f>
        <v>630.53399999999999</v>
      </c>
      <c r="V520" s="389">
        <f>SUM($D520*$I520)/100</f>
        <v>630.53399999999999</v>
      </c>
      <c r="W520" s="389">
        <f>SUM($D520*$I520)/100</f>
        <v>630.53399999999999</v>
      </c>
      <c r="X520" s="389">
        <v>630.53</v>
      </c>
      <c r="Y520" s="389">
        <v>630.53</v>
      </c>
      <c r="Z520" s="389">
        <f t="shared" ref="Z520:AK520" si="276">SUM($D520*$I520)/100</f>
        <v>630.53399999999999</v>
      </c>
      <c r="AA520" s="389">
        <f t="shared" si="276"/>
        <v>630.53399999999999</v>
      </c>
      <c r="AB520" s="389">
        <f t="shared" si="276"/>
        <v>630.53399999999999</v>
      </c>
      <c r="AC520" s="389">
        <f t="shared" si="276"/>
        <v>630.53399999999999</v>
      </c>
      <c r="AD520" s="389">
        <f t="shared" si="276"/>
        <v>630.53399999999999</v>
      </c>
      <c r="AE520" s="389">
        <f t="shared" si="276"/>
        <v>630.53399999999999</v>
      </c>
      <c r="AF520" s="389">
        <f t="shared" si="276"/>
        <v>630.53399999999999</v>
      </c>
      <c r="AG520" s="389">
        <f t="shared" si="276"/>
        <v>630.53399999999999</v>
      </c>
      <c r="AH520" s="389">
        <f t="shared" si="276"/>
        <v>630.53399999999999</v>
      </c>
      <c r="AI520" s="389">
        <f t="shared" si="276"/>
        <v>630.53399999999999</v>
      </c>
      <c r="AJ520" s="389">
        <f t="shared" si="276"/>
        <v>630.53399999999999</v>
      </c>
      <c r="AK520" s="389">
        <f t="shared" si="276"/>
        <v>630.53399999999999</v>
      </c>
    </row>
    <row r="521" spans="1:37" s="377" customFormat="1">
      <c r="B521" s="377" t="s">
        <v>672</v>
      </c>
      <c r="C521" s="386">
        <f>DATE(97,1,1)</f>
        <v>35431</v>
      </c>
      <c r="D521" s="377">
        <v>4700</v>
      </c>
      <c r="F521" s="377">
        <f t="shared" si="272"/>
        <v>4700</v>
      </c>
      <c r="H521" s="377">
        <f t="shared" si="273"/>
        <v>4700</v>
      </c>
      <c r="I521" s="388">
        <v>10</v>
      </c>
      <c r="J521" s="388"/>
      <c r="L521" s="389"/>
      <c r="M521" s="389"/>
      <c r="N521" s="389"/>
      <c r="O521" s="389"/>
      <c r="P521" s="389"/>
      <c r="Q521" s="389"/>
      <c r="R521" s="389"/>
      <c r="S521" s="389"/>
      <c r="T521" s="389">
        <f>SUM($D521*$I521)/100</f>
        <v>470</v>
      </c>
      <c r="U521" s="389">
        <f>SUM($D521*$I521)/100</f>
        <v>470</v>
      </c>
      <c r="V521" s="389">
        <f>SUM($D521*$I521)/100</f>
        <v>470</v>
      </c>
      <c r="W521" s="389">
        <f>SUM($D521*$I521)/100</f>
        <v>470</v>
      </c>
      <c r="X521" s="389">
        <v>470</v>
      </c>
      <c r="Y521" s="389">
        <v>470</v>
      </c>
      <c r="Z521" s="389">
        <f t="shared" ref="Z521:AC523" si="277">SUM($D521*$I521)/100</f>
        <v>470</v>
      </c>
      <c r="AA521" s="389">
        <f t="shared" si="277"/>
        <v>470</v>
      </c>
      <c r="AB521" s="389">
        <f t="shared" si="277"/>
        <v>470</v>
      </c>
      <c r="AC521" s="389">
        <f t="shared" si="277"/>
        <v>470</v>
      </c>
      <c r="AD521" s="389">
        <v>0</v>
      </c>
      <c r="AE521" s="389">
        <v>0</v>
      </c>
      <c r="AF521" s="389">
        <v>0</v>
      </c>
      <c r="AG521" s="389">
        <v>0</v>
      </c>
      <c r="AH521" s="389">
        <v>0</v>
      </c>
      <c r="AI521" s="389">
        <v>0</v>
      </c>
      <c r="AJ521" s="389">
        <v>0</v>
      </c>
      <c r="AK521" s="389">
        <v>0</v>
      </c>
    </row>
    <row r="522" spans="1:37" s="377" customFormat="1">
      <c r="B522" s="377" t="s">
        <v>671</v>
      </c>
      <c r="C522" s="386">
        <f>DATE(99,1,1)</f>
        <v>36161</v>
      </c>
      <c r="D522" s="377">
        <v>1304.98</v>
      </c>
      <c r="F522" s="377">
        <f t="shared" si="272"/>
        <v>1304.9760000000001</v>
      </c>
      <c r="H522" s="377">
        <f t="shared" si="273"/>
        <v>1304.9760000000001</v>
      </c>
      <c r="I522" s="388">
        <v>10</v>
      </c>
      <c r="J522" s="388"/>
      <c r="L522" s="389"/>
      <c r="M522" s="389"/>
      <c r="N522" s="389"/>
      <c r="O522" s="389"/>
      <c r="P522" s="389"/>
      <c r="Q522" s="389"/>
      <c r="R522" s="389"/>
      <c r="S522" s="389"/>
      <c r="T522" s="389"/>
      <c r="U522" s="389"/>
      <c r="V522" s="389">
        <f>SUM($D522*$I522)/100</f>
        <v>130.49799999999999</v>
      </c>
      <c r="W522" s="389">
        <f>SUM($D522*$I522)/100</f>
        <v>130.49799999999999</v>
      </c>
      <c r="X522" s="389">
        <v>130.5</v>
      </c>
      <c r="Y522" s="389">
        <v>130.5</v>
      </c>
      <c r="Z522" s="389">
        <f t="shared" si="277"/>
        <v>130.49799999999999</v>
      </c>
      <c r="AA522" s="389">
        <f t="shared" si="277"/>
        <v>130.49799999999999</v>
      </c>
      <c r="AB522" s="389">
        <f t="shared" si="277"/>
        <v>130.49799999999999</v>
      </c>
      <c r="AC522" s="389">
        <f t="shared" si="277"/>
        <v>130.49799999999999</v>
      </c>
      <c r="AD522" s="389">
        <f>SUM($D522*$I522)/100</f>
        <v>130.49799999999999</v>
      </c>
      <c r="AE522" s="389">
        <v>130.49</v>
      </c>
      <c r="AF522" s="389">
        <v>0</v>
      </c>
      <c r="AG522" s="389">
        <v>0</v>
      </c>
      <c r="AH522" s="389">
        <v>0</v>
      </c>
      <c r="AI522" s="389">
        <v>0</v>
      </c>
      <c r="AJ522" s="389">
        <v>0</v>
      </c>
      <c r="AK522" s="389">
        <v>0</v>
      </c>
    </row>
    <row r="523" spans="1:37" s="377" customFormat="1">
      <c r="B523" s="377" t="s">
        <v>670</v>
      </c>
      <c r="C523" s="386">
        <f>DATE(99,8,1)</f>
        <v>36373</v>
      </c>
      <c r="D523" s="377">
        <v>2576.79</v>
      </c>
      <c r="F523" s="377">
        <f t="shared" si="272"/>
        <v>2576.7920000000004</v>
      </c>
      <c r="H523" s="377">
        <f t="shared" si="273"/>
        <v>2576.7920000000004</v>
      </c>
      <c r="I523" s="388">
        <v>10</v>
      </c>
      <c r="J523" s="388"/>
      <c r="L523" s="389"/>
      <c r="M523" s="389"/>
      <c r="N523" s="389"/>
      <c r="O523" s="389"/>
      <c r="P523" s="389"/>
      <c r="Q523" s="389"/>
      <c r="R523" s="389"/>
      <c r="S523" s="389"/>
      <c r="T523" s="389"/>
      <c r="U523" s="389"/>
      <c r="V523" s="389">
        <f>SUM($D523*$I523)/100</f>
        <v>257.67900000000003</v>
      </c>
      <c r="W523" s="389">
        <f>SUM($D523*$I523)/100</f>
        <v>257.67900000000003</v>
      </c>
      <c r="X523" s="389">
        <v>257.68</v>
      </c>
      <c r="Y523" s="389">
        <v>257.68</v>
      </c>
      <c r="Z523" s="389">
        <f t="shared" si="277"/>
        <v>257.67900000000003</v>
      </c>
      <c r="AA523" s="389">
        <f t="shared" si="277"/>
        <v>257.67900000000003</v>
      </c>
      <c r="AB523" s="389">
        <f t="shared" si="277"/>
        <v>257.67900000000003</v>
      </c>
      <c r="AC523" s="389">
        <f t="shared" si="277"/>
        <v>257.67900000000003</v>
      </c>
      <c r="AD523" s="389">
        <f>SUM($D523*$I523)/100</f>
        <v>257.67900000000003</v>
      </c>
      <c r="AE523" s="389">
        <f>SUM($D523*$I523)/100</f>
        <v>257.67900000000003</v>
      </c>
      <c r="AF523" s="389">
        <v>0</v>
      </c>
      <c r="AG523" s="389">
        <v>0</v>
      </c>
      <c r="AH523" s="389">
        <v>0</v>
      </c>
      <c r="AI523" s="389">
        <v>0</v>
      </c>
      <c r="AJ523" s="389">
        <v>0</v>
      </c>
      <c r="AK523" s="389">
        <v>0</v>
      </c>
    </row>
    <row r="524" spans="1:37" s="377" customFormat="1">
      <c r="B524" s="377" t="s">
        <v>669</v>
      </c>
      <c r="C524" s="386">
        <f>DATE(2001,8,1)</f>
        <v>37104</v>
      </c>
      <c r="D524" s="387">
        <v>2289.75</v>
      </c>
      <c r="E524" s="387"/>
      <c r="F524" s="387">
        <f>H524</f>
        <v>1373.8549999999998</v>
      </c>
      <c r="H524" s="377">
        <f t="shared" si="273"/>
        <v>1373.8549999999998</v>
      </c>
      <c r="I524" s="388">
        <v>2</v>
      </c>
      <c r="J524" s="404">
        <v>5</v>
      </c>
      <c r="L524" s="389">
        <v>0</v>
      </c>
      <c r="M524" s="389">
        <v>0</v>
      </c>
      <c r="N524" s="389">
        <v>0</v>
      </c>
      <c r="O524" s="389">
        <v>0</v>
      </c>
      <c r="P524" s="389">
        <v>0</v>
      </c>
      <c r="Q524" s="389">
        <v>0</v>
      </c>
      <c r="R524" s="389">
        <v>0</v>
      </c>
      <c r="S524" s="389">
        <v>0</v>
      </c>
      <c r="T524" s="389">
        <v>0</v>
      </c>
      <c r="U524" s="389">
        <v>0</v>
      </c>
      <c r="V524" s="389">
        <v>0</v>
      </c>
      <c r="W524" s="389">
        <v>0</v>
      </c>
      <c r="X524" s="389">
        <v>114.49</v>
      </c>
      <c r="Y524" s="389">
        <v>114.49</v>
      </c>
      <c r="Z524" s="389">
        <f t="shared" ref="Z524:AK525" si="278">SUM($D524*$J524)/100</f>
        <v>114.4875</v>
      </c>
      <c r="AA524" s="389">
        <f t="shared" si="278"/>
        <v>114.4875</v>
      </c>
      <c r="AB524" s="389">
        <f t="shared" si="278"/>
        <v>114.4875</v>
      </c>
      <c r="AC524" s="389">
        <f t="shared" si="278"/>
        <v>114.4875</v>
      </c>
      <c r="AD524" s="389">
        <f t="shared" si="278"/>
        <v>114.4875</v>
      </c>
      <c r="AE524" s="389">
        <f t="shared" si="278"/>
        <v>114.4875</v>
      </c>
      <c r="AF524" s="389">
        <f t="shared" si="278"/>
        <v>114.4875</v>
      </c>
      <c r="AG524" s="389">
        <f t="shared" si="278"/>
        <v>114.4875</v>
      </c>
      <c r="AH524" s="389">
        <f t="shared" si="278"/>
        <v>114.4875</v>
      </c>
      <c r="AI524" s="389">
        <f t="shared" si="278"/>
        <v>114.4875</v>
      </c>
      <c r="AJ524" s="389">
        <f t="shared" si="278"/>
        <v>114.4875</v>
      </c>
      <c r="AK524" s="389">
        <f t="shared" si="278"/>
        <v>114.4875</v>
      </c>
    </row>
    <row r="525" spans="1:37" s="377" customFormat="1">
      <c r="B525" s="377" t="s">
        <v>668</v>
      </c>
      <c r="C525" s="386">
        <f>DATE(2002,10,1)</f>
        <v>37530</v>
      </c>
      <c r="D525" s="387">
        <v>7727.71</v>
      </c>
      <c r="E525" s="387"/>
      <c r="F525" s="387">
        <f>H525</f>
        <v>4057.0449999999996</v>
      </c>
      <c r="H525" s="377">
        <f t="shared" si="273"/>
        <v>4057.0449999999996</v>
      </c>
      <c r="I525" s="388">
        <v>2</v>
      </c>
      <c r="J525" s="404">
        <v>5</v>
      </c>
      <c r="L525" s="389">
        <v>0</v>
      </c>
      <c r="M525" s="389">
        <v>0</v>
      </c>
      <c r="N525" s="389">
        <v>0</v>
      </c>
      <c r="O525" s="389">
        <v>0</v>
      </c>
      <c r="P525" s="389">
        <v>0</v>
      </c>
      <c r="Q525" s="389">
        <v>0</v>
      </c>
      <c r="R525" s="389">
        <v>0</v>
      </c>
      <c r="S525" s="389">
        <v>0</v>
      </c>
      <c r="T525" s="389">
        <v>0</v>
      </c>
      <c r="U525" s="389">
        <v>0</v>
      </c>
      <c r="V525" s="389">
        <v>0</v>
      </c>
      <c r="W525" s="389">
        <v>0</v>
      </c>
      <c r="X525" s="389">
        <v>0</v>
      </c>
      <c r="Y525" s="389">
        <v>193.19</v>
      </c>
      <c r="Z525" s="389">
        <f t="shared" si="278"/>
        <v>386.38550000000004</v>
      </c>
      <c r="AA525" s="389">
        <f t="shared" si="278"/>
        <v>386.38550000000004</v>
      </c>
      <c r="AB525" s="389">
        <f t="shared" si="278"/>
        <v>386.38550000000004</v>
      </c>
      <c r="AC525" s="389">
        <f t="shared" si="278"/>
        <v>386.38550000000004</v>
      </c>
      <c r="AD525" s="389">
        <f t="shared" si="278"/>
        <v>386.38550000000004</v>
      </c>
      <c r="AE525" s="389">
        <f t="shared" si="278"/>
        <v>386.38550000000004</v>
      </c>
      <c r="AF525" s="389">
        <f t="shared" si="278"/>
        <v>386.38550000000004</v>
      </c>
      <c r="AG525" s="389">
        <f t="shared" si="278"/>
        <v>386.38550000000004</v>
      </c>
      <c r="AH525" s="389">
        <f t="shared" si="278"/>
        <v>386.38550000000004</v>
      </c>
      <c r="AI525" s="389">
        <f t="shared" si="278"/>
        <v>386.38550000000004</v>
      </c>
      <c r="AJ525" s="389">
        <f t="shared" si="278"/>
        <v>386.38550000000004</v>
      </c>
      <c r="AK525" s="389">
        <f t="shared" si="278"/>
        <v>386.38550000000004</v>
      </c>
    </row>
    <row r="526" spans="1:37" s="377" customFormat="1">
      <c r="B526" s="377" t="s">
        <v>667</v>
      </c>
      <c r="C526" s="386">
        <f>DATE(2006,5,1)</f>
        <v>38838</v>
      </c>
      <c r="D526" s="387">
        <f>72448.69-43254.87</f>
        <v>29193.82</v>
      </c>
      <c r="E526" s="387"/>
      <c r="F526" s="387">
        <f>H526</f>
        <v>10217.234999999999</v>
      </c>
      <c r="H526" s="377">
        <f t="shared" si="273"/>
        <v>10217.234999999999</v>
      </c>
      <c r="I526" s="388">
        <v>5</v>
      </c>
      <c r="J526" s="404"/>
      <c r="L526" s="389"/>
      <c r="M526" s="389"/>
      <c r="N526" s="389"/>
      <c r="O526" s="389"/>
      <c r="P526" s="389"/>
      <c r="Q526" s="389"/>
      <c r="R526" s="389"/>
      <c r="S526" s="389"/>
      <c r="T526" s="389"/>
      <c r="U526" s="389"/>
      <c r="V526" s="389"/>
      <c r="W526" s="389"/>
      <c r="X526" s="389"/>
      <c r="Y526" s="389"/>
      <c r="Z526" s="389"/>
      <c r="AA526" s="389"/>
      <c r="AB526" s="389"/>
      <c r="AC526" s="389">
        <f>SUM($D526*$I526)/100</f>
        <v>1459.691</v>
      </c>
      <c r="AD526" s="389">
        <f>SUM($D526*$I526)/100</f>
        <v>1459.691</v>
      </c>
      <c r="AE526" s="389">
        <f>SUM($D526*$I526)/100</f>
        <v>1459.691</v>
      </c>
      <c r="AF526" s="389">
        <f>SUM($D526*$I526)/100</f>
        <v>1459.691</v>
      </c>
      <c r="AG526" s="389">
        <f>SUM($D526*$I526)/100</f>
        <v>1459.691</v>
      </c>
      <c r="AH526" s="389">
        <v>1459.39</v>
      </c>
      <c r="AI526" s="389">
        <v>1459.39</v>
      </c>
      <c r="AJ526" s="389">
        <v>1459.39</v>
      </c>
      <c r="AK526" s="389">
        <v>1459.39</v>
      </c>
    </row>
    <row r="527" spans="1:37" s="377" customFormat="1">
      <c r="B527" s="377" t="s">
        <v>666</v>
      </c>
      <c r="C527" s="378">
        <f>DATE(91,9,1)</f>
        <v>33482</v>
      </c>
      <c r="D527" s="379">
        <v>1051.2</v>
      </c>
      <c r="E527" s="379"/>
      <c r="F527" s="379">
        <f>G527+H527</f>
        <v>1051.1999999999998</v>
      </c>
      <c r="G527" s="379"/>
      <c r="H527" s="377">
        <f t="shared" si="273"/>
        <v>1051.1999999999998</v>
      </c>
      <c r="I527" s="381">
        <v>10</v>
      </c>
      <c r="J527" s="381"/>
      <c r="K527" s="379">
        <v>0</v>
      </c>
      <c r="L527" s="379">
        <v>0</v>
      </c>
      <c r="M527" s="379">
        <v>0</v>
      </c>
      <c r="N527" s="382">
        <f>SUM($D527*$I527)/100</f>
        <v>105.12</v>
      </c>
      <c r="O527" s="382">
        <f>SUM($D527*$I527)/100</f>
        <v>105.12</v>
      </c>
      <c r="P527" s="382">
        <f>SUM($D527*$I527)/100</f>
        <v>105.12</v>
      </c>
      <c r="Q527" s="382">
        <v>105.16</v>
      </c>
      <c r="R527" s="382">
        <v>105.16</v>
      </c>
      <c r="S527" s="382">
        <v>105.16</v>
      </c>
      <c r="T527" s="382">
        <v>105.16</v>
      </c>
      <c r="U527" s="382">
        <v>105.16</v>
      </c>
      <c r="V527" s="382">
        <v>105.16</v>
      </c>
      <c r="W527" s="382">
        <f>1051.2-736-105.16-105.16</f>
        <v>104.88000000000005</v>
      </c>
      <c r="X527" s="382">
        <v>0</v>
      </c>
      <c r="Y527" s="382">
        <v>0</v>
      </c>
      <c r="Z527" s="382">
        <v>0</v>
      </c>
      <c r="AA527" s="382">
        <v>0</v>
      </c>
      <c r="AB527" s="382">
        <v>0</v>
      </c>
      <c r="AC527" s="382">
        <v>0</v>
      </c>
      <c r="AD527" s="382">
        <v>0</v>
      </c>
      <c r="AE527" s="382">
        <v>0</v>
      </c>
      <c r="AF527" s="382">
        <v>0</v>
      </c>
      <c r="AG527" s="382">
        <v>0</v>
      </c>
      <c r="AH527" s="382">
        <v>0</v>
      </c>
      <c r="AI527" s="382">
        <v>0</v>
      </c>
      <c r="AJ527" s="382">
        <v>0</v>
      </c>
      <c r="AK527" s="382">
        <v>0</v>
      </c>
    </row>
    <row r="528" spans="1:37" s="377" customFormat="1">
      <c r="D528" s="377">
        <f>SUM(D518:D527)</f>
        <v>64092.43</v>
      </c>
      <c r="E528" s="387">
        <f>F528+AJ528</f>
        <v>41228.467499999992</v>
      </c>
      <c r="F528" s="377">
        <f>SUM(F518:F527)</f>
        <v>38637.670499999993</v>
      </c>
      <c r="G528" s="377">
        <f>SUM(G518:G527)</f>
        <v>25</v>
      </c>
      <c r="H528" s="377">
        <f t="shared" si="273"/>
        <v>38612.670499999993</v>
      </c>
      <c r="I528" s="388"/>
      <c r="J528" s="388"/>
      <c r="K528" s="377">
        <f t="shared" ref="K528:AK528" si="279">SUM(K518:K527)</f>
        <v>90.9375</v>
      </c>
      <c r="L528" s="377">
        <f t="shared" si="279"/>
        <v>131.875</v>
      </c>
      <c r="M528" s="377">
        <f t="shared" si="279"/>
        <v>131.875</v>
      </c>
      <c r="N528" s="377">
        <f t="shared" si="279"/>
        <v>236.995</v>
      </c>
      <c r="O528" s="377">
        <f t="shared" si="279"/>
        <v>236.995</v>
      </c>
      <c r="P528" s="377">
        <f t="shared" si="279"/>
        <v>236.995</v>
      </c>
      <c r="Q528" s="377">
        <f t="shared" si="279"/>
        <v>237.035</v>
      </c>
      <c r="R528" s="377">
        <f t="shared" si="279"/>
        <v>237.035</v>
      </c>
      <c r="S528" s="377">
        <f t="shared" si="279"/>
        <v>867.56899999999996</v>
      </c>
      <c r="T528" s="377">
        <f t="shared" si="279"/>
        <v>1337.5690000000002</v>
      </c>
      <c r="U528" s="377">
        <f t="shared" si="279"/>
        <v>1337.5690000000002</v>
      </c>
      <c r="V528" s="377">
        <f t="shared" si="279"/>
        <v>1725.7460000000003</v>
      </c>
      <c r="W528" s="377">
        <f t="shared" si="279"/>
        <v>1725.4660000000003</v>
      </c>
      <c r="X528" s="377">
        <f t="shared" si="279"/>
        <v>1735.08</v>
      </c>
      <c r="Y528" s="377">
        <f t="shared" si="279"/>
        <v>1928.27</v>
      </c>
      <c r="Z528" s="377">
        <f t="shared" si="279"/>
        <v>2121.4839999999999</v>
      </c>
      <c r="AA528" s="377">
        <f t="shared" si="279"/>
        <v>2121.4839999999999</v>
      </c>
      <c r="AB528" s="377">
        <f t="shared" si="279"/>
        <v>2121.4839999999999</v>
      </c>
      <c r="AC528" s="377">
        <f t="shared" si="279"/>
        <v>3581.1750000000002</v>
      </c>
      <c r="AD528" s="377">
        <f t="shared" si="279"/>
        <v>3086.1750000000002</v>
      </c>
      <c r="AE528" s="377">
        <f t="shared" si="279"/>
        <v>3020.067</v>
      </c>
      <c r="AF528" s="377">
        <f t="shared" si="279"/>
        <v>2591.098</v>
      </c>
      <c r="AG528" s="377">
        <f t="shared" si="279"/>
        <v>2591.098</v>
      </c>
      <c r="AH528" s="377">
        <f t="shared" si="279"/>
        <v>2590.797</v>
      </c>
      <c r="AI528" s="377">
        <f t="shared" si="279"/>
        <v>2590.797</v>
      </c>
      <c r="AJ528" s="377">
        <f t="shared" si="279"/>
        <v>2590.797</v>
      </c>
      <c r="AK528" s="377">
        <f t="shared" si="279"/>
        <v>2590.797</v>
      </c>
    </row>
    <row r="529" spans="1:37" s="377" customFormat="1">
      <c r="A529" s="377" t="s">
        <v>665</v>
      </c>
      <c r="D529" s="387"/>
      <c r="E529" s="387"/>
      <c r="G529" s="387"/>
      <c r="I529" s="388"/>
      <c r="J529" s="388"/>
      <c r="K529" s="389"/>
      <c r="L529" s="389"/>
      <c r="M529" s="389"/>
      <c r="N529" s="389"/>
      <c r="O529" s="389"/>
      <c r="P529" s="389"/>
    </row>
    <row r="530" spans="1:37" s="377" customFormat="1">
      <c r="D530" s="387">
        <v>0</v>
      </c>
      <c r="E530" s="387"/>
      <c r="F530" s="377">
        <v>0</v>
      </c>
      <c r="G530" s="387">
        <v>630.38</v>
      </c>
      <c r="H530" s="377">
        <f t="shared" ref="H530:H563" si="280">SUM(K530:AI530)</f>
        <v>6.46</v>
      </c>
      <c r="I530" s="388"/>
      <c r="J530" s="388"/>
      <c r="K530" s="389">
        <v>6.46</v>
      </c>
      <c r="L530" s="389">
        <f t="shared" ref="L530:U531" si="281">SUM($D530*$I530)/100</f>
        <v>0</v>
      </c>
      <c r="M530" s="389">
        <f t="shared" si="281"/>
        <v>0</v>
      </c>
      <c r="N530" s="389">
        <f t="shared" si="281"/>
        <v>0</v>
      </c>
      <c r="O530" s="389">
        <f t="shared" si="281"/>
        <v>0</v>
      </c>
      <c r="P530" s="389">
        <f t="shared" si="281"/>
        <v>0</v>
      </c>
      <c r="Q530" s="389">
        <f t="shared" si="281"/>
        <v>0</v>
      </c>
      <c r="R530" s="389">
        <f t="shared" si="281"/>
        <v>0</v>
      </c>
      <c r="S530" s="389">
        <f t="shared" si="281"/>
        <v>0</v>
      </c>
      <c r="T530" s="389">
        <f t="shared" si="281"/>
        <v>0</v>
      </c>
      <c r="U530" s="389">
        <f t="shared" si="281"/>
        <v>0</v>
      </c>
      <c r="V530" s="389">
        <f t="shared" ref="V530:AE531" si="282">SUM($D530*$I530)/100</f>
        <v>0</v>
      </c>
      <c r="W530" s="389">
        <f t="shared" si="282"/>
        <v>0</v>
      </c>
      <c r="X530" s="389">
        <f t="shared" si="282"/>
        <v>0</v>
      </c>
      <c r="Y530" s="389">
        <f t="shared" si="282"/>
        <v>0</v>
      </c>
      <c r="Z530" s="389">
        <f t="shared" si="282"/>
        <v>0</v>
      </c>
      <c r="AA530" s="389">
        <f t="shared" si="282"/>
        <v>0</v>
      </c>
      <c r="AB530" s="389">
        <f t="shared" si="282"/>
        <v>0</v>
      </c>
      <c r="AC530" s="389">
        <f t="shared" si="282"/>
        <v>0</v>
      </c>
      <c r="AD530" s="389">
        <f t="shared" si="282"/>
        <v>0</v>
      </c>
      <c r="AE530" s="389">
        <f t="shared" si="282"/>
        <v>0</v>
      </c>
      <c r="AF530" s="389">
        <f t="shared" ref="AF530:AK531" si="283">SUM($D530*$I530)/100</f>
        <v>0</v>
      </c>
      <c r="AG530" s="389">
        <f t="shared" si="283"/>
        <v>0</v>
      </c>
      <c r="AH530" s="389">
        <f t="shared" si="283"/>
        <v>0</v>
      </c>
      <c r="AI530" s="389">
        <f t="shared" si="283"/>
        <v>0</v>
      </c>
      <c r="AJ530" s="389">
        <f t="shared" si="283"/>
        <v>0</v>
      </c>
      <c r="AK530" s="389">
        <f t="shared" si="283"/>
        <v>0</v>
      </c>
    </row>
    <row r="531" spans="1:37" s="377" customFormat="1">
      <c r="B531" s="377" t="s">
        <v>664</v>
      </c>
      <c r="C531" s="386">
        <f>DATE(74,12,1)</f>
        <v>27364</v>
      </c>
      <c r="D531" s="387">
        <v>5057</v>
      </c>
      <c r="E531" s="387"/>
      <c r="F531" s="377">
        <f t="shared" ref="F531:F541" si="284">G531+H531</f>
        <v>5057</v>
      </c>
      <c r="G531" s="387">
        <v>5057</v>
      </c>
      <c r="H531" s="377">
        <f t="shared" si="280"/>
        <v>0</v>
      </c>
      <c r="I531" s="388" t="s">
        <v>663</v>
      </c>
      <c r="J531" s="388"/>
      <c r="K531" s="389">
        <f>SUM($D531*$I531)/100</f>
        <v>0</v>
      </c>
      <c r="L531" s="389">
        <f t="shared" si="281"/>
        <v>0</v>
      </c>
      <c r="M531" s="389">
        <f t="shared" si="281"/>
        <v>0</v>
      </c>
      <c r="N531" s="389">
        <f t="shared" si="281"/>
        <v>0</v>
      </c>
      <c r="O531" s="389">
        <f t="shared" si="281"/>
        <v>0</v>
      </c>
      <c r="P531" s="389">
        <f t="shared" si="281"/>
        <v>0</v>
      </c>
      <c r="Q531" s="389">
        <f t="shared" si="281"/>
        <v>0</v>
      </c>
      <c r="R531" s="389">
        <f t="shared" si="281"/>
        <v>0</v>
      </c>
      <c r="S531" s="389">
        <f t="shared" si="281"/>
        <v>0</v>
      </c>
      <c r="T531" s="389">
        <f t="shared" si="281"/>
        <v>0</v>
      </c>
      <c r="U531" s="389">
        <f t="shared" si="281"/>
        <v>0</v>
      </c>
      <c r="V531" s="389">
        <f t="shared" si="282"/>
        <v>0</v>
      </c>
      <c r="W531" s="389">
        <f t="shared" si="282"/>
        <v>0</v>
      </c>
      <c r="X531" s="389">
        <f t="shared" si="282"/>
        <v>0</v>
      </c>
      <c r="Y531" s="389">
        <f t="shared" si="282"/>
        <v>0</v>
      </c>
      <c r="Z531" s="389">
        <f t="shared" si="282"/>
        <v>0</v>
      </c>
      <c r="AA531" s="389">
        <f t="shared" si="282"/>
        <v>0</v>
      </c>
      <c r="AB531" s="389">
        <f t="shared" si="282"/>
        <v>0</v>
      </c>
      <c r="AC531" s="389">
        <f t="shared" si="282"/>
        <v>0</v>
      </c>
      <c r="AD531" s="389">
        <f t="shared" si="282"/>
        <v>0</v>
      </c>
      <c r="AE531" s="389">
        <f t="shared" si="282"/>
        <v>0</v>
      </c>
      <c r="AF531" s="389">
        <f t="shared" si="283"/>
        <v>0</v>
      </c>
      <c r="AG531" s="389">
        <f t="shared" si="283"/>
        <v>0</v>
      </c>
      <c r="AH531" s="389">
        <f t="shared" si="283"/>
        <v>0</v>
      </c>
      <c r="AI531" s="389">
        <f t="shared" si="283"/>
        <v>0</v>
      </c>
      <c r="AJ531" s="389">
        <f t="shared" si="283"/>
        <v>0</v>
      </c>
      <c r="AK531" s="389">
        <f t="shared" si="283"/>
        <v>0</v>
      </c>
    </row>
    <row r="532" spans="1:37" s="377" customFormat="1">
      <c r="B532" s="377" t="s">
        <v>662</v>
      </c>
      <c r="C532" s="386">
        <f>DATE(84,7,1)</f>
        <v>30864</v>
      </c>
      <c r="D532" s="387">
        <v>1646.23</v>
      </c>
      <c r="E532" s="387"/>
      <c r="F532" s="377">
        <f t="shared" si="284"/>
        <v>1646.2280000000001</v>
      </c>
      <c r="G532" s="387">
        <v>576.16999999999996</v>
      </c>
      <c r="H532" s="377">
        <f t="shared" si="280"/>
        <v>1070.058</v>
      </c>
      <c r="I532" s="388">
        <v>10</v>
      </c>
      <c r="J532" s="388"/>
      <c r="K532" s="389">
        <f>SUM($D532*$I532)/100</f>
        <v>164.62299999999999</v>
      </c>
      <c r="L532" s="389">
        <f t="shared" ref="L532:P539" si="285">SUM($D532*$I532)/100</f>
        <v>164.62299999999999</v>
      </c>
      <c r="M532" s="389">
        <f t="shared" si="285"/>
        <v>164.62299999999999</v>
      </c>
      <c r="N532" s="389">
        <f t="shared" si="285"/>
        <v>164.62299999999999</v>
      </c>
      <c r="O532" s="389">
        <f t="shared" si="285"/>
        <v>164.62299999999999</v>
      </c>
      <c r="P532" s="389">
        <f t="shared" si="285"/>
        <v>164.62299999999999</v>
      </c>
      <c r="Q532" s="389">
        <v>82.32</v>
      </c>
      <c r="R532" s="389">
        <v>0</v>
      </c>
      <c r="S532" s="389">
        <v>0</v>
      </c>
      <c r="T532" s="389">
        <v>0</v>
      </c>
      <c r="U532" s="389">
        <v>0</v>
      </c>
      <c r="V532" s="389">
        <v>0</v>
      </c>
      <c r="W532" s="389">
        <v>0</v>
      </c>
      <c r="X532" s="389">
        <v>0</v>
      </c>
      <c r="Y532" s="389">
        <v>0</v>
      </c>
      <c r="Z532" s="389">
        <v>0</v>
      </c>
      <c r="AA532" s="389">
        <v>0</v>
      </c>
      <c r="AB532" s="389">
        <v>0</v>
      </c>
      <c r="AC532" s="389">
        <v>0</v>
      </c>
      <c r="AD532" s="389">
        <v>0</v>
      </c>
      <c r="AE532" s="389">
        <v>0</v>
      </c>
      <c r="AF532" s="389">
        <v>0</v>
      </c>
      <c r="AG532" s="389">
        <v>0</v>
      </c>
      <c r="AH532" s="389">
        <v>0</v>
      </c>
      <c r="AI532" s="389">
        <v>0</v>
      </c>
      <c r="AJ532" s="389">
        <v>0</v>
      </c>
      <c r="AK532" s="389">
        <v>0</v>
      </c>
    </row>
    <row r="533" spans="1:37" s="377" customFormat="1">
      <c r="B533" s="377" t="s">
        <v>661</v>
      </c>
      <c r="C533" s="386">
        <f>DATE(88,7,1)</f>
        <v>32325</v>
      </c>
      <c r="D533" s="387">
        <v>13942</v>
      </c>
      <c r="E533" s="387"/>
      <c r="F533" s="377">
        <f t="shared" si="284"/>
        <v>13942.000000000002</v>
      </c>
      <c r="H533" s="377">
        <f t="shared" si="280"/>
        <v>13942.000000000002</v>
      </c>
      <c r="I533" s="388">
        <v>10</v>
      </c>
      <c r="J533" s="388"/>
      <c r="K533" s="389">
        <f t="shared" ref="K533:K539" si="286">SUM($D533*$I533)/100/2</f>
        <v>697.1</v>
      </c>
      <c r="L533" s="389">
        <f t="shared" si="285"/>
        <v>1394.2</v>
      </c>
      <c r="M533" s="389">
        <f t="shared" si="285"/>
        <v>1394.2</v>
      </c>
      <c r="N533" s="389">
        <f t="shared" si="285"/>
        <v>1394.2</v>
      </c>
      <c r="O533" s="389">
        <f t="shared" si="285"/>
        <v>1394.2</v>
      </c>
      <c r="P533" s="389">
        <f t="shared" si="285"/>
        <v>1394.2</v>
      </c>
      <c r="Q533" s="389">
        <f t="shared" ref="Q533:S540" si="287">SUM($D533*$I533)/100</f>
        <v>1394.2</v>
      </c>
      <c r="R533" s="389">
        <f t="shared" si="287"/>
        <v>1394.2</v>
      </c>
      <c r="S533" s="389">
        <f t="shared" si="287"/>
        <v>1394.2</v>
      </c>
      <c r="T533" s="389">
        <v>1394.2</v>
      </c>
      <c r="U533" s="389">
        <f>13942-13244.9</f>
        <v>697.10000000000036</v>
      </c>
      <c r="V533" s="389">
        <v>0</v>
      </c>
      <c r="W533" s="389">
        <v>0</v>
      </c>
      <c r="X533" s="389">
        <v>0</v>
      </c>
      <c r="Y533" s="389">
        <v>0</v>
      </c>
      <c r="Z533" s="389">
        <v>0</v>
      </c>
      <c r="AA533" s="389">
        <v>0</v>
      </c>
      <c r="AB533" s="389">
        <v>0</v>
      </c>
      <c r="AC533" s="389">
        <v>0</v>
      </c>
      <c r="AD533" s="389">
        <v>0</v>
      </c>
      <c r="AE533" s="389">
        <v>0</v>
      </c>
      <c r="AF533" s="389">
        <v>0</v>
      </c>
      <c r="AG533" s="389">
        <v>0</v>
      </c>
      <c r="AH533" s="389">
        <v>0</v>
      </c>
      <c r="AI533" s="389">
        <v>0</v>
      </c>
      <c r="AJ533" s="389">
        <v>0</v>
      </c>
      <c r="AK533" s="389">
        <v>0</v>
      </c>
    </row>
    <row r="534" spans="1:37" s="377" customFormat="1">
      <c r="B534" s="377" t="s">
        <v>660</v>
      </c>
      <c r="C534" s="386">
        <f>DATE(88,7,1)</f>
        <v>32325</v>
      </c>
      <c r="D534" s="387">
        <v>4693.5</v>
      </c>
      <c r="E534" s="387"/>
      <c r="F534" s="377">
        <f t="shared" si="284"/>
        <v>4693.4949999999999</v>
      </c>
      <c r="H534" s="377">
        <f t="shared" si="280"/>
        <v>4693.4949999999999</v>
      </c>
      <c r="I534" s="388">
        <v>10</v>
      </c>
      <c r="J534" s="388"/>
      <c r="K534" s="389">
        <f t="shared" si="286"/>
        <v>234.67500000000001</v>
      </c>
      <c r="L534" s="389">
        <f t="shared" si="285"/>
        <v>469.35</v>
      </c>
      <c r="M534" s="389">
        <f t="shared" si="285"/>
        <v>469.35</v>
      </c>
      <c r="N534" s="389">
        <f t="shared" si="285"/>
        <v>469.35</v>
      </c>
      <c r="O534" s="389">
        <f t="shared" si="285"/>
        <v>469.35</v>
      </c>
      <c r="P534" s="389">
        <f t="shared" si="285"/>
        <v>469.35</v>
      </c>
      <c r="Q534" s="389">
        <f t="shared" si="287"/>
        <v>469.35</v>
      </c>
      <c r="R534" s="389">
        <f t="shared" si="287"/>
        <v>469.35</v>
      </c>
      <c r="S534" s="389">
        <f t="shared" si="287"/>
        <v>469.35</v>
      </c>
      <c r="T534" s="389">
        <f t="shared" ref="T534:T541" si="288">SUM($D534*$I534)/100</f>
        <v>469.35</v>
      </c>
      <c r="U534" s="389">
        <f>4693.5-4458.83</f>
        <v>234.67000000000007</v>
      </c>
      <c r="V534" s="389">
        <v>0</v>
      </c>
      <c r="W534" s="389">
        <v>0</v>
      </c>
      <c r="X534" s="389">
        <v>0</v>
      </c>
      <c r="Y534" s="389">
        <v>0</v>
      </c>
      <c r="Z534" s="389">
        <v>0</v>
      </c>
      <c r="AA534" s="389">
        <v>0</v>
      </c>
      <c r="AB534" s="389">
        <v>0</v>
      </c>
      <c r="AC534" s="389">
        <v>0</v>
      </c>
      <c r="AD534" s="389">
        <v>0</v>
      </c>
      <c r="AE534" s="389">
        <v>0</v>
      </c>
      <c r="AF534" s="389">
        <v>0</v>
      </c>
      <c r="AG534" s="389">
        <v>0</v>
      </c>
      <c r="AH534" s="389">
        <v>0</v>
      </c>
      <c r="AI534" s="389">
        <v>0</v>
      </c>
      <c r="AJ534" s="389">
        <v>0</v>
      </c>
      <c r="AK534" s="389">
        <v>0</v>
      </c>
    </row>
    <row r="535" spans="1:37">
      <c r="B535" s="358" t="s">
        <v>659</v>
      </c>
      <c r="C535" s="364">
        <f>DATE(88,7,1)</f>
        <v>32325</v>
      </c>
      <c r="D535" s="365">
        <v>4608</v>
      </c>
      <c r="E535" s="365"/>
      <c r="F535" s="358">
        <f t="shared" si="284"/>
        <v>4608</v>
      </c>
      <c r="H535" s="377">
        <f t="shared" si="280"/>
        <v>4608</v>
      </c>
      <c r="I535" s="366">
        <v>10</v>
      </c>
      <c r="J535" s="366"/>
      <c r="K535" s="367">
        <f t="shared" si="286"/>
        <v>230.4</v>
      </c>
      <c r="L535" s="367">
        <f t="shared" si="285"/>
        <v>460.8</v>
      </c>
      <c r="M535" s="367">
        <f t="shared" si="285"/>
        <v>460.8</v>
      </c>
      <c r="N535" s="367">
        <f t="shared" si="285"/>
        <v>460.8</v>
      </c>
      <c r="O535" s="367">
        <f t="shared" si="285"/>
        <v>460.8</v>
      </c>
      <c r="P535" s="367">
        <f t="shared" si="285"/>
        <v>460.8</v>
      </c>
      <c r="Q535" s="367">
        <f t="shared" si="287"/>
        <v>460.8</v>
      </c>
      <c r="R535" s="367">
        <f t="shared" si="287"/>
        <v>460.8</v>
      </c>
      <c r="S535" s="367">
        <f t="shared" si="287"/>
        <v>460.8</v>
      </c>
      <c r="T535" s="367">
        <f t="shared" si="288"/>
        <v>460.8</v>
      </c>
      <c r="U535" s="367">
        <f>4608-4377.6</f>
        <v>230.39999999999964</v>
      </c>
      <c r="V535" s="367">
        <v>0</v>
      </c>
      <c r="W535" s="367">
        <v>0</v>
      </c>
      <c r="X535" s="367">
        <v>0</v>
      </c>
      <c r="Y535" s="367">
        <v>0</v>
      </c>
      <c r="Z535" s="367">
        <v>0</v>
      </c>
      <c r="AA535" s="367">
        <v>0</v>
      </c>
      <c r="AB535" s="367">
        <v>0</v>
      </c>
      <c r="AC535" s="367">
        <v>0</v>
      </c>
      <c r="AD535" s="367">
        <v>0</v>
      </c>
      <c r="AE535" s="367">
        <v>0</v>
      </c>
      <c r="AF535" s="367">
        <v>0</v>
      </c>
      <c r="AG535" s="367">
        <v>0</v>
      </c>
      <c r="AH535" s="367">
        <v>0</v>
      </c>
      <c r="AI535" s="367">
        <v>0</v>
      </c>
      <c r="AJ535" s="367">
        <v>0</v>
      </c>
      <c r="AK535" s="367">
        <v>0</v>
      </c>
    </row>
    <row r="536" spans="1:37">
      <c r="B536" s="358" t="s">
        <v>658</v>
      </c>
      <c r="C536" s="364">
        <f>DATE(88,9,1)</f>
        <v>32387</v>
      </c>
      <c r="D536" s="365">
        <v>2541</v>
      </c>
      <c r="E536" s="365"/>
      <c r="F536" s="358">
        <f t="shared" si="284"/>
        <v>2541</v>
      </c>
      <c r="H536" s="377">
        <f t="shared" si="280"/>
        <v>2541</v>
      </c>
      <c r="I536" s="366">
        <v>10</v>
      </c>
      <c r="J536" s="366"/>
      <c r="K536" s="367">
        <f t="shared" si="286"/>
        <v>127.05</v>
      </c>
      <c r="L536" s="367">
        <f t="shared" si="285"/>
        <v>254.1</v>
      </c>
      <c r="M536" s="367">
        <f t="shared" si="285"/>
        <v>254.1</v>
      </c>
      <c r="N536" s="367">
        <f t="shared" si="285"/>
        <v>254.1</v>
      </c>
      <c r="O536" s="367">
        <f t="shared" si="285"/>
        <v>254.1</v>
      </c>
      <c r="P536" s="367">
        <f t="shared" si="285"/>
        <v>254.1</v>
      </c>
      <c r="Q536" s="367">
        <f t="shared" si="287"/>
        <v>254.1</v>
      </c>
      <c r="R536" s="367">
        <f t="shared" si="287"/>
        <v>254.1</v>
      </c>
      <c r="S536" s="367">
        <f t="shared" si="287"/>
        <v>254.1</v>
      </c>
      <c r="T536" s="367">
        <f t="shared" si="288"/>
        <v>254.1</v>
      </c>
      <c r="U536" s="367">
        <f>2541-2413.95</f>
        <v>127.05000000000018</v>
      </c>
      <c r="V536" s="367">
        <v>0</v>
      </c>
      <c r="W536" s="367">
        <v>0</v>
      </c>
      <c r="X536" s="367">
        <v>0</v>
      </c>
      <c r="Y536" s="367">
        <v>0</v>
      </c>
      <c r="Z536" s="367">
        <v>0</v>
      </c>
      <c r="AA536" s="367">
        <v>0</v>
      </c>
      <c r="AB536" s="367">
        <v>0</v>
      </c>
      <c r="AC536" s="367">
        <v>0</v>
      </c>
      <c r="AD536" s="367">
        <v>0</v>
      </c>
      <c r="AE536" s="367">
        <v>0</v>
      </c>
      <c r="AF536" s="367">
        <v>0</v>
      </c>
      <c r="AG536" s="367">
        <v>0</v>
      </c>
      <c r="AH536" s="367">
        <v>0</v>
      </c>
      <c r="AI536" s="367">
        <v>0</v>
      </c>
      <c r="AJ536" s="367">
        <v>0</v>
      </c>
      <c r="AK536" s="367">
        <v>0</v>
      </c>
    </row>
    <row r="537" spans="1:37">
      <c r="B537" s="358" t="s">
        <v>657</v>
      </c>
      <c r="C537" s="364">
        <f>DATE(88,9,1)</f>
        <v>32387</v>
      </c>
      <c r="D537" s="365">
        <v>1995</v>
      </c>
      <c r="E537" s="365"/>
      <c r="F537" s="358">
        <f t="shared" si="284"/>
        <v>1995</v>
      </c>
      <c r="H537" s="377">
        <f t="shared" si="280"/>
        <v>1995</v>
      </c>
      <c r="I537" s="366">
        <v>10</v>
      </c>
      <c r="J537" s="366"/>
      <c r="K537" s="367">
        <f t="shared" si="286"/>
        <v>99.75</v>
      </c>
      <c r="L537" s="367">
        <f t="shared" si="285"/>
        <v>199.5</v>
      </c>
      <c r="M537" s="367">
        <f t="shared" si="285"/>
        <v>199.5</v>
      </c>
      <c r="N537" s="367">
        <f t="shared" si="285"/>
        <v>199.5</v>
      </c>
      <c r="O537" s="367">
        <f t="shared" si="285"/>
        <v>199.5</v>
      </c>
      <c r="P537" s="367">
        <f t="shared" si="285"/>
        <v>199.5</v>
      </c>
      <c r="Q537" s="367">
        <f t="shared" si="287"/>
        <v>199.5</v>
      </c>
      <c r="R537" s="367">
        <f t="shared" si="287"/>
        <v>199.5</v>
      </c>
      <c r="S537" s="367">
        <f t="shared" si="287"/>
        <v>199.5</v>
      </c>
      <c r="T537" s="367">
        <f t="shared" si="288"/>
        <v>199.5</v>
      </c>
      <c r="U537" s="367">
        <f>1995-1895.25</f>
        <v>99.75</v>
      </c>
      <c r="V537" s="367">
        <v>0</v>
      </c>
      <c r="W537" s="367">
        <v>0</v>
      </c>
      <c r="X537" s="367">
        <v>0</v>
      </c>
      <c r="Y537" s="367">
        <v>0</v>
      </c>
      <c r="Z537" s="367">
        <v>0</v>
      </c>
      <c r="AA537" s="367">
        <v>0</v>
      </c>
      <c r="AB537" s="367">
        <v>0</v>
      </c>
      <c r="AC537" s="367">
        <v>0</v>
      </c>
      <c r="AD537" s="367">
        <v>0</v>
      </c>
      <c r="AE537" s="367">
        <v>0</v>
      </c>
      <c r="AF537" s="367">
        <v>0</v>
      </c>
      <c r="AG537" s="367">
        <v>0</v>
      </c>
      <c r="AH537" s="367">
        <v>0</v>
      </c>
      <c r="AI537" s="367">
        <v>0</v>
      </c>
      <c r="AJ537" s="367">
        <v>0</v>
      </c>
      <c r="AK537" s="367">
        <v>0</v>
      </c>
    </row>
    <row r="538" spans="1:37">
      <c r="B538" s="358" t="s">
        <v>656</v>
      </c>
      <c r="C538" s="364">
        <f>DATE(88,10,1)</f>
        <v>32417</v>
      </c>
      <c r="D538" s="365">
        <v>12960.5</v>
      </c>
      <c r="E538" s="365"/>
      <c r="F538" s="358">
        <f t="shared" si="284"/>
        <v>12960.494999999999</v>
      </c>
      <c r="H538" s="377">
        <f t="shared" si="280"/>
        <v>12960.494999999999</v>
      </c>
      <c r="I538" s="366">
        <v>10</v>
      </c>
      <c r="J538" s="366"/>
      <c r="K538" s="367">
        <f t="shared" si="286"/>
        <v>648.02499999999998</v>
      </c>
      <c r="L538" s="367">
        <f t="shared" si="285"/>
        <v>1296.05</v>
      </c>
      <c r="M538" s="367">
        <f t="shared" si="285"/>
        <v>1296.05</v>
      </c>
      <c r="N538" s="367">
        <f t="shared" si="285"/>
        <v>1296.05</v>
      </c>
      <c r="O538" s="367">
        <f t="shared" si="285"/>
        <v>1296.05</v>
      </c>
      <c r="P538" s="367">
        <f t="shared" si="285"/>
        <v>1296.05</v>
      </c>
      <c r="Q538" s="367">
        <f t="shared" si="287"/>
        <v>1296.05</v>
      </c>
      <c r="R538" s="367">
        <f t="shared" si="287"/>
        <v>1296.05</v>
      </c>
      <c r="S538" s="367">
        <f t="shared" si="287"/>
        <v>1296.05</v>
      </c>
      <c r="T538" s="367">
        <f t="shared" si="288"/>
        <v>1296.05</v>
      </c>
      <c r="U538" s="367">
        <f>12960.5-12312.48</f>
        <v>648.02000000000044</v>
      </c>
      <c r="V538" s="367">
        <v>0</v>
      </c>
      <c r="W538" s="367">
        <v>0</v>
      </c>
      <c r="X538" s="367">
        <v>0</v>
      </c>
      <c r="Y538" s="367">
        <v>0</v>
      </c>
      <c r="Z538" s="367">
        <v>0</v>
      </c>
      <c r="AA538" s="367">
        <v>0</v>
      </c>
      <c r="AB538" s="367">
        <v>0</v>
      </c>
      <c r="AC538" s="367">
        <v>0</v>
      </c>
      <c r="AD538" s="367">
        <v>0</v>
      </c>
      <c r="AE538" s="367">
        <v>0</v>
      </c>
      <c r="AF538" s="367">
        <v>0</v>
      </c>
      <c r="AG538" s="367">
        <v>0</v>
      </c>
      <c r="AH538" s="367">
        <v>0</v>
      </c>
      <c r="AI538" s="367">
        <v>0</v>
      </c>
      <c r="AJ538" s="367">
        <v>0</v>
      </c>
      <c r="AK538" s="367">
        <v>0</v>
      </c>
    </row>
    <row r="539" spans="1:37">
      <c r="B539" s="358" t="s">
        <v>655</v>
      </c>
      <c r="C539" s="364">
        <f>DATE(88,11,1)</f>
        <v>32448</v>
      </c>
      <c r="D539" s="365">
        <v>2225</v>
      </c>
      <c r="E539" s="365"/>
      <c r="F539" s="358">
        <f t="shared" si="284"/>
        <v>2225</v>
      </c>
      <c r="H539" s="377">
        <f t="shared" si="280"/>
        <v>2225</v>
      </c>
      <c r="I539" s="366">
        <v>10</v>
      </c>
      <c r="J539" s="366"/>
      <c r="K539" s="367">
        <f t="shared" si="286"/>
        <v>111.25</v>
      </c>
      <c r="L539" s="367">
        <f t="shared" si="285"/>
        <v>222.5</v>
      </c>
      <c r="M539" s="367">
        <f t="shared" si="285"/>
        <v>222.5</v>
      </c>
      <c r="N539" s="367">
        <f t="shared" si="285"/>
        <v>222.5</v>
      </c>
      <c r="O539" s="367">
        <f t="shared" si="285"/>
        <v>222.5</v>
      </c>
      <c r="P539" s="367">
        <f t="shared" si="285"/>
        <v>222.5</v>
      </c>
      <c r="Q539" s="367">
        <f t="shared" si="287"/>
        <v>222.5</v>
      </c>
      <c r="R539" s="367">
        <f t="shared" si="287"/>
        <v>222.5</v>
      </c>
      <c r="S539" s="367">
        <f t="shared" si="287"/>
        <v>222.5</v>
      </c>
      <c r="T539" s="367">
        <f t="shared" si="288"/>
        <v>222.5</v>
      </c>
      <c r="U539" s="367">
        <f>2225-2113.75</f>
        <v>111.25</v>
      </c>
      <c r="V539" s="367">
        <v>0</v>
      </c>
      <c r="W539" s="367">
        <v>0</v>
      </c>
      <c r="X539" s="367">
        <v>0</v>
      </c>
      <c r="Y539" s="367">
        <v>0</v>
      </c>
      <c r="Z539" s="367">
        <v>0</v>
      </c>
      <c r="AA539" s="367">
        <v>0</v>
      </c>
      <c r="AB539" s="367">
        <v>0</v>
      </c>
      <c r="AC539" s="367">
        <v>0</v>
      </c>
      <c r="AD539" s="367">
        <v>0</v>
      </c>
      <c r="AE539" s="367">
        <v>0</v>
      </c>
      <c r="AF539" s="367">
        <v>0</v>
      </c>
      <c r="AG539" s="367">
        <v>0</v>
      </c>
      <c r="AH539" s="367">
        <v>0</v>
      </c>
      <c r="AI539" s="367">
        <v>0</v>
      </c>
      <c r="AJ539" s="367">
        <v>0</v>
      </c>
      <c r="AK539" s="367">
        <v>0</v>
      </c>
    </row>
    <row r="540" spans="1:37">
      <c r="B540" s="358" t="s">
        <v>654</v>
      </c>
      <c r="C540" s="364">
        <f>DATE(89,8,1)</f>
        <v>32721</v>
      </c>
      <c r="D540" s="365">
        <v>1098.3</v>
      </c>
      <c r="E540" s="365"/>
      <c r="F540" s="358">
        <f t="shared" si="284"/>
        <v>1098.2950000000001</v>
      </c>
      <c r="H540" s="377">
        <f t="shared" si="280"/>
        <v>1098.2950000000001</v>
      </c>
      <c r="I540" s="366">
        <v>10</v>
      </c>
      <c r="J540" s="366"/>
      <c r="K540" s="367">
        <v>0</v>
      </c>
      <c r="L540" s="367">
        <f>SUM($D540*$I540)/100/2</f>
        <v>54.914999999999999</v>
      </c>
      <c r="M540" s="367">
        <f>SUM($D540*$I540)/100</f>
        <v>109.83</v>
      </c>
      <c r="N540" s="367">
        <f>SUM($D540*$I540)/100</f>
        <v>109.83</v>
      </c>
      <c r="O540" s="367">
        <f>SUM($D540*$I540)/100</f>
        <v>109.83</v>
      </c>
      <c r="P540" s="367">
        <f>SUM($D540*$I540)/100</f>
        <v>109.83</v>
      </c>
      <c r="Q540" s="367">
        <f t="shared" si="287"/>
        <v>109.83</v>
      </c>
      <c r="R540" s="367">
        <f t="shared" si="287"/>
        <v>109.83</v>
      </c>
      <c r="S540" s="367">
        <f t="shared" si="287"/>
        <v>109.83</v>
      </c>
      <c r="T540" s="367">
        <f t="shared" si="288"/>
        <v>109.83</v>
      </c>
      <c r="U540" s="367">
        <f>SUM($D540*$I540)/100</f>
        <v>109.83</v>
      </c>
      <c r="V540" s="367">
        <f>1098.3-933.56-109.83</f>
        <v>54.910000000000011</v>
      </c>
      <c r="W540" s="367">
        <v>0</v>
      </c>
      <c r="X540" s="367">
        <v>0</v>
      </c>
      <c r="Y540" s="367">
        <v>0</v>
      </c>
      <c r="Z540" s="367">
        <v>0</v>
      </c>
      <c r="AA540" s="367">
        <v>0</v>
      </c>
      <c r="AB540" s="367">
        <v>0</v>
      </c>
      <c r="AC540" s="367">
        <v>0</v>
      </c>
      <c r="AD540" s="367">
        <v>0</v>
      </c>
      <c r="AE540" s="367">
        <v>0</v>
      </c>
      <c r="AF540" s="367">
        <v>0</v>
      </c>
      <c r="AG540" s="367">
        <v>0</v>
      </c>
      <c r="AH540" s="367">
        <v>0</v>
      </c>
      <c r="AI540" s="367">
        <v>0</v>
      </c>
      <c r="AJ540" s="367">
        <v>0</v>
      </c>
      <c r="AK540" s="367">
        <v>0</v>
      </c>
    </row>
    <row r="541" spans="1:37">
      <c r="B541" s="373" t="s">
        <v>653</v>
      </c>
      <c r="C541" s="364">
        <f>DATE(96,4,1)</f>
        <v>35156</v>
      </c>
      <c r="D541" s="358">
        <v>3382.55</v>
      </c>
      <c r="F541" s="358">
        <f t="shared" si="284"/>
        <v>3382.5450000000001</v>
      </c>
      <c r="H541" s="377">
        <f t="shared" si="280"/>
        <v>3382.5450000000001</v>
      </c>
      <c r="I541" s="366">
        <v>10</v>
      </c>
      <c r="R541" s="367">
        <v>0</v>
      </c>
      <c r="S541" s="367">
        <f>SUM($D541*$I541)/100</f>
        <v>338.255</v>
      </c>
      <c r="T541" s="367">
        <f t="shared" si="288"/>
        <v>338.255</v>
      </c>
      <c r="U541" s="367">
        <f>SUM($D541*$I541)/100</f>
        <v>338.255</v>
      </c>
      <c r="V541" s="367">
        <f>SUM($D541*$I541)/100</f>
        <v>338.255</v>
      </c>
      <c r="W541" s="367">
        <f>SUM($D541*$I541)/100</f>
        <v>338.255</v>
      </c>
      <c r="X541" s="367">
        <v>338.26</v>
      </c>
      <c r="Y541" s="367">
        <v>338.26</v>
      </c>
      <c r="Z541" s="367">
        <f>SUM($D541*$I541)/100</f>
        <v>338.255</v>
      </c>
      <c r="AA541" s="367">
        <f>SUM($D541*$I541)/100</f>
        <v>338.255</v>
      </c>
      <c r="AB541" s="367">
        <v>338.24</v>
      </c>
      <c r="AC541" s="367">
        <v>0</v>
      </c>
      <c r="AD541" s="367">
        <v>0</v>
      </c>
      <c r="AE541" s="367">
        <v>0</v>
      </c>
      <c r="AF541" s="367">
        <v>0</v>
      </c>
      <c r="AG541" s="367">
        <v>0</v>
      </c>
      <c r="AH541" s="367">
        <v>0</v>
      </c>
      <c r="AI541" s="367">
        <v>0</v>
      </c>
      <c r="AJ541" s="367">
        <v>0</v>
      </c>
      <c r="AK541" s="367">
        <v>0</v>
      </c>
    </row>
    <row r="542" spans="1:37">
      <c r="B542" s="358" t="s">
        <v>652</v>
      </c>
      <c r="C542" s="364">
        <f>DATE(2005,1,1)</f>
        <v>38353</v>
      </c>
      <c r="D542" s="365">
        <v>3189.67</v>
      </c>
      <c r="E542" s="365"/>
      <c r="F542" s="365">
        <f t="shared" ref="F542:F562" si="289">H542</f>
        <v>3189.6729999999998</v>
      </c>
      <c r="H542" s="377">
        <f t="shared" si="280"/>
        <v>3189.6729999999998</v>
      </c>
      <c r="I542" s="366"/>
      <c r="J542" s="385">
        <v>15</v>
      </c>
      <c r="L542" s="367">
        <v>0</v>
      </c>
      <c r="M542" s="367">
        <v>0</v>
      </c>
      <c r="N542" s="367">
        <v>0</v>
      </c>
      <c r="O542" s="367">
        <v>0</v>
      </c>
      <c r="P542" s="367">
        <v>0</v>
      </c>
      <c r="Q542" s="367">
        <v>0</v>
      </c>
      <c r="R542" s="367">
        <v>0</v>
      </c>
      <c r="S542" s="367">
        <v>0</v>
      </c>
      <c r="T542" s="367">
        <v>0</v>
      </c>
      <c r="U542" s="367">
        <v>0</v>
      </c>
      <c r="V542" s="367">
        <v>0</v>
      </c>
      <c r="W542" s="367">
        <v>0</v>
      </c>
      <c r="X542" s="367">
        <v>0</v>
      </c>
      <c r="Y542" s="367">
        <v>0</v>
      </c>
      <c r="Z542" s="367">
        <v>0</v>
      </c>
      <c r="AA542" s="367">
        <v>0</v>
      </c>
      <c r="AB542" s="367">
        <f t="shared" ref="AB542:AG542" si="290">SUM($D542*$J542)/100</f>
        <v>478.45050000000003</v>
      </c>
      <c r="AC542" s="367">
        <f t="shared" si="290"/>
        <v>478.45050000000003</v>
      </c>
      <c r="AD542" s="367">
        <f t="shared" si="290"/>
        <v>478.45050000000003</v>
      </c>
      <c r="AE542" s="367">
        <f t="shared" si="290"/>
        <v>478.45050000000003</v>
      </c>
      <c r="AF542" s="367">
        <f t="shared" si="290"/>
        <v>478.45050000000003</v>
      </c>
      <c r="AG542" s="367">
        <f t="shared" si="290"/>
        <v>478.45050000000003</v>
      </c>
      <c r="AH542" s="367">
        <v>318.97000000000003</v>
      </c>
      <c r="AI542" s="367">
        <v>0</v>
      </c>
      <c r="AJ542" s="367">
        <v>0</v>
      </c>
      <c r="AK542" s="367">
        <v>0</v>
      </c>
    </row>
    <row r="543" spans="1:37">
      <c r="B543" s="358" t="s">
        <v>651</v>
      </c>
      <c r="C543" s="364">
        <f>DATE(2007,4,1)</f>
        <v>39173</v>
      </c>
      <c r="D543" s="365">
        <v>3708.93</v>
      </c>
      <c r="E543" s="365"/>
      <c r="F543" s="365">
        <f t="shared" si="289"/>
        <v>2225.3579999999997</v>
      </c>
      <c r="H543" s="377">
        <f t="shared" si="280"/>
        <v>2225.3579999999997</v>
      </c>
      <c r="I543" s="366"/>
      <c r="J543" s="385">
        <v>10</v>
      </c>
      <c r="L543" s="367">
        <v>0</v>
      </c>
      <c r="M543" s="367">
        <v>0</v>
      </c>
      <c r="N543" s="367">
        <v>0</v>
      </c>
      <c r="O543" s="367">
        <v>0</v>
      </c>
      <c r="P543" s="367">
        <v>0</v>
      </c>
      <c r="Q543" s="367">
        <v>0</v>
      </c>
      <c r="R543" s="367">
        <v>0</v>
      </c>
      <c r="S543" s="367">
        <v>0</v>
      </c>
      <c r="T543" s="367">
        <v>0</v>
      </c>
      <c r="U543" s="367">
        <v>0</v>
      </c>
      <c r="V543" s="367">
        <v>0</v>
      </c>
      <c r="W543" s="367">
        <v>0</v>
      </c>
      <c r="X543" s="367">
        <v>0</v>
      </c>
      <c r="Y543" s="367">
        <v>0</v>
      </c>
      <c r="Z543" s="367">
        <v>0</v>
      </c>
      <c r="AA543" s="367">
        <v>0</v>
      </c>
      <c r="AB543" s="367">
        <v>0</v>
      </c>
      <c r="AC543" s="367">
        <v>0</v>
      </c>
      <c r="AD543" s="367">
        <f t="shared" ref="AD543:AK543" si="291">SUM($D543*$J543)/100</f>
        <v>370.89299999999997</v>
      </c>
      <c r="AE543" s="367">
        <f t="shared" si="291"/>
        <v>370.89299999999997</v>
      </c>
      <c r="AF543" s="367">
        <f t="shared" si="291"/>
        <v>370.89299999999997</v>
      </c>
      <c r="AG543" s="367">
        <f t="shared" si="291"/>
        <v>370.89299999999997</v>
      </c>
      <c r="AH543" s="367">
        <f t="shared" si="291"/>
        <v>370.89299999999997</v>
      </c>
      <c r="AI543" s="367">
        <f t="shared" si="291"/>
        <v>370.89299999999997</v>
      </c>
      <c r="AJ543" s="367">
        <f t="shared" si="291"/>
        <v>370.89299999999997</v>
      </c>
      <c r="AK543" s="367">
        <f t="shared" si="291"/>
        <v>370.89299999999997</v>
      </c>
    </row>
    <row r="544" spans="1:37">
      <c r="B544" s="358" t="s">
        <v>650</v>
      </c>
      <c r="C544" s="364">
        <f>DATE(2007,1,1)</f>
        <v>39083</v>
      </c>
      <c r="D544" s="365">
        <v>6642.35</v>
      </c>
      <c r="E544" s="365"/>
      <c r="F544" s="365">
        <f t="shared" si="289"/>
        <v>6642.35</v>
      </c>
      <c r="H544" s="377">
        <f t="shared" si="280"/>
        <v>6642.35</v>
      </c>
      <c r="I544" s="366"/>
      <c r="J544" s="385">
        <v>20</v>
      </c>
      <c r="L544" s="367">
        <v>0</v>
      </c>
      <c r="M544" s="367">
        <v>0</v>
      </c>
      <c r="N544" s="367">
        <v>0</v>
      </c>
      <c r="O544" s="367">
        <v>0</v>
      </c>
      <c r="P544" s="367">
        <v>0</v>
      </c>
      <c r="Q544" s="367">
        <v>0</v>
      </c>
      <c r="R544" s="367">
        <v>0</v>
      </c>
      <c r="S544" s="367">
        <v>0</v>
      </c>
      <c r="T544" s="367">
        <v>0</v>
      </c>
      <c r="U544" s="367">
        <v>0</v>
      </c>
      <c r="V544" s="367">
        <v>0</v>
      </c>
      <c r="W544" s="367">
        <v>0</v>
      </c>
      <c r="X544" s="367">
        <v>0</v>
      </c>
      <c r="Y544" s="367">
        <v>0</v>
      </c>
      <c r="Z544" s="367">
        <v>0</v>
      </c>
      <c r="AA544" s="367">
        <v>0</v>
      </c>
      <c r="AB544" s="367">
        <v>0</v>
      </c>
      <c r="AC544" s="367">
        <v>0</v>
      </c>
      <c r="AD544" s="367">
        <f>SUM($D544*$J544)/100</f>
        <v>1328.47</v>
      </c>
      <c r="AE544" s="367">
        <f>SUM($D544*$J544)/100</f>
        <v>1328.47</v>
      </c>
      <c r="AF544" s="367">
        <f>SUM($D544*$J544)/100</f>
        <v>1328.47</v>
      </c>
      <c r="AG544" s="367">
        <f>SUM($D544*$J544)/100</f>
        <v>1328.47</v>
      </c>
      <c r="AH544" s="367">
        <f>SUM($D544*$J544)/100</f>
        <v>1328.47</v>
      </c>
      <c r="AI544" s="367">
        <v>0</v>
      </c>
      <c r="AJ544" s="367">
        <v>0</v>
      </c>
      <c r="AK544" s="367">
        <v>0</v>
      </c>
    </row>
    <row r="545" spans="2:37">
      <c r="B545" s="358" t="s">
        <v>649</v>
      </c>
      <c r="C545" s="364">
        <f>DATE(98,1,1)</f>
        <v>35796</v>
      </c>
      <c r="D545" s="365">
        <v>2654</v>
      </c>
      <c r="E545" s="365"/>
      <c r="F545" s="365">
        <f t="shared" si="289"/>
        <v>2654.0000000000005</v>
      </c>
      <c r="H545" s="377">
        <f t="shared" si="280"/>
        <v>2654.0000000000005</v>
      </c>
      <c r="I545" s="366">
        <v>2</v>
      </c>
      <c r="J545" s="385">
        <v>10</v>
      </c>
      <c r="L545" s="367">
        <v>0</v>
      </c>
      <c r="M545" s="367">
        <v>0</v>
      </c>
      <c r="N545" s="367">
        <v>0</v>
      </c>
      <c r="O545" s="367">
        <v>0</v>
      </c>
      <c r="P545" s="367">
        <v>0</v>
      </c>
      <c r="Q545" s="367">
        <v>0</v>
      </c>
      <c r="R545" s="367">
        <v>0</v>
      </c>
      <c r="S545" s="367">
        <v>0</v>
      </c>
      <c r="T545" s="367">
        <v>0</v>
      </c>
      <c r="U545" s="367">
        <f t="shared" ref="U545:W548" si="292">SUM($D545*$J545)/100</f>
        <v>265.39999999999998</v>
      </c>
      <c r="V545" s="367">
        <f t="shared" si="292"/>
        <v>265.39999999999998</v>
      </c>
      <c r="W545" s="367">
        <f t="shared" si="292"/>
        <v>265.39999999999998</v>
      </c>
      <c r="X545" s="367">
        <v>265.39999999999998</v>
      </c>
      <c r="Y545" s="367">
        <v>265.39999999999998</v>
      </c>
      <c r="Z545" s="367">
        <f>SUM($D545*$J545)/100</f>
        <v>265.39999999999998</v>
      </c>
      <c r="AA545" s="367">
        <f>SUM($D545*$J545)/100</f>
        <v>265.39999999999998</v>
      </c>
      <c r="AB545" s="367">
        <f>SUM($D545*$J545)/100</f>
        <v>265.39999999999998</v>
      </c>
      <c r="AC545" s="367">
        <f>SUM($D545*$J545)/100</f>
        <v>265.39999999999998</v>
      </c>
      <c r="AD545" s="367">
        <f>SUM($D545*$J545)/100</f>
        <v>265.39999999999998</v>
      </c>
      <c r="AE545" s="367">
        <v>0</v>
      </c>
      <c r="AF545" s="367">
        <v>0</v>
      </c>
      <c r="AG545" s="367">
        <v>0</v>
      </c>
      <c r="AH545" s="367">
        <v>0</v>
      </c>
      <c r="AI545" s="367">
        <v>0</v>
      </c>
      <c r="AJ545" s="367">
        <v>0</v>
      </c>
      <c r="AK545" s="367">
        <v>0</v>
      </c>
    </row>
    <row r="546" spans="2:37">
      <c r="B546" s="358" t="s">
        <v>648</v>
      </c>
      <c r="C546" s="364">
        <f>DATE(98,1,1)</f>
        <v>35796</v>
      </c>
      <c r="D546" s="365">
        <v>1059.68</v>
      </c>
      <c r="E546" s="365"/>
      <c r="F546" s="365">
        <f t="shared" si="289"/>
        <v>1059.6760000000004</v>
      </c>
      <c r="H546" s="377">
        <f t="shared" si="280"/>
        <v>1059.6760000000004</v>
      </c>
      <c r="I546" s="366">
        <v>2</v>
      </c>
      <c r="J546" s="385">
        <v>10</v>
      </c>
      <c r="L546" s="367">
        <v>0</v>
      </c>
      <c r="M546" s="367">
        <v>0</v>
      </c>
      <c r="N546" s="367">
        <v>0</v>
      </c>
      <c r="O546" s="367">
        <v>0</v>
      </c>
      <c r="P546" s="367">
        <v>0</v>
      </c>
      <c r="Q546" s="367">
        <v>0</v>
      </c>
      <c r="R546" s="367">
        <v>0</v>
      </c>
      <c r="S546" s="367">
        <v>0</v>
      </c>
      <c r="T546" s="367">
        <v>0</v>
      </c>
      <c r="U546" s="367">
        <f t="shared" si="292"/>
        <v>105.96800000000002</v>
      </c>
      <c r="V546" s="367">
        <f t="shared" si="292"/>
        <v>105.96800000000002</v>
      </c>
      <c r="W546" s="367">
        <f t="shared" si="292"/>
        <v>105.96800000000002</v>
      </c>
      <c r="X546" s="367">
        <v>105.97</v>
      </c>
      <c r="Y546" s="367">
        <v>105.97</v>
      </c>
      <c r="Z546" s="367">
        <f t="shared" ref="Z546:AC549" si="293">SUM($D546*$J546)/100</f>
        <v>105.96800000000002</v>
      </c>
      <c r="AA546" s="367">
        <f t="shared" si="293"/>
        <v>105.96800000000002</v>
      </c>
      <c r="AB546" s="367">
        <f t="shared" si="293"/>
        <v>105.96800000000002</v>
      </c>
      <c r="AC546" s="367">
        <f t="shared" si="293"/>
        <v>105.96800000000002</v>
      </c>
      <c r="AD546" s="367">
        <v>105.96</v>
      </c>
      <c r="AE546" s="367">
        <v>0</v>
      </c>
      <c r="AF546" s="367">
        <v>0</v>
      </c>
      <c r="AG546" s="367">
        <v>0</v>
      </c>
      <c r="AH546" s="367">
        <v>0</v>
      </c>
      <c r="AI546" s="367">
        <v>0</v>
      </c>
      <c r="AJ546" s="367">
        <v>0</v>
      </c>
      <c r="AK546" s="367">
        <v>0</v>
      </c>
    </row>
    <row r="547" spans="2:37">
      <c r="B547" s="358" t="s">
        <v>647</v>
      </c>
      <c r="C547" s="364">
        <f>DATE(98,1,1)</f>
        <v>35796</v>
      </c>
      <c r="D547" s="365">
        <v>393.78</v>
      </c>
      <c r="E547" s="365"/>
      <c r="F547" s="365">
        <f t="shared" si="289"/>
        <v>393.77599999999995</v>
      </c>
      <c r="H547" s="377">
        <f t="shared" si="280"/>
        <v>393.77599999999995</v>
      </c>
      <c r="I547" s="366">
        <v>2</v>
      </c>
      <c r="J547" s="385">
        <v>10</v>
      </c>
      <c r="L547" s="367">
        <v>0</v>
      </c>
      <c r="M547" s="367">
        <v>0</v>
      </c>
      <c r="N547" s="367">
        <v>0</v>
      </c>
      <c r="O547" s="367">
        <v>0</v>
      </c>
      <c r="P547" s="367">
        <v>0</v>
      </c>
      <c r="Q547" s="367">
        <v>0</v>
      </c>
      <c r="R547" s="367">
        <v>0</v>
      </c>
      <c r="S547" s="367">
        <v>0</v>
      </c>
      <c r="T547" s="367">
        <v>0</v>
      </c>
      <c r="U547" s="367">
        <f t="shared" si="292"/>
        <v>39.378</v>
      </c>
      <c r="V547" s="367">
        <f t="shared" si="292"/>
        <v>39.378</v>
      </c>
      <c r="W547" s="367">
        <f t="shared" si="292"/>
        <v>39.378</v>
      </c>
      <c r="X547" s="367">
        <v>39.380000000000003</v>
      </c>
      <c r="Y547" s="367">
        <v>39.380000000000003</v>
      </c>
      <c r="Z547" s="367">
        <f t="shared" si="293"/>
        <v>39.378</v>
      </c>
      <c r="AA547" s="367">
        <f t="shared" si="293"/>
        <v>39.378</v>
      </c>
      <c r="AB547" s="367">
        <f t="shared" si="293"/>
        <v>39.378</v>
      </c>
      <c r="AC547" s="367">
        <f t="shared" si="293"/>
        <v>39.378</v>
      </c>
      <c r="AD547" s="367">
        <v>39.369999999999997</v>
      </c>
      <c r="AE547" s="367">
        <v>0</v>
      </c>
      <c r="AF547" s="367">
        <v>0</v>
      </c>
      <c r="AG547" s="367">
        <v>0</v>
      </c>
      <c r="AH547" s="367">
        <v>0</v>
      </c>
      <c r="AI547" s="367">
        <v>0</v>
      </c>
      <c r="AJ547" s="367">
        <v>0</v>
      </c>
      <c r="AK547" s="367">
        <v>0</v>
      </c>
    </row>
    <row r="548" spans="2:37">
      <c r="B548" s="358" t="s">
        <v>646</v>
      </c>
      <c r="C548" s="364">
        <f>DATE(98,1,1)</f>
        <v>35796</v>
      </c>
      <c r="D548" s="365">
        <v>980.25</v>
      </c>
      <c r="E548" s="365"/>
      <c r="F548" s="365">
        <f t="shared" si="289"/>
        <v>980.24499999999989</v>
      </c>
      <c r="H548" s="377">
        <f t="shared" si="280"/>
        <v>980.24499999999989</v>
      </c>
      <c r="I548" s="366">
        <v>2</v>
      </c>
      <c r="J548" s="385">
        <v>10</v>
      </c>
      <c r="L548" s="367">
        <v>0</v>
      </c>
      <c r="M548" s="367">
        <v>0</v>
      </c>
      <c r="N548" s="367">
        <v>0</v>
      </c>
      <c r="O548" s="367">
        <v>0</v>
      </c>
      <c r="P548" s="367">
        <v>0</v>
      </c>
      <c r="Q548" s="367">
        <v>0</v>
      </c>
      <c r="R548" s="367">
        <v>0</v>
      </c>
      <c r="S548" s="367">
        <v>0</v>
      </c>
      <c r="T548" s="367">
        <v>0</v>
      </c>
      <c r="U548" s="367">
        <f t="shared" si="292"/>
        <v>98.025000000000006</v>
      </c>
      <c r="V548" s="367">
        <f t="shared" si="292"/>
        <v>98.025000000000006</v>
      </c>
      <c r="W548" s="367">
        <f t="shared" si="292"/>
        <v>98.025000000000006</v>
      </c>
      <c r="X548" s="367">
        <v>98.03</v>
      </c>
      <c r="Y548" s="367">
        <v>98.03</v>
      </c>
      <c r="Z548" s="367">
        <f t="shared" si="293"/>
        <v>98.025000000000006</v>
      </c>
      <c r="AA548" s="367">
        <f t="shared" si="293"/>
        <v>98.025000000000006</v>
      </c>
      <c r="AB548" s="367">
        <f t="shared" si="293"/>
        <v>98.025000000000006</v>
      </c>
      <c r="AC548" s="367">
        <f t="shared" si="293"/>
        <v>98.025000000000006</v>
      </c>
      <c r="AD548" s="367">
        <v>98.01</v>
      </c>
      <c r="AE548" s="367">
        <v>0</v>
      </c>
      <c r="AF548" s="367">
        <v>0</v>
      </c>
      <c r="AG548" s="367">
        <v>0</v>
      </c>
      <c r="AH548" s="367">
        <v>0</v>
      </c>
      <c r="AI548" s="367">
        <v>0</v>
      </c>
      <c r="AJ548" s="367">
        <v>0</v>
      </c>
      <c r="AK548" s="367">
        <v>0</v>
      </c>
    </row>
    <row r="549" spans="2:37">
      <c r="B549" s="358" t="s">
        <v>645</v>
      </c>
      <c r="C549" s="364">
        <f>DATE(99,3,1)</f>
        <v>36220</v>
      </c>
      <c r="D549" s="365">
        <v>3375.17</v>
      </c>
      <c r="E549" s="365"/>
      <c r="F549" s="365">
        <f t="shared" si="289"/>
        <v>3375.1689999999999</v>
      </c>
      <c r="H549" s="377">
        <f t="shared" si="280"/>
        <v>3375.1689999999999</v>
      </c>
      <c r="I549" s="366"/>
      <c r="J549" s="385">
        <v>10</v>
      </c>
      <c r="L549" s="367"/>
      <c r="M549" s="367"/>
      <c r="N549" s="367"/>
      <c r="O549" s="367"/>
      <c r="P549" s="367"/>
      <c r="Q549" s="367"/>
      <c r="R549" s="367"/>
      <c r="S549" s="367"/>
      <c r="T549" s="367"/>
      <c r="U549" s="367"/>
      <c r="V549" s="367">
        <f>SUM($D549*$J549)/100</f>
        <v>337.517</v>
      </c>
      <c r="W549" s="367">
        <f>SUM($D549*$J549)/100</f>
        <v>337.517</v>
      </c>
      <c r="X549" s="367">
        <v>337.52</v>
      </c>
      <c r="Y549" s="367">
        <v>337.52</v>
      </c>
      <c r="Z549" s="367">
        <f t="shared" si="293"/>
        <v>337.517</v>
      </c>
      <c r="AA549" s="367">
        <f t="shared" si="293"/>
        <v>337.517</v>
      </c>
      <c r="AB549" s="367">
        <f t="shared" si="293"/>
        <v>337.517</v>
      </c>
      <c r="AC549" s="367">
        <f t="shared" si="293"/>
        <v>337.517</v>
      </c>
      <c r="AD549" s="367">
        <f t="shared" ref="AD549:AD562" si="294">SUM($D549*$J549)/100</f>
        <v>337.517</v>
      </c>
      <c r="AE549" s="367">
        <v>337.51</v>
      </c>
      <c r="AF549" s="367">
        <v>0</v>
      </c>
      <c r="AG549" s="367">
        <v>0</v>
      </c>
      <c r="AH549" s="367">
        <v>0</v>
      </c>
      <c r="AI549" s="367">
        <v>0</v>
      </c>
      <c r="AJ549" s="367">
        <v>0</v>
      </c>
      <c r="AK549" s="367">
        <v>0</v>
      </c>
    </row>
    <row r="550" spans="2:37">
      <c r="B550" s="358" t="s">
        <v>644</v>
      </c>
      <c r="C550" s="364">
        <f>DATE(2005,1,1)</f>
        <v>38353</v>
      </c>
      <c r="D550" s="365">
        <v>6534.68</v>
      </c>
      <c r="E550" s="365"/>
      <c r="F550" s="365">
        <f t="shared" si="289"/>
        <v>2613.8719999999998</v>
      </c>
      <c r="H550" s="377">
        <f t="shared" si="280"/>
        <v>2613.8719999999998</v>
      </c>
      <c r="I550" s="366">
        <v>2</v>
      </c>
      <c r="J550" s="385">
        <v>5</v>
      </c>
      <c r="L550" s="367">
        <v>0</v>
      </c>
      <c r="M550" s="367">
        <v>0</v>
      </c>
      <c r="N550" s="367">
        <v>0</v>
      </c>
      <c r="O550" s="367">
        <v>0</v>
      </c>
      <c r="P550" s="367">
        <v>0</v>
      </c>
      <c r="Q550" s="367">
        <v>0</v>
      </c>
      <c r="R550" s="367">
        <v>0</v>
      </c>
      <c r="S550" s="367">
        <v>0</v>
      </c>
      <c r="T550" s="367">
        <v>0</v>
      </c>
      <c r="U550" s="367">
        <v>0</v>
      </c>
      <c r="V550" s="367">
        <v>0</v>
      </c>
      <c r="W550" s="367">
        <v>0</v>
      </c>
      <c r="X550" s="367">
        <v>0</v>
      </c>
      <c r="Y550" s="367">
        <v>0</v>
      </c>
      <c r="Z550" s="367">
        <v>0</v>
      </c>
      <c r="AA550" s="367">
        <v>0</v>
      </c>
      <c r="AB550" s="367">
        <f t="shared" ref="AB550:AC562" si="295">SUM($D550*$J550)/100</f>
        <v>326.73400000000004</v>
      </c>
      <c r="AC550" s="367">
        <f t="shared" si="295"/>
        <v>326.73400000000004</v>
      </c>
      <c r="AD550" s="367">
        <f t="shared" si="294"/>
        <v>326.73400000000004</v>
      </c>
      <c r="AE550" s="367">
        <f t="shared" ref="AE550:AK550" si="296">SUM($D550*$J550)/100</f>
        <v>326.73400000000004</v>
      </c>
      <c r="AF550" s="367">
        <f t="shared" si="296"/>
        <v>326.73400000000004</v>
      </c>
      <c r="AG550" s="367">
        <f t="shared" si="296"/>
        <v>326.73400000000004</v>
      </c>
      <c r="AH550" s="367">
        <f t="shared" si="296"/>
        <v>326.73400000000004</v>
      </c>
      <c r="AI550" s="367">
        <f t="shared" si="296"/>
        <v>326.73400000000004</v>
      </c>
      <c r="AJ550" s="367">
        <f t="shared" si="296"/>
        <v>326.73400000000004</v>
      </c>
      <c r="AK550" s="367">
        <f t="shared" si="296"/>
        <v>326.73400000000004</v>
      </c>
    </row>
    <row r="551" spans="2:37">
      <c r="B551" s="358" t="s">
        <v>643</v>
      </c>
      <c r="C551" s="364">
        <f>DATE(2000,1,1)</f>
        <v>36526</v>
      </c>
      <c r="D551" s="365">
        <v>340.89</v>
      </c>
      <c r="E551" s="365"/>
      <c r="F551" s="365">
        <f t="shared" si="289"/>
        <v>340.89300000000003</v>
      </c>
      <c r="H551" s="377">
        <f t="shared" si="280"/>
        <v>340.89300000000003</v>
      </c>
      <c r="I551" s="366">
        <v>2</v>
      </c>
      <c r="J551" s="385">
        <v>10</v>
      </c>
      <c r="L551" s="367">
        <v>0</v>
      </c>
      <c r="M551" s="367">
        <v>0</v>
      </c>
      <c r="N551" s="367">
        <v>0</v>
      </c>
      <c r="O551" s="367">
        <v>0</v>
      </c>
      <c r="P551" s="367">
        <v>0</v>
      </c>
      <c r="Q551" s="367">
        <v>0</v>
      </c>
      <c r="R551" s="367">
        <v>0</v>
      </c>
      <c r="S551" s="367">
        <v>0</v>
      </c>
      <c r="T551" s="367">
        <v>0</v>
      </c>
      <c r="U551" s="367">
        <v>0</v>
      </c>
      <c r="V551" s="367">
        <v>0</v>
      </c>
      <c r="W551" s="367">
        <f>SUM($D551*$J551)/100</f>
        <v>34.088999999999999</v>
      </c>
      <c r="X551" s="367">
        <v>34.090000000000003</v>
      </c>
      <c r="Y551" s="367">
        <v>34.090000000000003</v>
      </c>
      <c r="Z551" s="367">
        <f t="shared" ref="Z551:AA561" si="297">SUM($D551*$J551)/100</f>
        <v>34.088999999999999</v>
      </c>
      <c r="AA551" s="367">
        <f t="shared" si="297"/>
        <v>34.088999999999999</v>
      </c>
      <c r="AB551" s="367">
        <f t="shared" si="295"/>
        <v>34.088999999999999</v>
      </c>
      <c r="AC551" s="367">
        <f t="shared" si="295"/>
        <v>34.088999999999999</v>
      </c>
      <c r="AD551" s="367">
        <f t="shared" si="294"/>
        <v>34.088999999999999</v>
      </c>
      <c r="AE551" s="367">
        <f t="shared" ref="AE551:AE562" si="298">SUM($D551*$J551)/100</f>
        <v>34.088999999999999</v>
      </c>
      <c r="AF551" s="367">
        <v>34.090000000000003</v>
      </c>
      <c r="AG551" s="367">
        <v>0</v>
      </c>
      <c r="AH551" s="367">
        <v>0</v>
      </c>
      <c r="AI551" s="367">
        <v>0</v>
      </c>
      <c r="AJ551" s="367">
        <v>0</v>
      </c>
      <c r="AK551" s="367">
        <v>0</v>
      </c>
    </row>
    <row r="552" spans="2:37">
      <c r="B552" s="358" t="s">
        <v>642</v>
      </c>
      <c r="C552" s="364">
        <f>DATE(2000,2,1)</f>
        <v>36557</v>
      </c>
      <c r="D552" s="365">
        <v>1596.99</v>
      </c>
      <c r="E552" s="365"/>
      <c r="F552" s="365">
        <f t="shared" si="289"/>
        <v>1596.9920000000002</v>
      </c>
      <c r="H552" s="377">
        <f t="shared" si="280"/>
        <v>1596.9920000000002</v>
      </c>
      <c r="I552" s="366">
        <v>2</v>
      </c>
      <c r="J552" s="385">
        <v>10</v>
      </c>
      <c r="L552" s="367">
        <v>0</v>
      </c>
      <c r="M552" s="367">
        <v>0</v>
      </c>
      <c r="N552" s="367">
        <v>0</v>
      </c>
      <c r="O552" s="367">
        <v>0</v>
      </c>
      <c r="P552" s="367">
        <v>0</v>
      </c>
      <c r="Q552" s="367">
        <v>0</v>
      </c>
      <c r="R552" s="367">
        <v>0</v>
      </c>
      <c r="S552" s="367">
        <v>0</v>
      </c>
      <c r="T552" s="367">
        <v>0</v>
      </c>
      <c r="U552" s="367">
        <v>0</v>
      </c>
      <c r="V552" s="367">
        <v>0</v>
      </c>
      <c r="W552" s="367">
        <f>SUM($D552*$J552)/100</f>
        <v>159.69899999999998</v>
      </c>
      <c r="X552" s="367">
        <v>159.69999999999999</v>
      </c>
      <c r="Y552" s="367">
        <v>159.69999999999999</v>
      </c>
      <c r="Z552" s="367">
        <f t="shared" si="297"/>
        <v>159.69899999999998</v>
      </c>
      <c r="AA552" s="367">
        <f t="shared" si="297"/>
        <v>159.69899999999998</v>
      </c>
      <c r="AB552" s="367">
        <f t="shared" si="295"/>
        <v>159.69899999999998</v>
      </c>
      <c r="AC552" s="367">
        <f t="shared" si="295"/>
        <v>159.69899999999998</v>
      </c>
      <c r="AD552" s="367">
        <f t="shared" si="294"/>
        <v>159.69899999999998</v>
      </c>
      <c r="AE552" s="367">
        <f t="shared" si="298"/>
        <v>159.69899999999998</v>
      </c>
      <c r="AF552" s="367">
        <f>SUM($D552*$J552)/100</f>
        <v>159.69899999999998</v>
      </c>
      <c r="AG552" s="367">
        <v>0</v>
      </c>
      <c r="AH552" s="367">
        <v>0</v>
      </c>
      <c r="AI552" s="367">
        <v>0</v>
      </c>
      <c r="AJ552" s="367">
        <v>0</v>
      </c>
      <c r="AK552" s="367">
        <v>0</v>
      </c>
    </row>
    <row r="553" spans="2:37">
      <c r="B553" s="358" t="s">
        <v>641</v>
      </c>
      <c r="C553" s="364">
        <f>DATE(2000,6,1)</f>
        <v>36678</v>
      </c>
      <c r="D553" s="365">
        <v>2553.83</v>
      </c>
      <c r="E553" s="365"/>
      <c r="F553" s="365">
        <f t="shared" si="289"/>
        <v>2553.8310000000001</v>
      </c>
      <c r="H553" s="377">
        <f t="shared" si="280"/>
        <v>2553.8310000000001</v>
      </c>
      <c r="I553" s="366">
        <v>2</v>
      </c>
      <c r="J553" s="385">
        <v>10</v>
      </c>
      <c r="L553" s="367">
        <v>0</v>
      </c>
      <c r="M553" s="367">
        <v>0</v>
      </c>
      <c r="N553" s="367">
        <v>0</v>
      </c>
      <c r="O553" s="367">
        <v>0</v>
      </c>
      <c r="P553" s="367">
        <v>0</v>
      </c>
      <c r="Q553" s="367">
        <v>0</v>
      </c>
      <c r="R553" s="367">
        <v>0</v>
      </c>
      <c r="S553" s="367">
        <v>0</v>
      </c>
      <c r="T553" s="367">
        <v>0</v>
      </c>
      <c r="U553" s="367">
        <v>0</v>
      </c>
      <c r="V553" s="367">
        <v>0</v>
      </c>
      <c r="W553" s="367">
        <f>SUM($D553*$J553)/100</f>
        <v>255.38299999999998</v>
      </c>
      <c r="X553" s="367">
        <v>255.38</v>
      </c>
      <c r="Y553" s="367">
        <v>255.38</v>
      </c>
      <c r="Z553" s="367">
        <f t="shared" si="297"/>
        <v>255.38299999999998</v>
      </c>
      <c r="AA553" s="367">
        <f t="shared" si="297"/>
        <v>255.38299999999998</v>
      </c>
      <c r="AB553" s="367">
        <f t="shared" si="295"/>
        <v>255.38299999999998</v>
      </c>
      <c r="AC553" s="367">
        <f t="shared" si="295"/>
        <v>255.38299999999998</v>
      </c>
      <c r="AD553" s="367">
        <f t="shared" si="294"/>
        <v>255.38299999999998</v>
      </c>
      <c r="AE553" s="367">
        <f t="shared" si="298"/>
        <v>255.38299999999998</v>
      </c>
      <c r="AF553" s="367">
        <v>255.39</v>
      </c>
      <c r="AG553" s="367">
        <v>0</v>
      </c>
      <c r="AH553" s="367">
        <v>0</v>
      </c>
      <c r="AI553" s="367">
        <v>0</v>
      </c>
      <c r="AJ553" s="367">
        <v>0</v>
      </c>
      <c r="AK553" s="367">
        <v>0</v>
      </c>
    </row>
    <row r="554" spans="2:37">
      <c r="B554" s="358" t="s">
        <v>640</v>
      </c>
      <c r="C554" s="364">
        <f>DATE(2001,1,1)</f>
        <v>36892</v>
      </c>
      <c r="D554" s="365">
        <v>616.13</v>
      </c>
      <c r="E554" s="365"/>
      <c r="F554" s="365">
        <f t="shared" si="289"/>
        <v>616.13099999999997</v>
      </c>
      <c r="H554" s="377">
        <f t="shared" si="280"/>
        <v>616.13099999999997</v>
      </c>
      <c r="I554" s="366">
        <v>2</v>
      </c>
      <c r="J554" s="385">
        <v>10</v>
      </c>
      <c r="L554" s="367">
        <v>0</v>
      </c>
      <c r="M554" s="367">
        <v>0</v>
      </c>
      <c r="N554" s="367">
        <v>0</v>
      </c>
      <c r="O554" s="367">
        <v>0</v>
      </c>
      <c r="P554" s="367">
        <v>0</v>
      </c>
      <c r="Q554" s="367">
        <v>0</v>
      </c>
      <c r="R554" s="367">
        <v>0</v>
      </c>
      <c r="S554" s="367">
        <v>0</v>
      </c>
      <c r="T554" s="367">
        <v>0</v>
      </c>
      <c r="U554" s="367">
        <v>0</v>
      </c>
      <c r="V554" s="367">
        <v>0</v>
      </c>
      <c r="W554" s="367">
        <v>0</v>
      </c>
      <c r="X554" s="367">
        <v>61.61</v>
      </c>
      <c r="Y554" s="367">
        <v>61.61</v>
      </c>
      <c r="Z554" s="367">
        <f t="shared" si="297"/>
        <v>61.613</v>
      </c>
      <c r="AA554" s="367">
        <f t="shared" si="297"/>
        <v>61.613</v>
      </c>
      <c r="AB554" s="367">
        <f t="shared" si="295"/>
        <v>61.613</v>
      </c>
      <c r="AC554" s="367">
        <f t="shared" si="295"/>
        <v>61.613</v>
      </c>
      <c r="AD554" s="367">
        <f t="shared" si="294"/>
        <v>61.613</v>
      </c>
      <c r="AE554" s="367">
        <f t="shared" si="298"/>
        <v>61.613</v>
      </c>
      <c r="AF554" s="367">
        <f t="shared" ref="AF554:AF562" si="299">SUM($D554*$J554)/100</f>
        <v>61.613</v>
      </c>
      <c r="AG554" s="367">
        <v>61.62</v>
      </c>
      <c r="AH554" s="367">
        <v>0</v>
      </c>
      <c r="AI554" s="367">
        <v>0</v>
      </c>
      <c r="AJ554" s="367">
        <v>0</v>
      </c>
      <c r="AK554" s="367">
        <v>0</v>
      </c>
    </row>
    <row r="555" spans="2:37">
      <c r="B555" s="358" t="s">
        <v>639</v>
      </c>
      <c r="C555" s="364">
        <f>DATE(2001,2,1)</f>
        <v>36923</v>
      </c>
      <c r="D555" s="365">
        <f>640+219.82+304.3+598.87</f>
        <v>1762.9899999999998</v>
      </c>
      <c r="E555" s="365"/>
      <c r="F555" s="365">
        <f t="shared" si="289"/>
        <v>1762.9919999999997</v>
      </c>
      <c r="H555" s="377">
        <f t="shared" si="280"/>
        <v>1762.9919999999997</v>
      </c>
      <c r="I555" s="366">
        <v>2</v>
      </c>
      <c r="J555" s="385">
        <v>10</v>
      </c>
      <c r="L555" s="367">
        <v>0</v>
      </c>
      <c r="M555" s="367">
        <v>0</v>
      </c>
      <c r="N555" s="367">
        <v>0</v>
      </c>
      <c r="O555" s="367">
        <v>0</v>
      </c>
      <c r="P555" s="367">
        <v>0</v>
      </c>
      <c r="Q555" s="367">
        <v>0</v>
      </c>
      <c r="R555" s="367">
        <v>0</v>
      </c>
      <c r="S555" s="367">
        <v>0</v>
      </c>
      <c r="T555" s="367">
        <v>0</v>
      </c>
      <c r="U555" s="367">
        <v>0</v>
      </c>
      <c r="V555" s="367">
        <v>0</v>
      </c>
      <c r="W555" s="367">
        <v>0</v>
      </c>
      <c r="X555" s="367">
        <v>176.3</v>
      </c>
      <c r="Y555" s="367">
        <v>176.3</v>
      </c>
      <c r="Z555" s="367">
        <f t="shared" si="297"/>
        <v>176.29899999999998</v>
      </c>
      <c r="AA555" s="367">
        <f t="shared" si="297"/>
        <v>176.29899999999998</v>
      </c>
      <c r="AB555" s="367">
        <f t="shared" si="295"/>
        <v>176.29899999999998</v>
      </c>
      <c r="AC555" s="367">
        <f t="shared" si="295"/>
        <v>176.29899999999998</v>
      </c>
      <c r="AD555" s="367">
        <f t="shared" si="294"/>
        <v>176.29899999999998</v>
      </c>
      <c r="AE555" s="367">
        <f t="shared" si="298"/>
        <v>176.29899999999998</v>
      </c>
      <c r="AF555" s="367">
        <f t="shared" si="299"/>
        <v>176.29899999999998</v>
      </c>
      <c r="AG555" s="367">
        <f t="shared" ref="AG555:AG562" si="300">SUM($D555*$J555)/100</f>
        <v>176.29899999999998</v>
      </c>
      <c r="AH555" s="367">
        <v>0</v>
      </c>
      <c r="AI555" s="367">
        <v>0</v>
      </c>
      <c r="AJ555" s="367">
        <v>0</v>
      </c>
      <c r="AK555" s="367">
        <v>0</v>
      </c>
    </row>
    <row r="556" spans="2:37">
      <c r="B556" s="358" t="s">
        <v>638</v>
      </c>
      <c r="C556" s="364">
        <f>DATE(2002,2,1)</f>
        <v>37288</v>
      </c>
      <c r="D556" s="365">
        <v>575.1</v>
      </c>
      <c r="E556" s="365"/>
      <c r="F556" s="365">
        <f t="shared" si="289"/>
        <v>575.1</v>
      </c>
      <c r="H556" s="377">
        <f t="shared" si="280"/>
        <v>575.1</v>
      </c>
      <c r="I556" s="366">
        <v>2</v>
      </c>
      <c r="J556" s="385">
        <v>10</v>
      </c>
      <c r="L556" s="367">
        <v>0</v>
      </c>
      <c r="M556" s="367">
        <v>0</v>
      </c>
      <c r="N556" s="367">
        <v>0</v>
      </c>
      <c r="O556" s="367">
        <v>0</v>
      </c>
      <c r="P556" s="367">
        <v>0</v>
      </c>
      <c r="Q556" s="367">
        <v>0</v>
      </c>
      <c r="R556" s="367">
        <v>0</v>
      </c>
      <c r="S556" s="367">
        <v>0</v>
      </c>
      <c r="T556" s="367">
        <v>0</v>
      </c>
      <c r="U556" s="367">
        <v>0</v>
      </c>
      <c r="V556" s="367">
        <v>0</v>
      </c>
      <c r="W556" s="367">
        <v>0</v>
      </c>
      <c r="X556" s="367">
        <v>0</v>
      </c>
      <c r="Y556" s="367">
        <v>57.51</v>
      </c>
      <c r="Z556" s="367">
        <f t="shared" si="297"/>
        <v>57.51</v>
      </c>
      <c r="AA556" s="367">
        <f t="shared" si="297"/>
        <v>57.51</v>
      </c>
      <c r="AB556" s="367">
        <f t="shared" si="295"/>
        <v>57.51</v>
      </c>
      <c r="AC556" s="367">
        <f t="shared" si="295"/>
        <v>57.51</v>
      </c>
      <c r="AD556" s="367">
        <f t="shared" si="294"/>
        <v>57.51</v>
      </c>
      <c r="AE556" s="367">
        <f t="shared" si="298"/>
        <v>57.51</v>
      </c>
      <c r="AF556" s="367">
        <f t="shared" si="299"/>
        <v>57.51</v>
      </c>
      <c r="AG556" s="367">
        <f t="shared" si="300"/>
        <v>57.51</v>
      </c>
      <c r="AH556" s="367">
        <f t="shared" ref="AH556:AH562" si="301">SUM($D556*$J556)/100</f>
        <v>57.51</v>
      </c>
      <c r="AI556" s="367">
        <v>0</v>
      </c>
      <c r="AJ556" s="367">
        <v>0</v>
      </c>
      <c r="AK556" s="367">
        <v>0</v>
      </c>
    </row>
    <row r="557" spans="2:37">
      <c r="B557" s="358" t="s">
        <v>637</v>
      </c>
      <c r="C557" s="364">
        <f>DATE(2002,8,1)</f>
        <v>37469</v>
      </c>
      <c r="D557" s="365">
        <v>2751.4</v>
      </c>
      <c r="E557" s="365"/>
      <c r="F557" s="365">
        <f t="shared" si="289"/>
        <v>2751.3999999999992</v>
      </c>
      <c r="H557" s="377">
        <f t="shared" si="280"/>
        <v>2751.3999999999992</v>
      </c>
      <c r="I557" s="366">
        <v>2</v>
      </c>
      <c r="J557" s="385">
        <v>10</v>
      </c>
      <c r="L557" s="367">
        <v>0</v>
      </c>
      <c r="M557" s="367">
        <v>0</v>
      </c>
      <c r="N557" s="367">
        <v>0</v>
      </c>
      <c r="O557" s="367">
        <v>0</v>
      </c>
      <c r="P557" s="367">
        <v>0</v>
      </c>
      <c r="Q557" s="367">
        <v>0</v>
      </c>
      <c r="R557" s="367">
        <v>0</v>
      </c>
      <c r="S557" s="367">
        <v>0</v>
      </c>
      <c r="T557" s="367">
        <v>0</v>
      </c>
      <c r="U557" s="367">
        <v>0</v>
      </c>
      <c r="V557" s="367">
        <v>0</v>
      </c>
      <c r="W557" s="367">
        <v>0</v>
      </c>
      <c r="X557" s="367">
        <v>0</v>
      </c>
      <c r="Y557" s="367">
        <v>275.14</v>
      </c>
      <c r="Z557" s="367">
        <f t="shared" si="297"/>
        <v>275.14</v>
      </c>
      <c r="AA557" s="367">
        <f t="shared" si="297"/>
        <v>275.14</v>
      </c>
      <c r="AB557" s="367">
        <f t="shared" si="295"/>
        <v>275.14</v>
      </c>
      <c r="AC557" s="367">
        <f t="shared" si="295"/>
        <v>275.14</v>
      </c>
      <c r="AD557" s="367">
        <f t="shared" si="294"/>
        <v>275.14</v>
      </c>
      <c r="AE557" s="367">
        <f t="shared" si="298"/>
        <v>275.14</v>
      </c>
      <c r="AF557" s="367">
        <f t="shared" si="299"/>
        <v>275.14</v>
      </c>
      <c r="AG557" s="367">
        <f t="shared" si="300"/>
        <v>275.14</v>
      </c>
      <c r="AH557" s="367">
        <f t="shared" si="301"/>
        <v>275.14</v>
      </c>
      <c r="AI557" s="367">
        <v>0</v>
      </c>
      <c r="AJ557" s="367">
        <v>0</v>
      </c>
      <c r="AK557" s="367">
        <v>0</v>
      </c>
    </row>
    <row r="558" spans="2:37">
      <c r="B558" s="358" t="s">
        <v>636</v>
      </c>
      <c r="C558" s="364">
        <f>DATE(2002,9,1)</f>
        <v>37500</v>
      </c>
      <c r="D558" s="365">
        <v>106.5</v>
      </c>
      <c r="E558" s="365"/>
      <c r="F558" s="365">
        <f t="shared" si="289"/>
        <v>106.50000000000001</v>
      </c>
      <c r="H558" s="377">
        <f t="shared" si="280"/>
        <v>106.50000000000001</v>
      </c>
      <c r="I558" s="366">
        <v>2</v>
      </c>
      <c r="J558" s="385">
        <v>10</v>
      </c>
      <c r="L558" s="367">
        <v>0</v>
      </c>
      <c r="M558" s="367">
        <v>0</v>
      </c>
      <c r="N558" s="367">
        <v>0</v>
      </c>
      <c r="O558" s="367">
        <v>0</v>
      </c>
      <c r="P558" s="367">
        <v>0</v>
      </c>
      <c r="Q558" s="367">
        <v>0</v>
      </c>
      <c r="R558" s="367">
        <v>0</v>
      </c>
      <c r="S558" s="367">
        <v>0</v>
      </c>
      <c r="T558" s="367">
        <v>0</v>
      </c>
      <c r="U558" s="367">
        <v>0</v>
      </c>
      <c r="V558" s="367">
        <v>0</v>
      </c>
      <c r="W558" s="367">
        <v>0</v>
      </c>
      <c r="X558" s="367">
        <v>0</v>
      </c>
      <c r="Y558" s="367">
        <v>10.65</v>
      </c>
      <c r="Z558" s="367">
        <f t="shared" si="297"/>
        <v>10.65</v>
      </c>
      <c r="AA558" s="367">
        <f t="shared" si="297"/>
        <v>10.65</v>
      </c>
      <c r="AB558" s="367">
        <f t="shared" si="295"/>
        <v>10.65</v>
      </c>
      <c r="AC558" s="367">
        <f t="shared" si="295"/>
        <v>10.65</v>
      </c>
      <c r="AD558" s="367">
        <f t="shared" si="294"/>
        <v>10.65</v>
      </c>
      <c r="AE558" s="367">
        <f t="shared" si="298"/>
        <v>10.65</v>
      </c>
      <c r="AF558" s="367">
        <f t="shared" si="299"/>
        <v>10.65</v>
      </c>
      <c r="AG558" s="367">
        <f t="shared" si="300"/>
        <v>10.65</v>
      </c>
      <c r="AH558" s="367">
        <f t="shared" si="301"/>
        <v>10.65</v>
      </c>
      <c r="AI558" s="367">
        <v>0</v>
      </c>
      <c r="AJ558" s="367">
        <v>0</v>
      </c>
      <c r="AK558" s="367">
        <v>0</v>
      </c>
    </row>
    <row r="559" spans="2:37">
      <c r="B559" s="358" t="s">
        <v>635</v>
      </c>
      <c r="C559" s="364">
        <f>DATE(2002,12,1)</f>
        <v>37591</v>
      </c>
      <c r="D559" s="365">
        <v>1278</v>
      </c>
      <c r="E559" s="365"/>
      <c r="F559" s="365">
        <f t="shared" si="289"/>
        <v>1278</v>
      </c>
      <c r="H559" s="377">
        <f t="shared" si="280"/>
        <v>1278</v>
      </c>
      <c r="I559" s="366">
        <v>2</v>
      </c>
      <c r="J559" s="385">
        <v>10</v>
      </c>
      <c r="L559" s="367">
        <v>0</v>
      </c>
      <c r="M559" s="367">
        <v>0</v>
      </c>
      <c r="N559" s="367">
        <v>0</v>
      </c>
      <c r="O559" s="367">
        <v>0</v>
      </c>
      <c r="P559" s="367">
        <v>0</v>
      </c>
      <c r="Q559" s="367">
        <v>0</v>
      </c>
      <c r="R559" s="367">
        <v>0</v>
      </c>
      <c r="S559" s="367">
        <v>0</v>
      </c>
      <c r="T559" s="367">
        <v>0</v>
      </c>
      <c r="U559" s="367">
        <v>0</v>
      </c>
      <c r="V559" s="367">
        <v>0</v>
      </c>
      <c r="W559" s="367">
        <v>0</v>
      </c>
      <c r="X559" s="367">
        <v>0</v>
      </c>
      <c r="Y559" s="367">
        <v>63.9</v>
      </c>
      <c r="Z559" s="367">
        <f t="shared" si="297"/>
        <v>127.8</v>
      </c>
      <c r="AA559" s="367">
        <f t="shared" si="297"/>
        <v>127.8</v>
      </c>
      <c r="AB559" s="367">
        <f t="shared" si="295"/>
        <v>127.8</v>
      </c>
      <c r="AC559" s="367">
        <f t="shared" si="295"/>
        <v>127.8</v>
      </c>
      <c r="AD559" s="367">
        <f t="shared" si="294"/>
        <v>127.8</v>
      </c>
      <c r="AE559" s="367">
        <f t="shared" si="298"/>
        <v>127.8</v>
      </c>
      <c r="AF559" s="367">
        <f t="shared" si="299"/>
        <v>127.8</v>
      </c>
      <c r="AG559" s="367">
        <f t="shared" si="300"/>
        <v>127.8</v>
      </c>
      <c r="AH559" s="367">
        <f t="shared" si="301"/>
        <v>127.8</v>
      </c>
      <c r="AI559" s="367">
        <v>63.9</v>
      </c>
      <c r="AJ559" s="367">
        <v>0</v>
      </c>
      <c r="AK559" s="367">
        <v>0</v>
      </c>
    </row>
    <row r="560" spans="2:37">
      <c r="B560" s="373" t="s">
        <v>634</v>
      </c>
      <c r="C560" s="364">
        <f>DATE(2003,1,1)</f>
        <v>37622</v>
      </c>
      <c r="D560" s="365">
        <v>1006.37</v>
      </c>
      <c r="E560" s="365"/>
      <c r="F560" s="365">
        <f t="shared" si="289"/>
        <v>1006.3729999999999</v>
      </c>
      <c r="H560" s="377">
        <f t="shared" si="280"/>
        <v>1006.3729999999999</v>
      </c>
      <c r="I560" s="366">
        <v>2</v>
      </c>
      <c r="J560" s="385">
        <v>10</v>
      </c>
      <c r="L560" s="367">
        <v>0</v>
      </c>
      <c r="M560" s="367">
        <v>0</v>
      </c>
      <c r="N560" s="367">
        <v>0</v>
      </c>
      <c r="O560" s="367">
        <v>0</v>
      </c>
      <c r="P560" s="367">
        <v>0</v>
      </c>
      <c r="Q560" s="367">
        <v>0</v>
      </c>
      <c r="R560" s="367">
        <v>0</v>
      </c>
      <c r="S560" s="367">
        <v>0</v>
      </c>
      <c r="T560" s="367">
        <v>0</v>
      </c>
      <c r="U560" s="367">
        <v>0</v>
      </c>
      <c r="V560" s="367">
        <v>0</v>
      </c>
      <c r="W560" s="367">
        <v>0</v>
      </c>
      <c r="X560" s="367">
        <v>0</v>
      </c>
      <c r="Y560" s="367">
        <v>0</v>
      </c>
      <c r="Z560" s="367">
        <f t="shared" si="297"/>
        <v>100.637</v>
      </c>
      <c r="AA560" s="367">
        <f t="shared" si="297"/>
        <v>100.637</v>
      </c>
      <c r="AB560" s="367">
        <f t="shared" si="295"/>
        <v>100.637</v>
      </c>
      <c r="AC560" s="367">
        <f t="shared" si="295"/>
        <v>100.637</v>
      </c>
      <c r="AD560" s="367">
        <f t="shared" si="294"/>
        <v>100.637</v>
      </c>
      <c r="AE560" s="367">
        <f t="shared" si="298"/>
        <v>100.637</v>
      </c>
      <c r="AF560" s="367">
        <f t="shared" si="299"/>
        <v>100.637</v>
      </c>
      <c r="AG560" s="367">
        <f t="shared" si="300"/>
        <v>100.637</v>
      </c>
      <c r="AH560" s="367">
        <f t="shared" si="301"/>
        <v>100.637</v>
      </c>
      <c r="AI560" s="367">
        <v>100.64</v>
      </c>
      <c r="AJ560" s="367">
        <v>0</v>
      </c>
      <c r="AK560" s="367">
        <v>0</v>
      </c>
    </row>
    <row r="561" spans="2:37">
      <c r="B561" s="358" t="s">
        <v>633</v>
      </c>
      <c r="C561" s="364">
        <f>DATE(2003,11,1)</f>
        <v>37926</v>
      </c>
      <c r="D561" s="365">
        <v>2090.4499999999998</v>
      </c>
      <c r="E561" s="365"/>
      <c r="F561" s="365">
        <f t="shared" si="289"/>
        <v>2090.4450000000002</v>
      </c>
      <c r="H561" s="377">
        <f t="shared" si="280"/>
        <v>2090.4450000000002</v>
      </c>
      <c r="I561" s="366">
        <v>2</v>
      </c>
      <c r="J561" s="385">
        <v>10</v>
      </c>
      <c r="L561" s="367">
        <v>0</v>
      </c>
      <c r="M561" s="367">
        <v>0</v>
      </c>
      <c r="N561" s="367">
        <v>0</v>
      </c>
      <c r="O561" s="367">
        <v>0</v>
      </c>
      <c r="P561" s="367">
        <v>0</v>
      </c>
      <c r="Q561" s="367">
        <v>0</v>
      </c>
      <c r="R561" s="367">
        <v>0</v>
      </c>
      <c r="S561" s="367">
        <v>0</v>
      </c>
      <c r="T561" s="367">
        <v>0</v>
      </c>
      <c r="U561" s="367">
        <v>0</v>
      </c>
      <c r="V561" s="367">
        <v>0</v>
      </c>
      <c r="W561" s="367">
        <v>0</v>
      </c>
      <c r="X561" s="367">
        <v>0</v>
      </c>
      <c r="Y561" s="367">
        <v>0</v>
      </c>
      <c r="Z561" s="367">
        <f t="shared" si="297"/>
        <v>209.04499999999999</v>
      </c>
      <c r="AA561" s="367">
        <f t="shared" si="297"/>
        <v>209.04499999999999</v>
      </c>
      <c r="AB561" s="367">
        <f t="shared" si="295"/>
        <v>209.04499999999999</v>
      </c>
      <c r="AC561" s="367">
        <f t="shared" si="295"/>
        <v>209.04499999999999</v>
      </c>
      <c r="AD561" s="367">
        <f t="shared" si="294"/>
        <v>209.04499999999999</v>
      </c>
      <c r="AE561" s="367">
        <f t="shared" si="298"/>
        <v>209.04499999999999</v>
      </c>
      <c r="AF561" s="367">
        <f t="shared" si="299"/>
        <v>209.04499999999999</v>
      </c>
      <c r="AG561" s="367">
        <f t="shared" si="300"/>
        <v>209.04499999999999</v>
      </c>
      <c r="AH561" s="367">
        <f t="shared" si="301"/>
        <v>209.04499999999999</v>
      </c>
      <c r="AI561" s="367">
        <v>209.04</v>
      </c>
      <c r="AJ561" s="367">
        <v>0</v>
      </c>
      <c r="AK561" s="367">
        <v>0</v>
      </c>
    </row>
    <row r="562" spans="2:37">
      <c r="B562" s="358" t="s">
        <v>632</v>
      </c>
      <c r="C562" s="368">
        <f>DATE(2004,4,1)</f>
        <v>38078</v>
      </c>
      <c r="D562" s="369">
        <v>605.16999999999996</v>
      </c>
      <c r="E562" s="369"/>
      <c r="F562" s="369">
        <f t="shared" si="289"/>
        <v>544.65300000000002</v>
      </c>
      <c r="G562" s="370"/>
      <c r="H562" s="377">
        <f t="shared" si="280"/>
        <v>544.65300000000002</v>
      </c>
      <c r="I562" s="371">
        <v>2</v>
      </c>
      <c r="J562" s="383">
        <v>10</v>
      </c>
      <c r="K562" s="370"/>
      <c r="L562" s="372">
        <v>0</v>
      </c>
      <c r="M562" s="372">
        <v>0</v>
      </c>
      <c r="N562" s="372">
        <v>0</v>
      </c>
      <c r="O562" s="372">
        <v>0</v>
      </c>
      <c r="P562" s="372">
        <v>0</v>
      </c>
      <c r="Q562" s="372">
        <v>0</v>
      </c>
      <c r="R562" s="372">
        <v>0</v>
      </c>
      <c r="S562" s="372">
        <v>0</v>
      </c>
      <c r="T562" s="372">
        <v>0</v>
      </c>
      <c r="U562" s="372">
        <v>0</v>
      </c>
      <c r="V562" s="372">
        <v>0</v>
      </c>
      <c r="W562" s="372">
        <v>0</v>
      </c>
      <c r="X562" s="372">
        <v>0</v>
      </c>
      <c r="Y562" s="372">
        <v>0</v>
      </c>
      <c r="Z562" s="372">
        <v>0</v>
      </c>
      <c r="AA562" s="372">
        <f>SUM($D562*$J562)/100</f>
        <v>60.516999999999996</v>
      </c>
      <c r="AB562" s="372">
        <f t="shared" si="295"/>
        <v>60.516999999999996</v>
      </c>
      <c r="AC562" s="372">
        <f t="shared" si="295"/>
        <v>60.516999999999996</v>
      </c>
      <c r="AD562" s="372">
        <f t="shared" si="294"/>
        <v>60.516999999999996</v>
      </c>
      <c r="AE562" s="372">
        <f t="shared" si="298"/>
        <v>60.516999999999996</v>
      </c>
      <c r="AF562" s="372">
        <f t="shared" si="299"/>
        <v>60.516999999999996</v>
      </c>
      <c r="AG562" s="372">
        <f t="shared" si="300"/>
        <v>60.516999999999996</v>
      </c>
      <c r="AH562" s="372">
        <f t="shared" si="301"/>
        <v>60.516999999999996</v>
      </c>
      <c r="AI562" s="372">
        <f>SUM($D562*$J562)/100</f>
        <v>60.516999999999996</v>
      </c>
      <c r="AJ562" s="372">
        <v>60.51</v>
      </c>
      <c r="AK562" s="372">
        <v>60.51</v>
      </c>
    </row>
    <row r="563" spans="2:37">
      <c r="D563" s="365">
        <f>SUM(D530:D562)</f>
        <v>97971.41</v>
      </c>
      <c r="E563" s="365">
        <f>F563+AJ563</f>
        <v>93264.624000000011</v>
      </c>
      <c r="F563" s="365">
        <f>SUM(F530:F562)</f>
        <v>92506.487000000008</v>
      </c>
      <c r="G563" s="365">
        <f>SUM(G530:G562)</f>
        <v>6263.55</v>
      </c>
      <c r="H563" s="377">
        <f t="shared" si="280"/>
        <v>86879.776999999987</v>
      </c>
      <c r="I563" s="366"/>
      <c r="J563" s="366"/>
      <c r="K563" s="365">
        <f t="shared" ref="K563:AK563" si="302">SUM(K530:K562)</f>
        <v>2319.3330000000001</v>
      </c>
      <c r="L563" s="365">
        <f t="shared" si="302"/>
        <v>4516.0380000000005</v>
      </c>
      <c r="M563" s="365">
        <f t="shared" si="302"/>
        <v>4570.9530000000004</v>
      </c>
      <c r="N563" s="365">
        <f t="shared" si="302"/>
        <v>4570.9530000000004</v>
      </c>
      <c r="O563" s="365">
        <f t="shared" si="302"/>
        <v>4570.9530000000004</v>
      </c>
      <c r="P563" s="365">
        <f t="shared" si="302"/>
        <v>4570.9530000000004</v>
      </c>
      <c r="Q563" s="365">
        <f t="shared" si="302"/>
        <v>4488.6499999999996</v>
      </c>
      <c r="R563" s="365">
        <f t="shared" si="302"/>
        <v>4406.33</v>
      </c>
      <c r="S563" s="365">
        <f t="shared" si="302"/>
        <v>4744.585</v>
      </c>
      <c r="T563" s="365">
        <f t="shared" si="302"/>
        <v>4744.585</v>
      </c>
      <c r="U563" s="365">
        <f t="shared" si="302"/>
        <v>3105.0960000000009</v>
      </c>
      <c r="V563" s="365">
        <f t="shared" si="302"/>
        <v>1239.4530000000002</v>
      </c>
      <c r="W563" s="365">
        <f t="shared" si="302"/>
        <v>1633.7140000000002</v>
      </c>
      <c r="X563" s="365">
        <f t="shared" si="302"/>
        <v>1871.6399999999999</v>
      </c>
      <c r="Y563" s="365">
        <f t="shared" si="302"/>
        <v>2278.84</v>
      </c>
      <c r="Z563" s="365">
        <f t="shared" si="302"/>
        <v>2652.4080000000008</v>
      </c>
      <c r="AA563" s="365">
        <f t="shared" si="302"/>
        <v>2712.9250000000006</v>
      </c>
      <c r="AB563" s="365">
        <f t="shared" si="302"/>
        <v>3518.0945000000002</v>
      </c>
      <c r="AC563" s="365">
        <f t="shared" si="302"/>
        <v>3179.8545000000004</v>
      </c>
      <c r="AD563" s="365">
        <f t="shared" si="302"/>
        <v>4879.1864999999998</v>
      </c>
      <c r="AE563" s="365">
        <f t="shared" si="302"/>
        <v>4370.4395000000004</v>
      </c>
      <c r="AF563" s="365">
        <f t="shared" si="302"/>
        <v>4032.9375000000005</v>
      </c>
      <c r="AG563" s="365">
        <f t="shared" si="302"/>
        <v>3583.7655000000004</v>
      </c>
      <c r="AH563" s="365">
        <f t="shared" si="302"/>
        <v>3186.3660000000004</v>
      </c>
      <c r="AI563" s="365">
        <f t="shared" si="302"/>
        <v>1131.7239999999999</v>
      </c>
      <c r="AJ563" s="365">
        <f t="shared" si="302"/>
        <v>758.13699999999994</v>
      </c>
      <c r="AK563" s="365">
        <f t="shared" si="302"/>
        <v>758.13699999999994</v>
      </c>
    </row>
    <row r="564" spans="2:37">
      <c r="E564" s="365"/>
      <c r="F564" s="365"/>
      <c r="L564" s="367"/>
      <c r="M564" s="367"/>
      <c r="N564" s="367"/>
      <c r="O564" s="367"/>
      <c r="P564" s="367"/>
    </row>
    <row r="565" spans="2:37">
      <c r="D565" s="365"/>
      <c r="E565" s="365"/>
      <c r="F565" s="365"/>
      <c r="L565" s="367"/>
      <c r="M565" s="367"/>
      <c r="N565" s="367"/>
      <c r="O565" s="367"/>
      <c r="P565" s="367"/>
    </row>
    <row r="566" spans="2:37">
      <c r="D566" s="365"/>
      <c r="E566" s="365"/>
      <c r="F566" s="365"/>
      <c r="L566" s="367"/>
      <c r="M566" s="367"/>
      <c r="N566" s="367"/>
      <c r="O566" s="367"/>
      <c r="P566" s="367"/>
    </row>
    <row r="567" spans="2:37">
      <c r="D567" s="365"/>
      <c r="E567" s="365"/>
      <c r="F567" s="365"/>
      <c r="L567" s="367"/>
      <c r="M567" s="367"/>
      <c r="N567" s="367"/>
      <c r="O567" s="367"/>
      <c r="P567" s="367"/>
    </row>
    <row r="568" spans="2:37">
      <c r="D568" s="365"/>
      <c r="E568" s="365"/>
      <c r="F568" s="365"/>
      <c r="L568" s="367"/>
      <c r="M568" s="367"/>
      <c r="N568" s="367"/>
      <c r="O568" s="367"/>
      <c r="P568" s="367"/>
    </row>
    <row r="569" spans="2:37">
      <c r="D569" s="365"/>
      <c r="E569" s="365"/>
      <c r="F569" s="365"/>
      <c r="L569" s="367"/>
      <c r="M569" s="367"/>
      <c r="N569" s="367"/>
      <c r="O569" s="367"/>
      <c r="P569" s="367"/>
    </row>
    <row r="570" spans="2:37">
      <c r="D570" s="365"/>
      <c r="E570" s="365"/>
      <c r="F570" s="365"/>
      <c r="L570" s="367"/>
      <c r="M570" s="367"/>
      <c r="N570" s="367"/>
      <c r="O570" s="367"/>
      <c r="P570" s="367"/>
    </row>
    <row r="571" spans="2:37">
      <c r="D571" s="365"/>
      <c r="E571" s="365"/>
      <c r="F571" s="365"/>
    </row>
    <row r="572" spans="2:37">
      <c r="D572" s="365"/>
      <c r="E572" s="365"/>
      <c r="F572" s="365"/>
    </row>
    <row r="573" spans="2:37">
      <c r="D573" s="365"/>
      <c r="E573" s="365"/>
      <c r="F573" s="365"/>
    </row>
    <row r="574" spans="2:37">
      <c r="D574" s="365"/>
      <c r="E574" s="365"/>
      <c r="F574" s="365"/>
    </row>
    <row r="575" spans="2:37">
      <c r="D575" s="365"/>
      <c r="E575" s="365"/>
      <c r="F575" s="365"/>
    </row>
    <row r="576" spans="2:37">
      <c r="D576" s="365"/>
      <c r="E576" s="365"/>
      <c r="F576" s="365"/>
    </row>
    <row r="577" spans="4:6">
      <c r="D577" s="365"/>
      <c r="E577" s="365"/>
      <c r="F577" s="365"/>
    </row>
    <row r="578" spans="4:6">
      <c r="D578" s="365"/>
      <c r="E578" s="365"/>
      <c r="F578" s="365"/>
    </row>
    <row r="579" spans="4:6">
      <c r="D579" s="365"/>
      <c r="E579" s="365"/>
      <c r="F579" s="365"/>
    </row>
    <row r="580" spans="4:6">
      <c r="D580" s="365"/>
      <c r="E580" s="365"/>
      <c r="F580" s="365"/>
    </row>
    <row r="581" spans="4:6">
      <c r="D581" s="365"/>
      <c r="E581" s="365"/>
      <c r="F581" s="365"/>
    </row>
    <row r="582" spans="4:6">
      <c r="D582" s="365"/>
      <c r="E582" s="365"/>
      <c r="F582" s="365"/>
    </row>
    <row r="583" spans="4:6">
      <c r="D583" s="365"/>
      <c r="E583" s="365"/>
      <c r="F583" s="365"/>
    </row>
    <row r="584" spans="4:6">
      <c r="D584" s="365"/>
      <c r="E584" s="365"/>
      <c r="F584" s="365"/>
    </row>
    <row r="585" spans="4:6">
      <c r="D585" s="365"/>
      <c r="E585" s="365"/>
      <c r="F585" s="365"/>
    </row>
    <row r="586" spans="4:6">
      <c r="D586" s="365"/>
      <c r="E586" s="365"/>
      <c r="F586" s="365"/>
    </row>
    <row r="587" spans="4:6">
      <c r="D587" s="365"/>
      <c r="E587" s="365"/>
      <c r="F587" s="365"/>
    </row>
    <row r="588" spans="4:6">
      <c r="D588" s="365"/>
      <c r="E588" s="365"/>
      <c r="F588" s="365"/>
    </row>
    <row r="589" spans="4:6">
      <c r="D589" s="365"/>
      <c r="E589" s="365"/>
      <c r="F589" s="365"/>
    </row>
    <row r="590" spans="4:6">
      <c r="D590" s="365"/>
      <c r="E590" s="365"/>
      <c r="F590" s="365"/>
    </row>
    <row r="591" spans="4:6">
      <c r="D591" s="365"/>
      <c r="E591" s="365"/>
      <c r="F591" s="365"/>
    </row>
    <row r="592" spans="4:6">
      <c r="D592" s="365"/>
      <c r="E592" s="365"/>
      <c r="F592" s="365"/>
    </row>
    <row r="593" spans="4:6">
      <c r="D593" s="365"/>
      <c r="E593" s="365"/>
      <c r="F593" s="365"/>
    </row>
    <row r="594" spans="4:6">
      <c r="D594" s="365"/>
      <c r="E594" s="365"/>
      <c r="F594" s="365"/>
    </row>
    <row r="595" spans="4:6">
      <c r="D595" s="365"/>
      <c r="E595" s="365"/>
      <c r="F595" s="365"/>
    </row>
    <row r="596" spans="4:6">
      <c r="D596" s="365"/>
      <c r="E596" s="365"/>
      <c r="F596" s="365"/>
    </row>
    <row r="597" spans="4:6">
      <c r="D597" s="365"/>
      <c r="E597" s="365"/>
      <c r="F597" s="365"/>
    </row>
    <row r="598" spans="4:6">
      <c r="D598" s="365"/>
      <c r="E598" s="365"/>
      <c r="F598" s="365"/>
    </row>
    <row r="599" spans="4:6">
      <c r="D599" s="365"/>
      <c r="E599" s="365"/>
      <c r="F599" s="365"/>
    </row>
    <row r="600" spans="4:6">
      <c r="D600" s="365"/>
      <c r="E600" s="365"/>
      <c r="F600" s="365"/>
    </row>
    <row r="601" spans="4:6">
      <c r="D601" s="365"/>
      <c r="E601" s="365"/>
      <c r="F601" s="365"/>
    </row>
    <row r="602" spans="4:6">
      <c r="D602" s="365"/>
      <c r="E602" s="365"/>
      <c r="F602" s="365"/>
    </row>
    <row r="603" spans="4:6">
      <c r="D603" s="365"/>
      <c r="E603" s="365"/>
      <c r="F603" s="365"/>
    </row>
    <row r="604" spans="4:6">
      <c r="D604" s="365"/>
      <c r="E604" s="365"/>
      <c r="F604" s="365"/>
    </row>
    <row r="605" spans="4:6">
      <c r="D605" s="365"/>
      <c r="E605" s="365"/>
      <c r="F605" s="365"/>
    </row>
    <row r="606" spans="4:6">
      <c r="D606" s="365"/>
      <c r="E606" s="365"/>
      <c r="F606" s="365"/>
    </row>
    <row r="607" spans="4:6">
      <c r="D607" s="365"/>
      <c r="E607" s="365"/>
      <c r="F607" s="365"/>
    </row>
    <row r="608" spans="4:6">
      <c r="D608" s="365"/>
      <c r="E608" s="365"/>
      <c r="F608" s="365"/>
    </row>
    <row r="609" spans="4:6">
      <c r="D609" s="365"/>
      <c r="E609" s="365"/>
      <c r="F609" s="365"/>
    </row>
    <row r="610" spans="4:6">
      <c r="D610" s="365"/>
      <c r="E610" s="365"/>
      <c r="F610" s="365"/>
    </row>
    <row r="611" spans="4:6">
      <c r="D611" s="365"/>
      <c r="E611" s="365"/>
      <c r="F611" s="365"/>
    </row>
    <row r="612" spans="4:6">
      <c r="D612" s="365"/>
      <c r="E612" s="365"/>
      <c r="F612" s="365"/>
    </row>
    <row r="613" spans="4:6">
      <c r="D613" s="365"/>
      <c r="E613" s="365"/>
      <c r="F613" s="365"/>
    </row>
    <row r="614" spans="4:6">
      <c r="D614" s="365"/>
      <c r="E614" s="365"/>
      <c r="F614" s="365"/>
    </row>
    <row r="615" spans="4:6">
      <c r="D615" s="365"/>
      <c r="E615" s="365"/>
      <c r="F615" s="365"/>
    </row>
    <row r="616" spans="4:6">
      <c r="D616" s="365"/>
      <c r="E616" s="365"/>
      <c r="F616" s="365"/>
    </row>
    <row r="617" spans="4:6">
      <c r="D617" s="365"/>
      <c r="E617" s="365"/>
      <c r="F617" s="365"/>
    </row>
    <row r="618" spans="4:6">
      <c r="D618" s="365"/>
      <c r="E618" s="365"/>
      <c r="F618" s="365"/>
    </row>
    <row r="619" spans="4:6">
      <c r="D619" s="365"/>
      <c r="E619" s="365"/>
      <c r="F619" s="365"/>
    </row>
    <row r="620" spans="4:6">
      <c r="D620" s="365"/>
      <c r="E620" s="365"/>
      <c r="F620" s="365"/>
    </row>
    <row r="621" spans="4:6">
      <c r="D621" s="365"/>
      <c r="E621" s="365"/>
      <c r="F621" s="365"/>
    </row>
    <row r="622" spans="4:6">
      <c r="D622" s="365"/>
      <c r="E622" s="365"/>
      <c r="F622" s="365"/>
    </row>
    <row r="623" spans="4:6">
      <c r="D623" s="365"/>
      <c r="E623" s="365"/>
      <c r="F623" s="365"/>
    </row>
    <row r="624" spans="4:6">
      <c r="D624" s="365"/>
      <c r="E624" s="365"/>
      <c r="F624" s="365"/>
    </row>
    <row r="625" spans="4:6">
      <c r="D625" s="365"/>
      <c r="E625" s="365"/>
      <c r="F625" s="365"/>
    </row>
    <row r="626" spans="4:6">
      <c r="D626" s="365"/>
      <c r="E626" s="365"/>
      <c r="F626" s="365"/>
    </row>
    <row r="627" spans="4:6">
      <c r="D627" s="365"/>
      <c r="E627" s="365"/>
      <c r="F627" s="365"/>
    </row>
    <row r="628" spans="4:6">
      <c r="D628" s="365"/>
      <c r="E628" s="365"/>
      <c r="F628" s="365"/>
    </row>
    <row r="629" spans="4:6">
      <c r="D629" s="365"/>
      <c r="E629" s="365"/>
      <c r="F629" s="365"/>
    </row>
    <row r="630" spans="4:6">
      <c r="D630" s="365"/>
      <c r="E630" s="365"/>
      <c r="F630" s="365"/>
    </row>
    <row r="631" spans="4:6">
      <c r="D631" s="365"/>
      <c r="E631" s="365"/>
      <c r="F631" s="365"/>
    </row>
    <row r="632" spans="4:6">
      <c r="D632" s="365"/>
      <c r="E632" s="365"/>
      <c r="F632" s="365"/>
    </row>
    <row r="633" spans="4:6">
      <c r="D633" s="365"/>
      <c r="E633" s="365"/>
      <c r="F633" s="365"/>
    </row>
    <row r="634" spans="4:6">
      <c r="D634" s="365"/>
      <c r="E634" s="365"/>
      <c r="F634" s="365"/>
    </row>
    <row r="635" spans="4:6">
      <c r="D635" s="365"/>
      <c r="E635" s="365"/>
      <c r="F635" s="365"/>
    </row>
    <row r="636" spans="4:6">
      <c r="D636" s="365"/>
      <c r="E636" s="365"/>
      <c r="F636" s="365"/>
    </row>
    <row r="637" spans="4:6">
      <c r="F637" s="365"/>
    </row>
    <row r="638" spans="4:6">
      <c r="F638" s="365"/>
    </row>
    <row r="639" spans="4:6">
      <c r="F639" s="365"/>
    </row>
    <row r="640" spans="4:6">
      <c r="F640" s="365"/>
    </row>
    <row r="641" spans="6:6">
      <c r="F641" s="365"/>
    </row>
    <row r="642" spans="6:6">
      <c r="F642" s="365"/>
    </row>
    <row r="643" spans="6:6">
      <c r="F643" s="365"/>
    </row>
    <row r="644" spans="6:6">
      <c r="F644" s="365"/>
    </row>
    <row r="645" spans="6:6">
      <c r="F645" s="365"/>
    </row>
    <row r="646" spans="6:6">
      <c r="F646" s="365"/>
    </row>
    <row r="647" spans="6:6">
      <c r="F647" s="365"/>
    </row>
    <row r="648" spans="6:6">
      <c r="F648" s="365"/>
    </row>
    <row r="649" spans="6:6">
      <c r="F649" s="365"/>
    </row>
    <row r="650" spans="6:6">
      <c r="F650" s="365"/>
    </row>
    <row r="651" spans="6:6">
      <c r="F651" s="365"/>
    </row>
    <row r="652" spans="6:6">
      <c r="F652" s="365"/>
    </row>
    <row r="653" spans="6:6">
      <c r="F653" s="365"/>
    </row>
    <row r="654" spans="6:6">
      <c r="F654" s="365"/>
    </row>
    <row r="655" spans="6:6">
      <c r="F655" s="365"/>
    </row>
    <row r="656" spans="6:6">
      <c r="F656" s="365"/>
    </row>
    <row r="657" spans="6:6">
      <c r="F657" s="365"/>
    </row>
    <row r="658" spans="6:6">
      <c r="F658" s="365"/>
    </row>
    <row r="659" spans="6:6">
      <c r="F659" s="365"/>
    </row>
    <row r="660" spans="6:6">
      <c r="F660" s="365"/>
    </row>
    <row r="661" spans="6:6">
      <c r="F661" s="365"/>
    </row>
    <row r="662" spans="6:6">
      <c r="F662" s="365"/>
    </row>
    <row r="663" spans="6:6">
      <c r="F663" s="365"/>
    </row>
    <row r="664" spans="6:6">
      <c r="F664" s="365"/>
    </row>
    <row r="665" spans="6:6">
      <c r="F665" s="365"/>
    </row>
    <row r="666" spans="6:6">
      <c r="F666" s="365"/>
    </row>
    <row r="667" spans="6:6">
      <c r="F667" s="365"/>
    </row>
    <row r="668" spans="6:6">
      <c r="F668" s="365"/>
    </row>
    <row r="669" spans="6:6">
      <c r="F669" s="365"/>
    </row>
    <row r="670" spans="6:6">
      <c r="F670" s="365"/>
    </row>
    <row r="671" spans="6:6">
      <c r="F671" s="365"/>
    </row>
    <row r="672" spans="6:6">
      <c r="F672" s="365"/>
    </row>
    <row r="673" spans="6:6">
      <c r="F673" s="365"/>
    </row>
    <row r="674" spans="6:6">
      <c r="F674" s="365"/>
    </row>
    <row r="675" spans="6:6">
      <c r="F675" s="365"/>
    </row>
    <row r="676" spans="6:6">
      <c r="F676" s="365"/>
    </row>
    <row r="677" spans="6:6">
      <c r="F677" s="365"/>
    </row>
    <row r="678" spans="6:6">
      <c r="F678" s="365"/>
    </row>
    <row r="679" spans="6:6">
      <c r="F679" s="365"/>
    </row>
    <row r="680" spans="6:6">
      <c r="F680" s="365"/>
    </row>
    <row r="681" spans="6:6">
      <c r="F681" s="365"/>
    </row>
    <row r="682" spans="6:6">
      <c r="F682" s="365"/>
    </row>
    <row r="683" spans="6:6">
      <c r="F683" s="365"/>
    </row>
    <row r="684" spans="6:6">
      <c r="F684" s="365"/>
    </row>
    <row r="685" spans="6:6">
      <c r="F685" s="365"/>
    </row>
    <row r="686" spans="6:6">
      <c r="F686" s="365"/>
    </row>
    <row r="687" spans="6:6">
      <c r="F687" s="365"/>
    </row>
    <row r="688" spans="6:6">
      <c r="F688" s="365"/>
    </row>
    <row r="705" spans="33:35">
      <c r="AG705" s="358" t="s">
        <v>631</v>
      </c>
      <c r="AH705" s="358" t="s">
        <v>630</v>
      </c>
      <c r="AI705" s="358" t="s">
        <v>629</v>
      </c>
    </row>
    <row r="707" spans="33:35">
      <c r="AG707" s="358" t="s">
        <v>628</v>
      </c>
      <c r="AH707" s="358" t="s">
        <v>627</v>
      </c>
      <c r="AI707" s="358" t="s">
        <v>626</v>
      </c>
    </row>
    <row r="709" spans="33:35">
      <c r="AG709" s="358" t="s">
        <v>625</v>
      </c>
      <c r="AH709" s="358" t="s">
        <v>624</v>
      </c>
      <c r="AI709" s="358" t="s">
        <v>623</v>
      </c>
    </row>
    <row r="711" spans="33:35">
      <c r="AG711" s="358" t="s">
        <v>622</v>
      </c>
      <c r="AH711" s="358" t="s">
        <v>621</v>
      </c>
      <c r="AI711" s="358" t="s">
        <v>620</v>
      </c>
    </row>
    <row r="713" spans="33:35">
      <c r="AG713" s="358" t="s">
        <v>619</v>
      </c>
      <c r="AH713" s="358" t="s">
        <v>618</v>
      </c>
      <c r="AI713" s="358" t="s">
        <v>617</v>
      </c>
    </row>
    <row r="714" spans="33:35">
      <c r="AH714" s="358" t="s">
        <v>616</v>
      </c>
    </row>
    <row r="716" spans="33:35">
      <c r="AG716" s="358" t="s">
        <v>615</v>
      </c>
      <c r="AH716" s="358" t="s">
        <v>614</v>
      </c>
      <c r="AI716" s="358" t="s">
        <v>613</v>
      </c>
    </row>
    <row r="718" spans="33:35">
      <c r="AG718" s="358" t="s">
        <v>612</v>
      </c>
      <c r="AH718" s="358" t="s">
        <v>611</v>
      </c>
      <c r="AI718" s="358" t="s">
        <v>610</v>
      </c>
    </row>
    <row r="720" spans="33:35">
      <c r="AG720" s="358" t="s">
        <v>609</v>
      </c>
      <c r="AH720" s="358" t="s">
        <v>608</v>
      </c>
      <c r="AI720" s="358" t="s">
        <v>607</v>
      </c>
    </row>
    <row r="722" spans="33:35">
      <c r="AG722" s="358" t="s">
        <v>606</v>
      </c>
      <c r="AH722" s="358" t="s">
        <v>605</v>
      </c>
      <c r="AI722" s="358" t="s">
        <v>604</v>
      </c>
    </row>
  </sheetData>
  <pageMargins left="0.25" right="0.55000000000000004" top="0.25" bottom="0.25" header="0.5" footer="0.5"/>
  <pageSetup scale="74" fitToHeight="31" orientation="landscape" r:id="rId1"/>
  <headerFooter alignWithMargins="0"/>
  <rowBreaks count="2" manualBreakCount="2">
    <brk id="136" max="31" man="1"/>
    <brk id="50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
  <sheetViews>
    <sheetView zoomScale="80" workbookViewId="0">
      <selection activeCell="M58" sqref="M58"/>
    </sheetView>
  </sheetViews>
  <sheetFormatPr defaultRowHeight="12.75"/>
  <cols>
    <col min="2" max="2" width="45" customWidth="1"/>
    <col min="3" max="3" width="12.140625" customWidth="1"/>
  </cols>
  <sheetData>
    <row r="1" spans="1:7" ht="15.75">
      <c r="A1" s="463" t="str">
        <f>+'Sched 2 Balance sheet'!A1:F1</f>
        <v>Benson (Minnesota) Municipal Utilities</v>
      </c>
      <c r="B1" s="463"/>
      <c r="C1" s="463"/>
      <c r="D1" s="463"/>
      <c r="E1" s="463"/>
      <c r="F1" s="463"/>
      <c r="G1" s="463"/>
    </row>
    <row r="2" spans="1:7" ht="15">
      <c r="A2" s="460" t="s">
        <v>0</v>
      </c>
      <c r="B2" s="460"/>
      <c r="C2" s="460"/>
      <c r="D2" s="460"/>
      <c r="E2" s="460"/>
      <c r="F2" s="460"/>
      <c r="G2" s="460"/>
    </row>
    <row r="3" spans="1:7" ht="15">
      <c r="A3" s="460" t="s">
        <v>178</v>
      </c>
      <c r="B3" s="460"/>
      <c r="C3" s="460"/>
      <c r="D3" s="460"/>
      <c r="E3" s="460"/>
      <c r="F3" s="460"/>
      <c r="G3" s="460"/>
    </row>
    <row r="4" spans="1:7" ht="15.75">
      <c r="A4" s="464" t="str">
        <f>+'Sched 2 Balance sheet'!A4:F4</f>
        <v>For the Year Ended December 31, 2013</v>
      </c>
      <c r="B4" s="464"/>
      <c r="C4" s="464"/>
      <c r="D4" s="464"/>
      <c r="E4" s="464"/>
      <c r="F4" s="464"/>
      <c r="G4" s="464"/>
    </row>
    <row r="5" spans="1:7">
      <c r="A5" s="9"/>
      <c r="B5" s="9"/>
      <c r="C5" s="9"/>
    </row>
    <row r="6" spans="1:7">
      <c r="A6" t="s">
        <v>138</v>
      </c>
    </row>
    <row r="7" spans="1:7">
      <c r="A7" t="s">
        <v>5</v>
      </c>
    </row>
    <row r="8" spans="1:7">
      <c r="A8">
        <v>1</v>
      </c>
      <c r="B8" t="s">
        <v>139</v>
      </c>
      <c r="C8" s="3">
        <v>98344</v>
      </c>
    </row>
  </sheetData>
  <mergeCells count="4">
    <mergeCell ref="A1:G1"/>
    <mergeCell ref="A2:G2"/>
    <mergeCell ref="A4:G4"/>
    <mergeCell ref="A3:G3"/>
  </mergeCells>
  <phoneticPr fontId="0" type="noConversion"/>
  <pageMargins left="0.75" right="0.75" top="1" bottom="1" header="0.5" footer="0.5"/>
  <pageSetup scale="86"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37"/>
  <sheetViews>
    <sheetView workbookViewId="0">
      <selection activeCell="L11" sqref="L11"/>
    </sheetView>
  </sheetViews>
  <sheetFormatPr defaultRowHeight="12.75"/>
  <cols>
    <col min="1" max="1" width="6.7109375" style="239" customWidth="1"/>
    <col min="2" max="2" width="29.5703125" style="239" customWidth="1"/>
    <col min="3" max="6" width="15.7109375" style="239" customWidth="1"/>
    <col min="7" max="7" width="9.140625" style="239"/>
    <col min="8" max="8" width="12.85546875" style="239" bestFit="1" customWidth="1"/>
    <col min="9" max="16384" width="9.140625" style="239"/>
  </cols>
  <sheetData>
    <row r="1" spans="1:7" ht="15.75">
      <c r="A1" s="459" t="str">
        <f>+'Sched 2 Balance sheet'!A1:F1</f>
        <v>Benson (Minnesota) Municipal Utilities</v>
      </c>
      <c r="B1" s="459"/>
      <c r="C1" s="459"/>
      <c r="D1" s="459"/>
      <c r="E1" s="459"/>
      <c r="F1" s="459"/>
      <c r="G1" s="240"/>
    </row>
    <row r="2" spans="1:7" ht="15">
      <c r="A2" s="460" t="s">
        <v>0</v>
      </c>
      <c r="B2" s="460"/>
      <c r="C2" s="460"/>
      <c r="D2" s="460"/>
      <c r="E2" s="460"/>
      <c r="F2" s="460"/>
      <c r="G2" s="240"/>
    </row>
    <row r="3" spans="1:7" ht="15">
      <c r="A3" s="460" t="s">
        <v>179</v>
      </c>
      <c r="B3" s="460"/>
      <c r="C3" s="460"/>
      <c r="D3" s="460"/>
      <c r="E3" s="460"/>
      <c r="F3" s="460"/>
      <c r="G3" s="240"/>
    </row>
    <row r="4" spans="1:7" ht="15">
      <c r="A4" s="484" t="str">
        <f>+'Sched 2 Balance sheet'!A4:F4</f>
        <v>For the Year Ended December 31, 2013</v>
      </c>
      <c r="B4" s="484"/>
      <c r="C4" s="484"/>
      <c r="D4" s="484"/>
      <c r="E4" s="484"/>
      <c r="F4" s="484"/>
      <c r="G4" s="8"/>
    </row>
    <row r="6" spans="1:7">
      <c r="A6" s="465" t="s">
        <v>141</v>
      </c>
      <c r="B6" s="465"/>
      <c r="C6" s="465"/>
      <c r="D6" s="465"/>
      <c r="E6" s="465"/>
      <c r="F6" s="465"/>
    </row>
    <row r="7" spans="1:7">
      <c r="A7" s="262" t="s">
        <v>1</v>
      </c>
      <c r="B7" s="263"/>
      <c r="C7" s="263" t="s">
        <v>180</v>
      </c>
      <c r="D7" s="263" t="s">
        <v>181</v>
      </c>
      <c r="E7" s="263" t="s">
        <v>183</v>
      </c>
      <c r="F7" s="263" t="s">
        <v>182</v>
      </c>
    </row>
    <row r="8" spans="1:7">
      <c r="A8" s="248" t="s">
        <v>5</v>
      </c>
      <c r="B8" s="247"/>
      <c r="C8" s="263" t="s">
        <v>140</v>
      </c>
      <c r="D8" s="247" t="s">
        <v>142</v>
      </c>
      <c r="E8" s="247" t="s">
        <v>143</v>
      </c>
      <c r="F8" s="247" t="s">
        <v>144</v>
      </c>
    </row>
    <row r="9" spans="1:7">
      <c r="A9" s="265">
        <v>1</v>
      </c>
      <c r="B9" s="259" t="s">
        <v>145</v>
      </c>
      <c r="C9" s="321"/>
      <c r="D9" s="322"/>
      <c r="E9" s="322"/>
      <c r="F9" s="322"/>
    </row>
    <row r="10" spans="1:7">
      <c r="A10" s="245"/>
      <c r="B10" s="323" t="s">
        <v>146</v>
      </c>
      <c r="C10" s="269">
        <v>0</v>
      </c>
      <c r="D10" s="36">
        <v>0</v>
      </c>
      <c r="E10" s="36">
        <v>0</v>
      </c>
      <c r="F10" s="36">
        <f>SUM(C10:E10)</f>
        <v>0</v>
      </c>
    </row>
    <row r="11" spans="1:7">
      <c r="A11" s="245">
        <v>2</v>
      </c>
      <c r="B11" s="323" t="s">
        <v>147</v>
      </c>
      <c r="C11" s="290">
        <v>0</v>
      </c>
      <c r="D11" s="37">
        <v>0</v>
      </c>
      <c r="E11" s="37">
        <v>0</v>
      </c>
      <c r="F11" s="37">
        <f>SUM(C11:E11)</f>
        <v>0</v>
      </c>
    </row>
    <row r="12" spans="1:7">
      <c r="A12" s="265">
        <v>3</v>
      </c>
      <c r="B12" s="259" t="s">
        <v>148</v>
      </c>
      <c r="C12" s="291"/>
      <c r="D12" s="38"/>
      <c r="E12" s="38"/>
      <c r="F12" s="38"/>
    </row>
    <row r="13" spans="1:7">
      <c r="A13" s="245"/>
      <c r="B13" s="324" t="s">
        <v>149</v>
      </c>
      <c r="C13" s="290">
        <v>0</v>
      </c>
      <c r="D13" s="37">
        <v>0</v>
      </c>
      <c r="E13" s="37">
        <v>0</v>
      </c>
      <c r="F13" s="37">
        <f>SUM(C13:E13)</f>
        <v>0</v>
      </c>
    </row>
    <row r="14" spans="1:7">
      <c r="A14" s="278">
        <v>4</v>
      </c>
      <c r="B14" s="325" t="s">
        <v>150</v>
      </c>
      <c r="C14" s="291"/>
      <c r="D14" s="38"/>
      <c r="E14" s="38"/>
      <c r="F14" s="38"/>
    </row>
    <row r="15" spans="1:7">
      <c r="A15" s="245"/>
      <c r="B15" s="326" t="s">
        <v>151</v>
      </c>
      <c r="C15" s="284">
        <v>42086</v>
      </c>
      <c r="D15" s="250">
        <v>159674</v>
      </c>
      <c r="E15" s="37">
        <v>0</v>
      </c>
      <c r="F15" s="37">
        <f>SUM(C15:E15)</f>
        <v>201760</v>
      </c>
    </row>
    <row r="16" spans="1:7">
      <c r="A16" s="272">
        <v>5</v>
      </c>
      <c r="B16" s="327" t="s">
        <v>152</v>
      </c>
      <c r="C16" s="288">
        <v>0</v>
      </c>
      <c r="D16" s="253">
        <f>2150222-D21</f>
        <v>1803841.77</v>
      </c>
      <c r="E16" s="39">
        <v>0</v>
      </c>
      <c r="F16" s="39">
        <f>SUM(C16:E16)</f>
        <v>1803841.77</v>
      </c>
    </row>
    <row r="17" spans="1:9">
      <c r="A17" s="265">
        <v>6</v>
      </c>
      <c r="B17" s="259" t="s">
        <v>153</v>
      </c>
      <c r="C17" s="291"/>
      <c r="D17" s="38"/>
      <c r="E17" s="38"/>
      <c r="F17" s="38"/>
    </row>
    <row r="18" spans="1:9" ht="13.5" thickBot="1">
      <c r="A18" s="245"/>
      <c r="B18" s="324" t="s">
        <v>154</v>
      </c>
      <c r="C18" s="291">
        <v>0</v>
      </c>
      <c r="D18" s="38">
        <v>0</v>
      </c>
      <c r="E18" s="38">
        <v>0</v>
      </c>
      <c r="F18" s="38">
        <f>SUM(C18:E18)</f>
        <v>0</v>
      </c>
    </row>
    <row r="19" spans="1:9" ht="13.5" thickBot="1">
      <c r="A19" s="270">
        <v>7</v>
      </c>
      <c r="B19" s="328" t="s">
        <v>155</v>
      </c>
      <c r="C19" s="31">
        <f>SUM(C10:C18)</f>
        <v>42086</v>
      </c>
      <c r="D19" s="34">
        <f>SUM(D10:D18)</f>
        <v>1963515.77</v>
      </c>
      <c r="E19" s="34">
        <f>SUM(E10:E18)</f>
        <v>0</v>
      </c>
      <c r="F19" s="35">
        <f>SUM(C19:E19)</f>
        <v>2005601.77</v>
      </c>
    </row>
    <row r="20" spans="1:9">
      <c r="A20" s="265">
        <v>8</v>
      </c>
      <c r="B20" s="255" t="s">
        <v>156</v>
      </c>
      <c r="C20" s="322"/>
      <c r="D20" s="322"/>
      <c r="E20" s="322"/>
      <c r="F20" s="322"/>
    </row>
    <row r="21" spans="1:9">
      <c r="A21" s="245"/>
      <c r="B21" s="329" t="s">
        <v>157</v>
      </c>
      <c r="C21" s="330" t="s">
        <v>173</v>
      </c>
      <c r="D21" s="250">
        <f>296073.39+50306.84</f>
        <v>346380.23</v>
      </c>
      <c r="E21" s="250">
        <v>18025</v>
      </c>
      <c r="F21" s="37">
        <f>SUM(D21:E21)</f>
        <v>364405.23</v>
      </c>
      <c r="G21" s="239" t="s">
        <v>171</v>
      </c>
    </row>
    <row r="22" spans="1:9">
      <c r="A22" s="265">
        <v>9</v>
      </c>
      <c r="B22" s="255" t="s">
        <v>158</v>
      </c>
      <c r="C22" s="331"/>
      <c r="D22" s="256"/>
      <c r="E22" s="256"/>
      <c r="F22" s="38"/>
    </row>
    <row r="23" spans="1:9">
      <c r="A23" s="245"/>
      <c r="B23" s="329" t="s">
        <v>159</v>
      </c>
      <c r="C23" s="330" t="s">
        <v>173</v>
      </c>
      <c r="D23" s="250">
        <v>0</v>
      </c>
      <c r="E23" s="250">
        <f>650164</f>
        <v>650164</v>
      </c>
      <c r="F23" s="37">
        <f>+D23+E23</f>
        <v>650164</v>
      </c>
    </row>
    <row r="24" spans="1:9">
      <c r="A24" s="265">
        <v>10</v>
      </c>
      <c r="B24" s="255" t="s">
        <v>160</v>
      </c>
      <c r="C24" s="331"/>
      <c r="D24" s="256"/>
      <c r="E24" s="256"/>
      <c r="F24" s="38"/>
    </row>
    <row r="25" spans="1:9">
      <c r="A25" s="245"/>
      <c r="B25" s="329" t="s">
        <v>161</v>
      </c>
      <c r="C25" s="330" t="s">
        <v>173</v>
      </c>
      <c r="D25" s="250">
        <v>197088</v>
      </c>
      <c r="E25" s="250">
        <v>0</v>
      </c>
      <c r="F25" s="37">
        <f>+D25+E25</f>
        <v>197088</v>
      </c>
    </row>
    <row r="26" spans="1:9">
      <c r="A26" s="265">
        <v>11</v>
      </c>
      <c r="B26" s="255" t="s">
        <v>162</v>
      </c>
      <c r="C26" s="331"/>
      <c r="D26" s="256"/>
      <c r="E26" s="256"/>
      <c r="F26" s="38"/>
    </row>
    <row r="27" spans="1:9">
      <c r="A27" s="245"/>
      <c r="B27" s="329" t="s">
        <v>163</v>
      </c>
      <c r="C27" s="330" t="s">
        <v>173</v>
      </c>
      <c r="D27" s="250">
        <v>0</v>
      </c>
      <c r="E27" s="250">
        <v>0</v>
      </c>
      <c r="F27" s="37">
        <f>+D27+E27</f>
        <v>0</v>
      </c>
    </row>
    <row r="28" spans="1:9">
      <c r="A28" s="270">
        <v>12</v>
      </c>
      <c r="B28" s="252" t="s">
        <v>164</v>
      </c>
      <c r="C28" s="332" t="s">
        <v>173</v>
      </c>
      <c r="D28" s="253">
        <f>67042</f>
        <v>67042</v>
      </c>
      <c r="E28" s="253">
        <v>0</v>
      </c>
      <c r="F28" s="37">
        <f>+D28+E28</f>
        <v>67042</v>
      </c>
    </row>
    <row r="29" spans="1:9">
      <c r="A29" s="270">
        <v>13</v>
      </c>
      <c r="B29" s="252" t="s">
        <v>165</v>
      </c>
      <c r="C29" s="332" t="s">
        <v>173</v>
      </c>
      <c r="D29" s="253">
        <v>174819</v>
      </c>
      <c r="E29" s="253">
        <v>0</v>
      </c>
      <c r="F29" s="37">
        <f>+D29+E29</f>
        <v>174819</v>
      </c>
    </row>
    <row r="30" spans="1:9" ht="13.5" thickBot="1">
      <c r="A30" s="265">
        <v>14</v>
      </c>
      <c r="B30" s="255" t="s">
        <v>166</v>
      </c>
      <c r="C30" s="333"/>
      <c r="D30" s="322"/>
      <c r="E30" s="322"/>
      <c r="F30" s="322"/>
    </row>
    <row r="31" spans="1:9" ht="13.5" thickBot="1">
      <c r="A31" s="245"/>
      <c r="B31" s="324" t="s">
        <v>167</v>
      </c>
      <c r="C31" s="31" t="s">
        <v>174</v>
      </c>
      <c r="D31" s="34">
        <f>SUM(D19:D29)</f>
        <v>2748845</v>
      </c>
      <c r="E31" s="34">
        <f>SUM(E19:E29)</f>
        <v>668189</v>
      </c>
      <c r="F31" s="35">
        <f>SUM(F19:F30)</f>
        <v>3459120</v>
      </c>
      <c r="H31" s="334"/>
      <c r="I31" s="335"/>
    </row>
    <row r="32" spans="1:9">
      <c r="C32" s="261"/>
      <c r="D32" s="261"/>
      <c r="E32" s="261"/>
      <c r="F32" s="261"/>
    </row>
    <row r="33" spans="2:6">
      <c r="B33" s="466" t="s">
        <v>168</v>
      </c>
      <c r="C33" s="467"/>
      <c r="D33" s="336">
        <v>2</v>
      </c>
      <c r="E33" s="261"/>
      <c r="F33" s="261"/>
    </row>
    <row r="34" spans="2:6">
      <c r="B34" s="337" t="s">
        <v>169</v>
      </c>
      <c r="C34" s="338"/>
      <c r="D34" s="339">
        <v>0</v>
      </c>
      <c r="E34" s="261"/>
      <c r="F34" s="261"/>
    </row>
    <row r="35" spans="2:6">
      <c r="C35" s="261"/>
      <c r="D35" s="261"/>
      <c r="E35" s="261"/>
      <c r="F35" s="261"/>
    </row>
    <row r="36" spans="2:6">
      <c r="B36" s="239" t="s">
        <v>170</v>
      </c>
    </row>
    <row r="37" spans="2:6">
      <c r="B37" s="239" t="s">
        <v>172</v>
      </c>
    </row>
  </sheetData>
  <mergeCells count="6">
    <mergeCell ref="A6:F6"/>
    <mergeCell ref="B33:C33"/>
    <mergeCell ref="A1:F1"/>
    <mergeCell ref="A2:F2"/>
    <mergeCell ref="A4:F4"/>
    <mergeCell ref="A3:F3"/>
  </mergeCells>
  <phoneticPr fontId="0" type="noConversion"/>
  <pageMargins left="0.75" right="0.75" top="1" bottom="1" header="0.5" footer="0.5"/>
  <pageSetup scale="83" orientation="portrait" horizontalDpi="4294967293" r:id="rId1"/>
  <headerFooter alignWithMargins="0">
    <oddFooter>&amp;L&amp;Z&amp;F</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2"/>
  <sheetViews>
    <sheetView zoomScale="80" zoomScaleNormal="80" workbookViewId="0">
      <selection activeCell="R34" sqref="R34"/>
    </sheetView>
  </sheetViews>
  <sheetFormatPr defaultRowHeight="15.75"/>
  <cols>
    <col min="1" max="1" width="3.42578125" style="212" customWidth="1"/>
    <col min="2" max="2" width="53" style="212" customWidth="1"/>
    <col min="3" max="3" width="2.28515625" style="212" customWidth="1"/>
    <col min="4" max="8" width="14.5703125" style="212" customWidth="1"/>
    <col min="9" max="9" width="2.7109375" style="212" customWidth="1"/>
    <col min="10" max="10" width="14.5703125" style="212" customWidth="1"/>
    <col min="11" max="11" width="2.7109375" style="212" customWidth="1"/>
    <col min="12" max="12" width="22" style="212" customWidth="1"/>
    <col min="13" max="16384" width="9.140625" style="212"/>
  </cols>
  <sheetData>
    <row r="1" spans="1:12">
      <c r="A1" s="470" t="str">
        <f>+'Sched 7 Op &amp; Maint'!A1:F1</f>
        <v>Benson (Minnesota) Municipal Utilities</v>
      </c>
      <c r="B1" s="470"/>
      <c r="C1" s="470"/>
      <c r="D1" s="470"/>
      <c r="E1" s="470"/>
      <c r="F1" s="470"/>
      <c r="G1" s="470"/>
      <c r="H1" s="470"/>
      <c r="I1" s="470"/>
      <c r="J1" s="470"/>
    </row>
    <row r="2" spans="1:12">
      <c r="A2" s="471" t="str">
        <f>+'Sched 7 Op &amp; Maint'!A4:F4</f>
        <v>For the Year Ended December 31, 2013</v>
      </c>
      <c r="B2" s="471"/>
      <c r="C2" s="471"/>
      <c r="D2" s="471"/>
      <c r="E2" s="471"/>
      <c r="F2" s="471"/>
      <c r="G2" s="471"/>
      <c r="H2" s="471"/>
      <c r="I2" s="471"/>
      <c r="J2" s="471"/>
    </row>
    <row r="3" spans="1:12" ht="16.5" thickBot="1">
      <c r="A3" s="213"/>
      <c r="B3" s="213"/>
      <c r="C3" s="213"/>
      <c r="D3" s="213"/>
      <c r="E3" s="213"/>
      <c r="F3" s="213"/>
      <c r="G3" s="213"/>
      <c r="H3" s="213"/>
      <c r="I3" s="213"/>
      <c r="J3" s="213"/>
    </row>
    <row r="4" spans="1:12">
      <c r="A4" s="472" t="s">
        <v>505</v>
      </c>
      <c r="B4" s="473"/>
      <c r="C4" s="473"/>
      <c r="D4" s="473"/>
      <c r="E4" s="473"/>
      <c r="F4" s="473"/>
      <c r="G4" s="473"/>
      <c r="H4" s="473"/>
      <c r="I4" s="473"/>
      <c r="J4" s="474"/>
    </row>
    <row r="5" spans="1:12" ht="16.5" thickBot="1">
      <c r="A5" s="475" t="s">
        <v>506</v>
      </c>
      <c r="B5" s="476"/>
      <c r="C5" s="476"/>
      <c r="D5" s="476"/>
      <c r="E5" s="476"/>
      <c r="F5" s="476"/>
      <c r="G5" s="476"/>
      <c r="H5" s="476"/>
      <c r="I5" s="476"/>
      <c r="J5" s="477"/>
    </row>
    <row r="7" spans="1:12">
      <c r="A7" s="214"/>
      <c r="B7" s="215"/>
      <c r="C7" s="216"/>
      <c r="D7" s="478" t="s">
        <v>507</v>
      </c>
      <c r="E7" s="478"/>
      <c r="F7" s="217" t="s">
        <v>508</v>
      </c>
      <c r="G7" s="218" t="s">
        <v>509</v>
      </c>
      <c r="H7" s="218" t="s">
        <v>510</v>
      </c>
      <c r="I7" s="219"/>
      <c r="J7" s="218"/>
    </row>
    <row r="8" spans="1:12">
      <c r="A8" s="468" t="s">
        <v>511</v>
      </c>
      <c r="B8" s="469"/>
      <c r="C8" s="220"/>
      <c r="D8" s="221" t="s">
        <v>142</v>
      </c>
      <c r="E8" s="221" t="s">
        <v>143</v>
      </c>
      <c r="F8" s="222" t="s">
        <v>512</v>
      </c>
      <c r="G8" s="223" t="s">
        <v>513</v>
      </c>
      <c r="H8" s="223" t="s">
        <v>514</v>
      </c>
      <c r="I8" s="219"/>
      <c r="J8" s="223" t="s">
        <v>144</v>
      </c>
    </row>
    <row r="9" spans="1:12">
      <c r="A9" s="220"/>
      <c r="B9" s="220"/>
      <c r="C9" s="220"/>
      <c r="D9" s="219"/>
      <c r="E9" s="219"/>
      <c r="F9" s="219"/>
      <c r="G9" s="219"/>
      <c r="H9" s="219"/>
      <c r="I9" s="219"/>
      <c r="J9" s="219"/>
    </row>
    <row r="10" spans="1:12">
      <c r="A10" s="220" t="s">
        <v>515</v>
      </c>
      <c r="B10" s="220"/>
      <c r="C10" s="220"/>
      <c r="D10" s="219"/>
      <c r="E10" s="219"/>
      <c r="F10" s="219"/>
      <c r="G10" s="219"/>
      <c r="H10" s="219"/>
      <c r="I10" s="219"/>
      <c r="J10" s="219"/>
      <c r="L10" s="224" t="s">
        <v>515</v>
      </c>
    </row>
    <row r="11" spans="1:12" ht="16.5" thickBot="1">
      <c r="B11" s="212" t="s">
        <v>516</v>
      </c>
      <c r="D11" s="225">
        <v>0</v>
      </c>
      <c r="E11" s="225">
        <v>0</v>
      </c>
      <c r="F11" s="225">
        <v>0</v>
      </c>
      <c r="G11" s="225">
        <v>0</v>
      </c>
      <c r="H11" s="225">
        <v>0</v>
      </c>
      <c r="I11" s="226"/>
      <c r="J11" s="224">
        <f>SUM(D11:H11)</f>
        <v>0</v>
      </c>
      <c r="K11" s="224"/>
      <c r="L11" s="227">
        <f>+J11+J12</f>
        <v>0</v>
      </c>
    </row>
    <row r="12" spans="1:12" ht="16.5" thickTop="1">
      <c r="B12" s="212" t="s">
        <v>517</v>
      </c>
      <c r="D12" s="225">
        <v>0</v>
      </c>
      <c r="E12" s="225">
        <v>0</v>
      </c>
      <c r="F12" s="225">
        <v>0</v>
      </c>
      <c r="G12" s="225">
        <v>0</v>
      </c>
      <c r="H12" s="225">
        <v>0</v>
      </c>
      <c r="I12" s="226"/>
      <c r="J12" s="224">
        <f>SUM(D12:H12)</f>
        <v>0</v>
      </c>
      <c r="K12" s="224"/>
      <c r="L12" s="224"/>
    </row>
    <row r="13" spans="1:12">
      <c r="D13" s="225"/>
      <c r="E13" s="225"/>
      <c r="F13" s="225"/>
      <c r="G13" s="225"/>
      <c r="H13" s="225"/>
      <c r="I13" s="226"/>
      <c r="J13" s="224"/>
      <c r="K13" s="224"/>
      <c r="L13" s="224"/>
    </row>
    <row r="14" spans="1:12">
      <c r="A14" s="212" t="s">
        <v>518</v>
      </c>
      <c r="D14" s="225"/>
      <c r="E14" s="225"/>
      <c r="F14" s="225"/>
      <c r="G14" s="225"/>
      <c r="H14" s="225"/>
      <c r="I14" s="226"/>
      <c r="J14" s="224"/>
      <c r="K14" s="224"/>
      <c r="L14" s="224" t="s">
        <v>243</v>
      </c>
    </row>
    <row r="15" spans="1:12" ht="16.5" thickBot="1">
      <c r="D15" s="225">
        <v>0</v>
      </c>
      <c r="E15" s="225">
        <v>0</v>
      </c>
      <c r="F15" s="225">
        <v>0</v>
      </c>
      <c r="G15" s="225">
        <v>0</v>
      </c>
      <c r="H15" s="225">
        <v>0</v>
      </c>
      <c r="I15" s="226"/>
      <c r="J15" s="224">
        <f>SUM(D15:H15)</f>
        <v>0</v>
      </c>
      <c r="K15" s="224"/>
      <c r="L15" s="227">
        <f>+J15</f>
        <v>0</v>
      </c>
    </row>
    <row r="16" spans="1:12" ht="16.5" thickTop="1">
      <c r="D16" s="225"/>
      <c r="E16" s="225"/>
      <c r="F16" s="225"/>
      <c r="G16" s="225"/>
      <c r="H16" s="225"/>
      <c r="I16" s="226"/>
      <c r="J16" s="224"/>
      <c r="K16" s="224"/>
    </row>
    <row r="17" spans="1:14">
      <c r="A17" s="212" t="s">
        <v>504</v>
      </c>
      <c r="D17" s="225"/>
      <c r="E17" s="225"/>
      <c r="F17" s="225"/>
      <c r="G17" s="225"/>
      <c r="H17" s="225"/>
      <c r="I17" s="226"/>
      <c r="J17" s="224"/>
      <c r="K17" s="224"/>
      <c r="L17" s="224" t="s">
        <v>504</v>
      </c>
    </row>
    <row r="18" spans="1:14" ht="16.5" thickBot="1">
      <c r="B18" s="212" t="s">
        <v>519</v>
      </c>
      <c r="D18" s="225">
        <v>0</v>
      </c>
      <c r="E18" s="225">
        <v>0</v>
      </c>
      <c r="F18" s="225">
        <v>0</v>
      </c>
      <c r="G18" s="225">
        <v>0</v>
      </c>
      <c r="H18" s="225">
        <v>0</v>
      </c>
      <c r="I18" s="226"/>
      <c r="J18" s="224">
        <f>SUM(D18:H18)</f>
        <v>0</v>
      </c>
      <c r="K18" s="224"/>
      <c r="L18" s="227">
        <f>+SUM(J17:J25)</f>
        <v>0</v>
      </c>
    </row>
    <row r="19" spans="1:14" ht="16.5" thickTop="1">
      <c r="B19" s="212" t="s">
        <v>520</v>
      </c>
      <c r="D19" s="225">
        <v>0</v>
      </c>
      <c r="E19" s="225">
        <v>0</v>
      </c>
      <c r="F19" s="225">
        <v>0</v>
      </c>
      <c r="G19" s="225">
        <v>0</v>
      </c>
      <c r="H19" s="225">
        <v>0</v>
      </c>
      <c r="I19" s="226"/>
      <c r="J19" s="224">
        <f t="shared" ref="J19:J25" si="0">SUM(D19:H19)</f>
        <v>0</v>
      </c>
      <c r="K19" s="224"/>
      <c r="L19" s="226"/>
    </row>
    <row r="20" spans="1:14">
      <c r="B20" s="212" t="s">
        <v>521</v>
      </c>
      <c r="D20" s="225">
        <v>0</v>
      </c>
      <c r="E20" s="225"/>
      <c r="F20" s="225"/>
      <c r="G20" s="225">
        <v>0</v>
      </c>
      <c r="H20" s="225"/>
      <c r="I20" s="226"/>
      <c r="J20" s="224">
        <f t="shared" si="0"/>
        <v>0</v>
      </c>
      <c r="K20" s="224"/>
      <c r="L20" s="226"/>
    </row>
    <row r="21" spans="1:14">
      <c r="B21" s="212" t="s">
        <v>522</v>
      </c>
      <c r="D21" s="225">
        <v>0</v>
      </c>
      <c r="E21" s="225">
        <v>0</v>
      </c>
      <c r="F21" s="225">
        <v>0</v>
      </c>
      <c r="G21" s="225">
        <v>0</v>
      </c>
      <c r="H21" s="225">
        <v>0</v>
      </c>
      <c r="I21" s="226"/>
      <c r="J21" s="224">
        <f t="shared" si="0"/>
        <v>0</v>
      </c>
      <c r="K21" s="224"/>
      <c r="L21" s="226"/>
    </row>
    <row r="22" spans="1:14">
      <c r="B22" s="212" t="s">
        <v>523</v>
      </c>
      <c r="D22" s="225">
        <v>0</v>
      </c>
      <c r="E22" s="225">
        <v>0</v>
      </c>
      <c r="F22" s="225">
        <v>0</v>
      </c>
      <c r="G22" s="225">
        <v>0</v>
      </c>
      <c r="H22" s="225">
        <v>0</v>
      </c>
      <c r="I22" s="226"/>
      <c r="J22" s="224">
        <f t="shared" si="0"/>
        <v>0</v>
      </c>
      <c r="K22" s="224"/>
      <c r="L22" s="226"/>
    </row>
    <row r="23" spans="1:14">
      <c r="B23" s="212" t="s">
        <v>524</v>
      </c>
      <c r="D23" s="225">
        <v>0</v>
      </c>
      <c r="E23" s="225">
        <v>0</v>
      </c>
      <c r="F23" s="225">
        <v>0</v>
      </c>
      <c r="G23" s="225">
        <v>0</v>
      </c>
      <c r="H23" s="225">
        <v>0</v>
      </c>
      <c r="I23" s="226"/>
      <c r="J23" s="224">
        <f t="shared" si="0"/>
        <v>0</v>
      </c>
      <c r="K23" s="224"/>
      <c r="L23" s="226"/>
    </row>
    <row r="24" spans="1:14">
      <c r="B24" s="212" t="s">
        <v>525</v>
      </c>
      <c r="D24" s="225">
        <v>0</v>
      </c>
      <c r="E24" s="225">
        <v>0</v>
      </c>
      <c r="F24" s="225">
        <v>0</v>
      </c>
      <c r="G24" s="225">
        <v>0</v>
      </c>
      <c r="H24" s="225">
        <v>0</v>
      </c>
      <c r="I24" s="226"/>
      <c r="J24" s="224">
        <f t="shared" si="0"/>
        <v>0</v>
      </c>
      <c r="K24" s="224"/>
      <c r="L24" s="226"/>
    </row>
    <row r="25" spans="1:14">
      <c r="B25" s="212" t="s">
        <v>526</v>
      </c>
      <c r="D25" s="225">
        <v>0</v>
      </c>
      <c r="E25" s="225">
        <v>0</v>
      </c>
      <c r="F25" s="225">
        <v>0</v>
      </c>
      <c r="G25" s="225">
        <v>0</v>
      </c>
      <c r="H25" s="225">
        <v>0</v>
      </c>
      <c r="I25" s="226"/>
      <c r="J25" s="224">
        <f t="shared" si="0"/>
        <v>0</v>
      </c>
      <c r="K25" s="224"/>
      <c r="L25" s="224"/>
    </row>
    <row r="26" spans="1:14">
      <c r="D26" s="225"/>
      <c r="E26" s="225"/>
      <c r="F26" s="225"/>
      <c r="G26" s="225"/>
      <c r="H26" s="225"/>
      <c r="I26" s="226"/>
      <c r="J26" s="224"/>
      <c r="K26" s="224"/>
      <c r="L26" s="224"/>
    </row>
    <row r="27" spans="1:14">
      <c r="A27" s="212" t="s">
        <v>527</v>
      </c>
      <c r="D27" s="225"/>
      <c r="E27" s="225"/>
      <c r="F27" s="225"/>
      <c r="G27" s="225"/>
      <c r="H27" s="225"/>
      <c r="I27" s="226"/>
      <c r="J27" s="224"/>
      <c r="K27" s="224"/>
      <c r="L27" s="224" t="s">
        <v>528</v>
      </c>
    </row>
    <row r="28" spans="1:14" ht="16.5" thickBot="1">
      <c r="B28" s="212" t="s">
        <v>529</v>
      </c>
      <c r="D28" s="225">
        <v>79004</v>
      </c>
      <c r="E28" s="225">
        <v>0</v>
      </c>
      <c r="F28" s="225">
        <v>5202</v>
      </c>
      <c r="G28" s="225">
        <v>0</v>
      </c>
      <c r="H28" s="225">
        <v>2427</v>
      </c>
      <c r="I28" s="226"/>
      <c r="J28" s="224">
        <f t="shared" ref="J28:J29" si="1">SUM(D28:H28)</f>
        <v>86633</v>
      </c>
      <c r="K28" s="224"/>
      <c r="L28" s="227">
        <f>+SUM(J28:J29)</f>
        <v>92081</v>
      </c>
    </row>
    <row r="29" spans="1:14" ht="16.5" thickTop="1">
      <c r="B29" s="212" t="s">
        <v>530</v>
      </c>
      <c r="D29" s="225">
        <v>4923</v>
      </c>
      <c r="E29" s="225">
        <v>0</v>
      </c>
      <c r="F29" s="225">
        <v>377</v>
      </c>
      <c r="G29" s="225">
        <v>0</v>
      </c>
      <c r="H29" s="225">
        <v>148</v>
      </c>
      <c r="I29" s="226"/>
      <c r="J29" s="224">
        <f t="shared" si="1"/>
        <v>5448</v>
      </c>
      <c r="K29" s="224"/>
      <c r="N29" s="228"/>
    </row>
    <row r="30" spans="1:14">
      <c r="I30" s="216"/>
      <c r="L30" s="224"/>
    </row>
    <row r="31" spans="1:14" ht="16.5" thickBot="1">
      <c r="B31" s="229" t="s">
        <v>531</v>
      </c>
      <c r="C31" s="229"/>
      <c r="D31" s="230">
        <f>SUM(D11:D30)</f>
        <v>83927</v>
      </c>
      <c r="E31" s="230">
        <f>SUM(E11:E30)</f>
        <v>0</v>
      </c>
      <c r="F31" s="230">
        <f>SUM(F11:F30)</f>
        <v>5579</v>
      </c>
      <c r="G31" s="230">
        <f>SUM(G11:G30)</f>
        <v>0</v>
      </c>
      <c r="H31" s="230">
        <f>SUM(H11:H30)</f>
        <v>2575</v>
      </c>
      <c r="I31" s="231"/>
      <c r="J31" s="230">
        <f>SUM(J11:J30)</f>
        <v>92081</v>
      </c>
      <c r="K31" s="229"/>
      <c r="L31" s="230">
        <f>+SUM(L11:L30)</f>
        <v>92081</v>
      </c>
    </row>
    <row r="32" spans="1:14" ht="16.5" thickTop="1">
      <c r="E32" s="232"/>
      <c r="I32" s="216"/>
    </row>
  </sheetData>
  <mergeCells count="6">
    <mergeCell ref="A8:B8"/>
    <mergeCell ref="A1:J1"/>
    <mergeCell ref="A2:J2"/>
    <mergeCell ref="A4:J4"/>
    <mergeCell ref="A5:J5"/>
    <mergeCell ref="D7:E7"/>
  </mergeCells>
  <pageMargins left="0.1" right="0.1" top="0.1" bottom="0.1"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4"/>
  <sheetViews>
    <sheetView workbookViewId="0">
      <selection activeCell="O37" sqref="O37"/>
    </sheetView>
  </sheetViews>
  <sheetFormatPr defaultRowHeight="15"/>
  <cols>
    <col min="1" max="1" width="11.85546875" style="343" customWidth="1"/>
    <col min="2" max="2" width="7" style="343" customWidth="1"/>
    <col min="3" max="3" width="11.5703125" style="343" customWidth="1"/>
    <col min="4" max="4" width="12.42578125" style="343" customWidth="1"/>
    <col min="5" max="5" width="13.42578125" style="343" customWidth="1"/>
    <col min="6" max="6" width="13.28515625" style="343" customWidth="1"/>
    <col min="7" max="7" width="14.140625" style="343" customWidth="1"/>
    <col min="8" max="8" width="13.28515625" style="343" customWidth="1"/>
    <col min="9" max="11" width="9.140625" style="343"/>
    <col min="12" max="12" width="16.85546875" style="344" customWidth="1"/>
    <col min="13" max="13" width="4.28515625" style="343" customWidth="1"/>
    <col min="14" max="14" width="14.140625" style="343" customWidth="1"/>
    <col min="15" max="15" width="12" style="343" customWidth="1"/>
    <col min="16" max="16" width="9.140625" style="343"/>
    <col min="17" max="17" width="10.5703125" style="343" bestFit="1" customWidth="1"/>
    <col min="18" max="16384" width="9.140625" style="343"/>
  </cols>
  <sheetData>
    <row r="1" spans="1:16">
      <c r="A1" s="343" t="s">
        <v>566</v>
      </c>
    </row>
    <row r="2" spans="1:16">
      <c r="A2" s="343" t="s">
        <v>567</v>
      </c>
    </row>
    <row r="3" spans="1:16">
      <c r="F3" s="345" t="s">
        <v>568</v>
      </c>
      <c r="G3" s="345" t="s">
        <v>569</v>
      </c>
    </row>
    <row r="4" spans="1:16">
      <c r="F4" s="346" t="s">
        <v>570</v>
      </c>
      <c r="G4" s="346" t="s">
        <v>571</v>
      </c>
    </row>
    <row r="5" spans="1:16">
      <c r="A5" s="347" t="s">
        <v>572</v>
      </c>
      <c r="D5" s="348" t="s">
        <v>573</v>
      </c>
      <c r="E5" s="348" t="s">
        <v>574</v>
      </c>
      <c r="F5" s="348" t="s">
        <v>575</v>
      </c>
      <c r="G5" s="348" t="s">
        <v>576</v>
      </c>
      <c r="H5" s="348" t="s">
        <v>577</v>
      </c>
      <c r="L5" s="445" t="s">
        <v>1072</v>
      </c>
    </row>
    <row r="6" spans="1:16">
      <c r="C6" s="349"/>
      <c r="D6" s="349"/>
      <c r="E6" s="350"/>
      <c r="F6" s="350"/>
      <c r="G6" s="350"/>
      <c r="L6" s="446" t="s">
        <v>603</v>
      </c>
      <c r="M6" s="447"/>
      <c r="N6" s="444" t="s">
        <v>1070</v>
      </c>
      <c r="O6" s="444" t="s">
        <v>1071</v>
      </c>
    </row>
    <row r="7" spans="1:16">
      <c r="A7" s="343" t="s">
        <v>578</v>
      </c>
      <c r="B7" s="351">
        <v>2013</v>
      </c>
      <c r="C7" s="352">
        <v>41390</v>
      </c>
      <c r="D7" s="350">
        <f>E7+H7</f>
        <v>7641.53</v>
      </c>
      <c r="E7" s="350">
        <v>6527.29</v>
      </c>
      <c r="F7" s="350">
        <f t="shared" ref="F7:F18" si="0">E7*0.434</f>
        <v>2832.8438599999999</v>
      </c>
      <c r="G7" s="350">
        <f t="shared" ref="G7:G18" si="1">E7-F7</f>
        <v>3694.44614</v>
      </c>
      <c r="H7" s="350">
        <f>771.49+342.75</f>
        <v>1114.24</v>
      </c>
      <c r="I7" s="353" t="s">
        <v>579</v>
      </c>
      <c r="L7" s="356">
        <f>+N7+O7</f>
        <v>355.02352492311286</v>
      </c>
      <c r="N7" s="356">
        <v>342.74839001947095</v>
      </c>
      <c r="O7" s="440">
        <v>12.275134903641906</v>
      </c>
      <c r="P7" s="448"/>
    </row>
    <row r="8" spans="1:16">
      <c r="A8" s="343" t="s">
        <v>580</v>
      </c>
      <c r="B8" s="351">
        <v>2013</v>
      </c>
      <c r="C8" s="352">
        <v>41390</v>
      </c>
      <c r="D8" s="350">
        <f t="shared" ref="D8:D18" si="2">E8+H8</f>
        <v>6474.28</v>
      </c>
      <c r="E8" s="350">
        <v>5530.25</v>
      </c>
      <c r="F8" s="350">
        <f t="shared" si="0"/>
        <v>2400.1284999999998</v>
      </c>
      <c r="G8" s="350">
        <f t="shared" si="1"/>
        <v>3130.1215000000002</v>
      </c>
      <c r="H8" s="350">
        <f>653.64+290.39</f>
        <v>944.03</v>
      </c>
      <c r="I8" s="353" t="s">
        <v>581</v>
      </c>
      <c r="L8" s="356">
        <f t="shared" ref="L8:L18" si="3">+N8+O8</f>
        <v>290.39329256749397</v>
      </c>
      <c r="N8" s="356">
        <v>278.94219517907686</v>
      </c>
      <c r="O8" s="440">
        <v>11.451097388417123</v>
      </c>
      <c r="P8" s="448"/>
    </row>
    <row r="9" spans="1:16">
      <c r="A9" s="343" t="s">
        <v>582</v>
      </c>
      <c r="B9" s="351">
        <v>2013</v>
      </c>
      <c r="C9" s="352">
        <v>41390</v>
      </c>
      <c r="D9" s="350">
        <f t="shared" si="2"/>
        <v>10248.540000000001</v>
      </c>
      <c r="E9" s="350">
        <v>8754.17</v>
      </c>
      <c r="F9" s="350">
        <f t="shared" si="0"/>
        <v>3799.30978</v>
      </c>
      <c r="G9" s="350">
        <f t="shared" si="1"/>
        <v>4954.8602200000005</v>
      </c>
      <c r="H9" s="350">
        <f>1034.69+459.68</f>
        <v>1494.3700000000001</v>
      </c>
      <c r="I9" s="353" t="s">
        <v>583</v>
      </c>
      <c r="L9" s="356">
        <f t="shared" si="3"/>
        <v>459.68158372815077</v>
      </c>
      <c r="N9" s="356">
        <v>446.99808677262939</v>
      </c>
      <c r="O9" s="440">
        <v>12.683496955521374</v>
      </c>
      <c r="P9" s="448"/>
    </row>
    <row r="10" spans="1:16">
      <c r="A10" s="343" t="s">
        <v>584</v>
      </c>
      <c r="B10" s="351">
        <v>2013</v>
      </c>
      <c r="C10" s="352">
        <v>41408</v>
      </c>
      <c r="D10" s="350">
        <f t="shared" si="2"/>
        <v>8459.8700000000008</v>
      </c>
      <c r="E10" s="350">
        <v>7226.31</v>
      </c>
      <c r="F10" s="350">
        <f t="shared" si="0"/>
        <v>3136.2185400000003</v>
      </c>
      <c r="G10" s="350">
        <f t="shared" si="1"/>
        <v>4090.0914600000001</v>
      </c>
      <c r="H10" s="350">
        <f>854.11+379.45</f>
        <v>1233.56</v>
      </c>
      <c r="I10" s="353" t="s">
        <v>585</v>
      </c>
      <c r="L10" s="356">
        <f t="shared" si="3"/>
        <v>379.45393105720035</v>
      </c>
      <c r="N10" s="356">
        <v>367.17879615355844</v>
      </c>
      <c r="O10" s="440">
        <v>12.275134903641906</v>
      </c>
      <c r="P10" s="448"/>
    </row>
    <row r="11" spans="1:16">
      <c r="A11" s="343" t="s">
        <v>586</v>
      </c>
      <c r="B11" s="351">
        <v>2013</v>
      </c>
      <c r="C11" s="352">
        <v>41473</v>
      </c>
      <c r="D11" s="350">
        <f t="shared" si="2"/>
        <v>10515.470000000001</v>
      </c>
      <c r="E11" s="350">
        <v>8982.18</v>
      </c>
      <c r="F11" s="350">
        <f t="shared" si="0"/>
        <v>3898.2661200000002</v>
      </c>
      <c r="G11" s="350">
        <f t="shared" si="1"/>
        <v>5083.9138800000001</v>
      </c>
      <c r="H11" s="350">
        <f>1061.64+471.65</f>
        <v>1533.29</v>
      </c>
      <c r="I11" s="353" t="s">
        <v>587</v>
      </c>
      <c r="L11" s="356">
        <f t="shared" si="3"/>
        <v>471.65433374483541</v>
      </c>
      <c r="M11" s="354"/>
      <c r="N11" s="356">
        <v>458.91742196508039</v>
      </c>
      <c r="O11" s="440">
        <v>12.736911779755021</v>
      </c>
      <c r="P11" s="448"/>
    </row>
    <row r="12" spans="1:16">
      <c r="A12" s="343" t="s">
        <v>588</v>
      </c>
      <c r="B12" s="351">
        <v>2013</v>
      </c>
      <c r="C12" s="352">
        <v>41473</v>
      </c>
      <c r="D12" s="350">
        <f t="shared" si="2"/>
        <v>8674.08</v>
      </c>
      <c r="E12" s="350">
        <v>7409.28</v>
      </c>
      <c r="F12" s="350">
        <f t="shared" si="0"/>
        <v>3215.62752</v>
      </c>
      <c r="G12" s="350">
        <f t="shared" si="1"/>
        <v>4193.6524799999997</v>
      </c>
      <c r="H12" s="350">
        <f>875.74+389.06</f>
        <v>1264.8</v>
      </c>
      <c r="I12" s="353" t="s">
        <v>589</v>
      </c>
      <c r="L12" s="356">
        <f t="shared" si="3"/>
        <v>389.06133087534545</v>
      </c>
      <c r="M12" s="354"/>
      <c r="N12" s="356">
        <v>376.76335838620594</v>
      </c>
      <c r="O12" s="440">
        <v>12.297972489139529</v>
      </c>
      <c r="P12" s="448"/>
    </row>
    <row r="13" spans="1:16">
      <c r="A13" s="343" t="s">
        <v>590</v>
      </c>
      <c r="B13" s="351">
        <v>2013</v>
      </c>
      <c r="C13" s="352">
        <v>41523</v>
      </c>
      <c r="D13" s="350">
        <f t="shared" si="2"/>
        <v>10694.68</v>
      </c>
      <c r="E13" s="350">
        <v>9135.25</v>
      </c>
      <c r="F13" s="350">
        <f t="shared" si="0"/>
        <v>3964.6985</v>
      </c>
      <c r="G13" s="350">
        <f t="shared" si="1"/>
        <v>5170.5514999999996</v>
      </c>
      <c r="H13" s="350">
        <f>1079.74+479.69</f>
        <v>1559.43</v>
      </c>
      <c r="I13" s="353" t="s">
        <v>591</v>
      </c>
      <c r="L13" s="356">
        <f t="shared" si="3"/>
        <v>479.6923786577874</v>
      </c>
      <c r="N13" s="356">
        <v>466.97471505912961</v>
      </c>
      <c r="O13" s="440">
        <v>12.717663598657804</v>
      </c>
      <c r="P13" s="448"/>
    </row>
    <row r="14" spans="1:16">
      <c r="A14" s="343" t="s">
        <v>592</v>
      </c>
      <c r="B14" s="351">
        <v>2013</v>
      </c>
      <c r="C14" s="352">
        <v>41555</v>
      </c>
      <c r="D14" s="350">
        <f t="shared" si="2"/>
        <v>10050.74</v>
      </c>
      <c r="E14" s="350">
        <v>8585.2099999999991</v>
      </c>
      <c r="F14" s="350">
        <f t="shared" si="0"/>
        <v>3725.9811399999994</v>
      </c>
      <c r="G14" s="350">
        <f t="shared" si="1"/>
        <v>4859.2288599999993</v>
      </c>
      <c r="H14" s="350">
        <f>1014.72+450.81</f>
        <v>1465.53</v>
      </c>
      <c r="I14" s="353" t="s">
        <v>593</v>
      </c>
      <c r="L14" s="356">
        <f t="shared" si="3"/>
        <v>450.80960800409525</v>
      </c>
      <c r="N14" s="356">
        <v>438.06183827602899</v>
      </c>
      <c r="O14" s="440">
        <v>12.747769728066267</v>
      </c>
      <c r="P14" s="448"/>
    </row>
    <row r="15" spans="1:16">
      <c r="A15" s="343" t="s">
        <v>594</v>
      </c>
      <c r="B15" s="351">
        <v>2013</v>
      </c>
      <c r="C15" s="352">
        <v>41607</v>
      </c>
      <c r="D15" s="350">
        <f t="shared" si="2"/>
        <v>9232.130000000001</v>
      </c>
      <c r="E15" s="350">
        <v>7885.96</v>
      </c>
      <c r="F15" s="350">
        <f t="shared" si="0"/>
        <v>3422.5066400000001</v>
      </c>
      <c r="G15" s="350">
        <f t="shared" si="1"/>
        <v>4463.4533599999995</v>
      </c>
      <c r="H15" s="350">
        <f>932.08+414.09</f>
        <v>1346.17</v>
      </c>
      <c r="I15" s="353" t="s">
        <v>595</v>
      </c>
      <c r="L15" s="356">
        <f t="shared" si="3"/>
        <v>414.09204246162449</v>
      </c>
      <c r="N15" s="356">
        <v>401.77654919225546</v>
      </c>
      <c r="O15" s="440">
        <v>12.315493269369048</v>
      </c>
      <c r="P15" s="448"/>
    </row>
    <row r="16" spans="1:16">
      <c r="A16" s="343" t="s">
        <v>596</v>
      </c>
      <c r="B16" s="351">
        <v>2013</v>
      </c>
      <c r="C16" s="352">
        <v>41607</v>
      </c>
      <c r="D16" s="350">
        <f t="shared" si="2"/>
        <v>10959.74</v>
      </c>
      <c r="E16" s="350">
        <v>9361.66</v>
      </c>
      <c r="F16" s="350">
        <f t="shared" si="0"/>
        <v>4062.9604399999998</v>
      </c>
      <c r="G16" s="350">
        <f t="shared" si="1"/>
        <v>5298.69956</v>
      </c>
      <c r="H16" s="350">
        <f>1106.5+491.58</f>
        <v>1598.08</v>
      </c>
      <c r="I16" s="353" t="s">
        <v>597</v>
      </c>
      <c r="L16" s="356">
        <f t="shared" si="3"/>
        <v>491.58131608172243</v>
      </c>
      <c r="N16" s="356">
        <v>478.81364759301135</v>
      </c>
      <c r="O16" s="440">
        <v>12.767668488711058</v>
      </c>
      <c r="P16" s="448"/>
    </row>
    <row r="17" spans="1:16">
      <c r="A17" s="343" t="s">
        <v>598</v>
      </c>
      <c r="B17" s="351">
        <v>2013</v>
      </c>
      <c r="C17" s="352">
        <v>41642</v>
      </c>
      <c r="D17" s="350">
        <f t="shared" si="2"/>
        <v>7335.62</v>
      </c>
      <c r="E17" s="350">
        <v>6265.99</v>
      </c>
      <c r="F17" s="350">
        <f t="shared" si="0"/>
        <v>2719.43966</v>
      </c>
      <c r="G17" s="350">
        <f t="shared" si="1"/>
        <v>3546.5503399999998</v>
      </c>
      <c r="H17" s="350">
        <f>740.6+329.03</f>
        <v>1069.6300000000001</v>
      </c>
      <c r="I17" s="353" t="s">
        <v>599</v>
      </c>
      <c r="L17" s="422">
        <f t="shared" si="3"/>
        <v>329.02726355312268</v>
      </c>
      <c r="M17" s="442"/>
      <c r="N17" s="422">
        <v>316.68491705208305</v>
      </c>
      <c r="O17" s="443">
        <v>12.342346501039637</v>
      </c>
      <c r="P17" s="448"/>
    </row>
    <row r="18" spans="1:16">
      <c r="A18" s="343" t="s">
        <v>600</v>
      </c>
      <c r="B18" s="351">
        <v>2013</v>
      </c>
      <c r="C18" s="352">
        <v>41663</v>
      </c>
      <c r="D18" s="355">
        <f t="shared" si="2"/>
        <v>10920.66</v>
      </c>
      <c r="E18" s="355">
        <v>9328.2800000000007</v>
      </c>
      <c r="F18" s="355">
        <f t="shared" si="0"/>
        <v>4048.4735200000005</v>
      </c>
      <c r="G18" s="355">
        <f t="shared" si="1"/>
        <v>5279.8064800000002</v>
      </c>
      <c r="H18" s="355">
        <f>1102.55+489.83</f>
        <v>1592.3799999999999</v>
      </c>
      <c r="I18" s="353" t="s">
        <v>601</v>
      </c>
      <c r="L18" s="422">
        <f t="shared" si="3"/>
        <v>489.82827340633827</v>
      </c>
      <c r="M18" s="442"/>
      <c r="N18" s="422">
        <v>477.06426162336015</v>
      </c>
      <c r="O18" s="443">
        <v>12.764011782978137</v>
      </c>
      <c r="P18" s="448"/>
    </row>
    <row r="19" spans="1:16" ht="15.75" thickBot="1">
      <c r="A19" s="343" t="s">
        <v>602</v>
      </c>
      <c r="B19" s="351"/>
      <c r="C19" s="352"/>
      <c r="D19" s="350">
        <f>SUM(D7:D18)</f>
        <v>111207.34000000001</v>
      </c>
      <c r="E19" s="350">
        <f t="shared" ref="E19:H19" si="4">SUM(E7:E18)</f>
        <v>94991.83</v>
      </c>
      <c r="F19" s="350">
        <f t="shared" si="4"/>
        <v>41226.45422</v>
      </c>
      <c r="G19" s="350">
        <f t="shared" si="4"/>
        <v>53765.375779999995</v>
      </c>
      <c r="H19" s="350">
        <f t="shared" si="4"/>
        <v>16215.51</v>
      </c>
      <c r="I19" s="353"/>
      <c r="L19" s="357">
        <f>SUM(L7:L18)</f>
        <v>5000.2988790608297</v>
      </c>
      <c r="N19" s="441">
        <f>SUM(N7:N18)</f>
        <v>4850.9241772718906</v>
      </c>
      <c r="O19" s="441">
        <f>SUM(O7:O18)</f>
        <v>149.37470178893881</v>
      </c>
    </row>
    <row r="20" spans="1:16" ht="15.75" thickTop="1">
      <c r="B20" s="351"/>
      <c r="C20" s="352"/>
      <c r="D20" s="350"/>
      <c r="E20" s="350"/>
      <c r="F20" s="350"/>
      <c r="G20" s="350"/>
      <c r="H20" s="350"/>
      <c r="I20" s="353"/>
    </row>
    <row r="21" spans="1:16">
      <c r="A21" s="425"/>
      <c r="H21" s="350"/>
      <c r="L21" s="424"/>
    </row>
    <row r="22" spans="1:16">
      <c r="A22" s="424"/>
      <c r="H22" s="350"/>
      <c r="L22" s="424"/>
    </row>
    <row r="23" spans="1:16">
      <c r="E23" s="439" t="s">
        <v>1057</v>
      </c>
      <c r="H23" s="350"/>
      <c r="L23" s="438"/>
    </row>
    <row r="24" spans="1:16">
      <c r="E24" s="426" t="s">
        <v>1058</v>
      </c>
      <c r="F24" s="427"/>
      <c r="G24" s="427"/>
      <c r="H24" s="428"/>
      <c r="I24" s="427"/>
      <c r="J24" s="427"/>
      <c r="K24" s="427"/>
      <c r="L24" s="437">
        <f>SUM(N7:N16)</f>
        <v>4057.1749985964479</v>
      </c>
      <c r="M24" s="423" t="s">
        <v>1053</v>
      </c>
    </row>
    <row r="25" spans="1:16">
      <c r="E25" s="426" t="s">
        <v>1059</v>
      </c>
      <c r="F25" s="427"/>
      <c r="G25" s="427"/>
      <c r="H25" s="428"/>
      <c r="I25" s="427"/>
      <c r="J25" s="427"/>
      <c r="K25" s="427"/>
      <c r="L25" s="437">
        <f>SUM(O7:O16)</f>
        <v>124.26834350492102</v>
      </c>
      <c r="M25" s="423" t="s">
        <v>1054</v>
      </c>
    </row>
    <row r="26" spans="1:16">
      <c r="E26" s="426" t="s">
        <v>1060</v>
      </c>
      <c r="F26" s="427"/>
      <c r="G26" s="427"/>
      <c r="H26" s="428"/>
      <c r="I26" s="427"/>
      <c r="J26" s="427"/>
      <c r="K26" s="427"/>
      <c r="L26" s="437">
        <v>0</v>
      </c>
      <c r="M26" s="427"/>
    </row>
    <row r="27" spans="1:16">
      <c r="E27" s="426" t="s">
        <v>1061</v>
      </c>
      <c r="F27" s="427"/>
      <c r="G27" s="427"/>
      <c r="H27" s="428"/>
      <c r="I27" s="427"/>
      <c r="J27" s="427"/>
      <c r="K27" s="427"/>
      <c r="L27" s="437">
        <v>0</v>
      </c>
      <c r="M27" s="427"/>
    </row>
    <row r="28" spans="1:16">
      <c r="E28" s="426" t="s">
        <v>1062</v>
      </c>
      <c r="F28" s="427"/>
      <c r="G28" s="427"/>
      <c r="H28" s="427"/>
      <c r="I28" s="427"/>
      <c r="J28" s="427"/>
      <c r="K28" s="427"/>
      <c r="L28" s="437">
        <v>0</v>
      </c>
      <c r="M28" s="427"/>
    </row>
    <row r="29" spans="1:16">
      <c r="E29" s="426" t="s">
        <v>1063</v>
      </c>
      <c r="F29" s="427"/>
      <c r="G29" s="427"/>
      <c r="H29" s="427"/>
      <c r="I29" s="427"/>
      <c r="J29" s="427"/>
      <c r="K29" s="427"/>
      <c r="L29" s="437">
        <v>0</v>
      </c>
      <c r="M29" s="427"/>
    </row>
    <row r="30" spans="1:16">
      <c r="E30" s="426" t="s">
        <v>1064</v>
      </c>
      <c r="F30" s="427"/>
      <c r="G30" s="427"/>
      <c r="H30" s="427"/>
      <c r="I30" s="427"/>
      <c r="J30" s="427"/>
      <c r="K30" s="427"/>
      <c r="L30" s="437">
        <v>0</v>
      </c>
      <c r="M30" s="427"/>
    </row>
    <row r="31" spans="1:16">
      <c r="E31" s="426" t="s">
        <v>1065</v>
      </c>
      <c r="F31" s="427"/>
      <c r="G31" s="427"/>
      <c r="H31" s="427"/>
      <c r="I31" s="427"/>
      <c r="J31" s="427"/>
      <c r="K31" s="427"/>
      <c r="L31" s="437">
        <v>0</v>
      </c>
      <c r="M31" s="427"/>
    </row>
    <row r="32" spans="1:16">
      <c r="E32" s="426" t="s">
        <v>1065</v>
      </c>
      <c r="F32" s="427"/>
      <c r="G32" s="427"/>
      <c r="H32" s="427"/>
      <c r="I32" s="427"/>
      <c r="J32" s="427"/>
      <c r="K32" s="427"/>
      <c r="L32" s="437">
        <v>0</v>
      </c>
      <c r="M32" s="427"/>
    </row>
    <row r="33" spans="5:13">
      <c r="E33" s="426" t="s">
        <v>1066</v>
      </c>
      <c r="F33" s="427"/>
      <c r="G33" s="427"/>
      <c r="H33" s="427"/>
      <c r="I33" s="427"/>
      <c r="J33" s="427"/>
      <c r="K33" s="427"/>
      <c r="L33" s="430">
        <f>SUM(L24:L32)</f>
        <v>4181.4433421013691</v>
      </c>
      <c r="M33" s="427"/>
    </row>
    <row r="34" spans="5:13">
      <c r="E34" s="426"/>
      <c r="F34" s="427"/>
      <c r="G34" s="427"/>
      <c r="H34" s="427"/>
      <c r="I34" s="427"/>
      <c r="J34" s="427"/>
      <c r="K34" s="427"/>
      <c r="L34" s="431"/>
      <c r="M34" s="427"/>
    </row>
    <row r="35" spans="5:13">
      <c r="E35" s="426"/>
      <c r="F35" s="427"/>
      <c r="G35" s="427"/>
      <c r="H35" s="427"/>
      <c r="I35" s="427"/>
      <c r="J35" s="427"/>
      <c r="K35" s="427"/>
      <c r="L35" s="432"/>
      <c r="M35" s="427"/>
    </row>
    <row r="36" spans="5:13">
      <c r="E36" s="433" t="s">
        <v>415</v>
      </c>
      <c r="F36" s="427"/>
      <c r="G36" s="427"/>
      <c r="H36" s="427"/>
      <c r="I36" s="427"/>
      <c r="J36" s="427"/>
      <c r="K36" s="427"/>
      <c r="L36" s="432">
        <f>L33</f>
        <v>4181.4433421013691</v>
      </c>
      <c r="M36" s="427"/>
    </row>
    <row r="37" spans="5:13">
      <c r="E37" s="434" t="s">
        <v>1067</v>
      </c>
      <c r="F37" s="427"/>
      <c r="G37" s="427"/>
      <c r="H37" s="427"/>
      <c r="I37" s="427"/>
      <c r="J37" s="427"/>
      <c r="K37" s="427"/>
      <c r="L37" s="432">
        <f>L26+L27+L25+L28</f>
        <v>124.26834350492102</v>
      </c>
      <c r="M37" s="427"/>
    </row>
    <row r="38" spans="5:13">
      <c r="E38" s="435" t="s">
        <v>487</v>
      </c>
      <c r="F38" s="427"/>
      <c r="G38" s="427"/>
      <c r="H38" s="427"/>
      <c r="I38" s="427"/>
      <c r="J38" s="427"/>
      <c r="K38" s="427"/>
      <c r="L38" s="432">
        <f>L29</f>
        <v>0</v>
      </c>
      <c r="M38" s="427"/>
    </row>
    <row r="39" spans="5:13">
      <c r="E39" s="435" t="s">
        <v>488</v>
      </c>
      <c r="F39" s="427"/>
      <c r="G39" s="427"/>
      <c r="H39" s="427"/>
      <c r="I39" s="427"/>
      <c r="J39" s="427"/>
      <c r="K39" s="427"/>
      <c r="L39" s="432">
        <f>L30</f>
        <v>0</v>
      </c>
      <c r="M39" s="427"/>
    </row>
    <row r="40" spans="5:13">
      <c r="E40" s="435" t="s">
        <v>1068</v>
      </c>
      <c r="F40" s="427"/>
      <c r="G40" s="427"/>
      <c r="H40" s="427"/>
      <c r="I40" s="427"/>
      <c r="J40" s="427"/>
      <c r="K40" s="427"/>
      <c r="L40" s="436">
        <f>L36-L37-L38-L39</f>
        <v>4057.1749985964479</v>
      </c>
      <c r="M40" s="427"/>
    </row>
    <row r="41" spans="5:13">
      <c r="E41" s="427"/>
      <c r="F41" s="427"/>
      <c r="G41" s="427"/>
      <c r="H41" s="427"/>
      <c r="I41" s="427"/>
      <c r="J41" s="427"/>
      <c r="K41" s="427"/>
      <c r="L41" s="429"/>
      <c r="M41" s="427"/>
    </row>
    <row r="42" spans="5:13">
      <c r="E42" s="427"/>
      <c r="F42" s="427"/>
      <c r="G42" s="427"/>
      <c r="H42" s="427"/>
      <c r="I42" s="427"/>
      <c r="J42" s="427"/>
      <c r="K42" s="427"/>
      <c r="L42" s="429"/>
      <c r="M42" s="427"/>
    </row>
    <row r="43" spans="5:13">
      <c r="E43" s="427"/>
      <c r="F43" s="427"/>
      <c r="G43" s="427"/>
      <c r="H43" s="427"/>
      <c r="I43" s="427"/>
      <c r="J43" s="427"/>
      <c r="K43" s="427"/>
      <c r="L43" s="429"/>
      <c r="M43" s="427"/>
    </row>
    <row r="44" spans="5:13">
      <c r="E44" s="427"/>
      <c r="F44" s="427"/>
      <c r="G44" s="427"/>
      <c r="H44" s="427"/>
      <c r="I44" s="427"/>
      <c r="J44" s="427"/>
      <c r="K44" s="427"/>
      <c r="L44" s="429"/>
      <c r="M44" s="427"/>
    </row>
    <row r="45" spans="5:13">
      <c r="E45" s="427"/>
      <c r="F45" s="427"/>
      <c r="G45" s="427"/>
      <c r="H45" s="427"/>
      <c r="I45" s="427"/>
      <c r="J45" s="427"/>
      <c r="K45" s="427"/>
      <c r="L45" s="429"/>
      <c r="M45" s="427"/>
    </row>
    <row r="46" spans="5:13">
      <c r="E46" s="427"/>
      <c r="F46" s="427"/>
      <c r="G46" s="427"/>
      <c r="H46" s="427"/>
      <c r="I46" s="427"/>
      <c r="J46" s="427"/>
      <c r="K46" s="427"/>
      <c r="L46" s="429"/>
      <c r="M46" s="427"/>
    </row>
    <row r="47" spans="5:13">
      <c r="E47" s="427"/>
      <c r="F47" s="427"/>
      <c r="G47" s="427"/>
      <c r="H47" s="427"/>
      <c r="I47" s="427"/>
      <c r="J47" s="427"/>
      <c r="K47" s="427"/>
      <c r="L47" s="429"/>
      <c r="M47" s="427"/>
    </row>
    <row r="48" spans="5:13">
      <c r="E48" s="427"/>
      <c r="F48" s="427"/>
      <c r="G48" s="427"/>
      <c r="H48" s="427"/>
      <c r="I48" s="427"/>
      <c r="J48" s="427"/>
      <c r="K48" s="427"/>
      <c r="L48" s="429"/>
      <c r="M48" s="427"/>
    </row>
    <row r="49" spans="5:13">
      <c r="E49" s="427"/>
      <c r="F49" s="427"/>
      <c r="G49" s="427"/>
      <c r="H49" s="427"/>
      <c r="I49" s="427"/>
      <c r="J49" s="427"/>
      <c r="K49" s="427"/>
      <c r="L49" s="429"/>
      <c r="M49" s="427"/>
    </row>
    <row r="50" spans="5:13">
      <c r="E50" s="427"/>
      <c r="F50" s="427"/>
      <c r="G50" s="427"/>
      <c r="H50" s="427"/>
      <c r="I50" s="427"/>
      <c r="J50" s="427"/>
      <c r="K50" s="427"/>
      <c r="L50" s="429"/>
      <c r="M50" s="427"/>
    </row>
    <row r="51" spans="5:13">
      <c r="E51" s="427"/>
      <c r="F51" s="427"/>
      <c r="G51" s="427"/>
      <c r="H51" s="427"/>
      <c r="I51" s="427"/>
      <c r="J51" s="427"/>
      <c r="K51" s="427"/>
      <c r="L51" s="429"/>
      <c r="M51" s="427"/>
    </row>
    <row r="52" spans="5:13">
      <c r="E52" s="427"/>
      <c r="F52" s="427"/>
      <c r="G52" s="427"/>
      <c r="H52" s="427"/>
      <c r="I52" s="427"/>
      <c r="J52" s="427"/>
      <c r="K52" s="427"/>
      <c r="L52" s="429"/>
      <c r="M52" s="427"/>
    </row>
    <row r="53" spans="5:13">
      <c r="E53" s="427"/>
      <c r="F53" s="427"/>
      <c r="G53" s="427"/>
      <c r="H53" s="427"/>
      <c r="I53" s="427"/>
      <c r="J53" s="427"/>
      <c r="K53" s="427"/>
      <c r="L53" s="429"/>
      <c r="M53" s="427"/>
    </row>
    <row r="54" spans="5:13">
      <c r="E54" s="427"/>
      <c r="F54" s="427"/>
      <c r="G54" s="427"/>
      <c r="H54" s="427"/>
      <c r="I54" s="427"/>
      <c r="J54" s="427"/>
      <c r="K54" s="427"/>
      <c r="L54" s="429"/>
      <c r="M54" s="427"/>
    </row>
  </sheetData>
  <pageMargins left="0.2" right="0.2" top="0.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Nonlevelized-EIA 412</vt:lpstr>
      <vt:lpstr>Sched 2 Balance sheet</vt:lpstr>
      <vt:lpstr>Sched 3 Income Statement</vt:lpstr>
      <vt:lpstr>Sched 4 Electric Plant</vt:lpstr>
      <vt:lpstr>Depreciation</vt:lpstr>
      <vt:lpstr>Sched 5 Taxes</vt:lpstr>
      <vt:lpstr>Sched 7 Op &amp; Maint</vt:lpstr>
      <vt:lpstr>Salaries</vt:lpstr>
      <vt:lpstr>Acct 456.1</vt:lpstr>
      <vt:lpstr>Other Data</vt:lpstr>
      <vt:lpstr>Depreciation!\___C_._RIGHT_</vt:lpstr>
      <vt:lpstr>Depreciation!\C</vt:lpstr>
      <vt:lpstr>Depreciation!\D</vt:lpstr>
      <vt:lpstr>Depreciation!\E</vt:lpstr>
      <vt:lpstr>Depreciation!\P</vt:lpstr>
      <vt:lpstr>Depreciation!\S</vt:lpstr>
      <vt:lpstr>Depreciation!\U</vt:lpstr>
      <vt:lpstr>Depreciation!\V</vt:lpstr>
      <vt:lpstr>Depreciation!\W</vt:lpstr>
      <vt:lpstr>Depreciation!____C_._DOWN_</vt:lpstr>
      <vt:lpstr>Depreciation!_DATE_87__?___?</vt:lpstr>
      <vt:lpstr>Depreciation!_FS_R</vt:lpstr>
      <vt:lpstr>Depreciation!_PPR_?__AGAQ</vt:lpstr>
      <vt:lpstr>Depreciation!_RE_</vt:lpstr>
      <vt:lpstr>Depreciation!_RFD1__WCS10_</vt:lpstr>
      <vt:lpstr>Depreciation!_WCS_?__</vt:lpstr>
      <vt:lpstr>Depreciation!_WIC_</vt:lpstr>
      <vt:lpstr>Depreciation!_WIR_</vt:lpstr>
      <vt:lpstr>Depreciation!Print_Area</vt:lpstr>
      <vt:lpstr>'Nonlevelized-EIA 412'!Print_Area</vt:lpstr>
      <vt:lpstr>Salaries!Print_Area</vt:lpstr>
      <vt:lpstr>'Sched 3 Income Statement'!Print_Area</vt:lpstr>
      <vt:lpstr>'Sched 4 Electric Plant'!Print_Area</vt:lpstr>
      <vt:lpstr>Depreciation!Print_Area_MI</vt:lpstr>
      <vt:lpstr>'Acct 456.1'!Print_Titles</vt:lpstr>
      <vt:lpstr>Depreciation!Print_Titles</vt:lpstr>
      <vt:lpstr>Depreciation!Print_Titles_MI</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Karen Weeden</cp:lastModifiedBy>
  <cp:lastPrinted>2015-03-24T19:05:03Z</cp:lastPrinted>
  <dcterms:created xsi:type="dcterms:W3CDTF">2005-04-15T13:36:01Z</dcterms:created>
  <dcterms:modified xsi:type="dcterms:W3CDTF">2015-04-07T17:57:13Z</dcterms:modified>
</cp:coreProperties>
</file>