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52" yWindow="168" windowWidth="9600" windowHeight="7980" tabRatio="874"/>
  </bookViews>
  <sheets>
    <sheet name="Nonlevelized-EIA 412" sheetId="39" r:id="rId1"/>
    <sheet name="Balance sheet Sched 2" sheetId="28" r:id="rId2"/>
    <sheet name="Income Statement Sched 3" sheetId="29" r:id="rId3"/>
    <sheet name="Electric Plant Sched 4" sheetId="30" r:id="rId4"/>
    <sheet name="Taxes Sched 5" sheetId="31" r:id="rId5"/>
    <sheet name="Op &amp; Maint Sched 7" sheetId="32" r:id="rId6"/>
    <sheet name="Salaries" sheetId="37" r:id="rId7"/>
    <sheet name="Detailed Income &amp; Exp" sheetId="38" r:id="rId8"/>
    <sheet name="Other Data" sheetId="34" r:id="rId9"/>
    <sheet name="Acct 456.1" sheetId="40"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___C_._RIGHT_">#REF!</definedName>
    <definedName name="\C">#REF!</definedName>
    <definedName name="\D">#REF!</definedName>
    <definedName name="\E">#REF!</definedName>
    <definedName name="\p" localSheetId="7">#REF!</definedName>
    <definedName name="\P" localSheetId="0">#REF!</definedName>
    <definedName name="\p" localSheetId="6">#REF!</definedName>
    <definedName name="\p">#REF!</definedName>
    <definedName name="\S">#REF!</definedName>
    <definedName name="\U">#REF!</definedName>
    <definedName name="\V">#REF!</definedName>
    <definedName name="\W">#REF!</definedName>
    <definedName name="____C_._DOWN_">#REF!</definedName>
    <definedName name="__123Graph_A" localSheetId="7" hidden="1">[1]Sheet3!#REF!</definedName>
    <definedName name="__123Graph_A" localSheetId="0" hidden="1">[1]Sheet3!#REF!</definedName>
    <definedName name="__123Graph_A" localSheetId="6" hidden="1">[1]Sheet3!#REF!</definedName>
    <definedName name="__123Graph_A" hidden="1">[1]Sheet3!#REF!</definedName>
    <definedName name="__123Graph_A1991" localSheetId="7" hidden="1">[1]Sheet3!#REF!</definedName>
    <definedName name="__123Graph_A1991" localSheetId="0" hidden="1">[1]Sheet3!#REF!</definedName>
    <definedName name="__123Graph_A1991" localSheetId="6" hidden="1">[1]Sheet3!#REF!</definedName>
    <definedName name="__123Graph_A1991" hidden="1">[1]Sheet3!#REF!</definedName>
    <definedName name="__123Graph_A1992" localSheetId="7" hidden="1">[1]Sheet3!#REF!</definedName>
    <definedName name="__123Graph_A1992" localSheetId="0" hidden="1">[1]Sheet3!#REF!</definedName>
    <definedName name="__123Graph_A1992" localSheetId="6" hidden="1">[1]Sheet3!#REF!</definedName>
    <definedName name="__123Graph_A1992" hidden="1">[1]Sheet3!#REF!</definedName>
    <definedName name="__123Graph_A1993" localSheetId="7" hidden="1">[1]Sheet3!#REF!</definedName>
    <definedName name="__123Graph_A1993" localSheetId="6" hidden="1">[1]Sheet3!#REF!</definedName>
    <definedName name="__123Graph_A1993" hidden="1">[1]Sheet3!#REF!</definedName>
    <definedName name="__123Graph_A1994" localSheetId="7" hidden="1">[1]Sheet3!#REF!</definedName>
    <definedName name="__123Graph_A1994" localSheetId="6" hidden="1">[1]Sheet3!#REF!</definedName>
    <definedName name="__123Graph_A1994" hidden="1">[1]Sheet3!#REF!</definedName>
    <definedName name="__123Graph_A1995" localSheetId="7" hidden="1">[1]Sheet3!#REF!</definedName>
    <definedName name="__123Graph_A1995" localSheetId="6" hidden="1">[1]Sheet3!#REF!</definedName>
    <definedName name="__123Graph_A1995" hidden="1">[1]Sheet3!#REF!</definedName>
    <definedName name="__123Graph_A1996" localSheetId="7" hidden="1">[1]Sheet3!#REF!</definedName>
    <definedName name="__123Graph_A1996" localSheetId="6" hidden="1">[1]Sheet3!#REF!</definedName>
    <definedName name="__123Graph_A1996" hidden="1">[1]Sheet3!#REF!</definedName>
    <definedName name="__123Graph_ABAR" localSheetId="7" hidden="1">[1]Sheet3!#REF!</definedName>
    <definedName name="__123Graph_ABAR" localSheetId="6" hidden="1">[1]Sheet3!#REF!</definedName>
    <definedName name="__123Graph_ABAR" hidden="1">[1]Sheet3!#REF!</definedName>
    <definedName name="__123Graph_B" localSheetId="7" hidden="1">[1]Sheet3!#REF!</definedName>
    <definedName name="__123Graph_B" localSheetId="6" hidden="1">[1]Sheet3!#REF!</definedName>
    <definedName name="__123Graph_B" hidden="1">[1]Sheet3!#REF!</definedName>
    <definedName name="__123Graph_B1991" localSheetId="7" hidden="1">[1]Sheet3!#REF!</definedName>
    <definedName name="__123Graph_B1991" localSheetId="6" hidden="1">[1]Sheet3!#REF!</definedName>
    <definedName name="__123Graph_B1991" hidden="1">[1]Sheet3!#REF!</definedName>
    <definedName name="__123Graph_B1992" localSheetId="7" hidden="1">[1]Sheet3!#REF!</definedName>
    <definedName name="__123Graph_B1992" localSheetId="6" hidden="1">[1]Sheet3!#REF!</definedName>
    <definedName name="__123Graph_B1992" hidden="1">[1]Sheet3!#REF!</definedName>
    <definedName name="__123Graph_B1993" localSheetId="7" hidden="1">[1]Sheet3!#REF!</definedName>
    <definedName name="__123Graph_B1993" localSheetId="6" hidden="1">[1]Sheet3!#REF!</definedName>
    <definedName name="__123Graph_B1993" hidden="1">[1]Sheet3!#REF!</definedName>
    <definedName name="__123Graph_B1994" localSheetId="7" hidden="1">[1]Sheet3!#REF!</definedName>
    <definedName name="__123Graph_B1994" localSheetId="6" hidden="1">[1]Sheet3!#REF!</definedName>
    <definedName name="__123Graph_B1994" hidden="1">[1]Sheet3!#REF!</definedName>
    <definedName name="__123Graph_B1995" localSheetId="7" hidden="1">[1]Sheet3!#REF!</definedName>
    <definedName name="__123Graph_B1995" localSheetId="6" hidden="1">[1]Sheet3!#REF!</definedName>
    <definedName name="__123Graph_B1995" hidden="1">[1]Sheet3!#REF!</definedName>
    <definedName name="__123Graph_B1996" localSheetId="7" hidden="1">[1]Sheet3!#REF!</definedName>
    <definedName name="__123Graph_B1996" localSheetId="6" hidden="1">[1]Sheet3!#REF!</definedName>
    <definedName name="__123Graph_B1996" hidden="1">[1]Sheet3!#REF!</definedName>
    <definedName name="__123Graph_BBAR" localSheetId="7" hidden="1">[1]Sheet3!#REF!</definedName>
    <definedName name="__123Graph_BBAR" localSheetId="6" hidden="1">[1]Sheet3!#REF!</definedName>
    <definedName name="__123Graph_BBAR" hidden="1">[1]Sheet3!#REF!</definedName>
    <definedName name="__123Graph_CBAR" localSheetId="7" hidden="1">[1]Sheet3!#REF!</definedName>
    <definedName name="__123Graph_CBAR" localSheetId="6" hidden="1">[1]Sheet3!#REF!</definedName>
    <definedName name="__123Graph_CBAR" hidden="1">[1]Sheet3!#REF!</definedName>
    <definedName name="__123Graph_DBAR" localSheetId="7" hidden="1">[1]Sheet3!#REF!</definedName>
    <definedName name="__123Graph_DBAR" localSheetId="6" hidden="1">[1]Sheet3!#REF!</definedName>
    <definedName name="__123Graph_DBAR" hidden="1">[1]Sheet3!#REF!</definedName>
    <definedName name="__123Graph_EBAR" localSheetId="7" hidden="1">[1]Sheet3!#REF!</definedName>
    <definedName name="__123Graph_EBAR" localSheetId="6" hidden="1">[1]Sheet3!#REF!</definedName>
    <definedName name="__123Graph_EBAR" hidden="1">[1]Sheet3!#REF!</definedName>
    <definedName name="__123Graph_FBAR" localSheetId="7" hidden="1">[1]Sheet3!#REF!</definedName>
    <definedName name="__123Graph_FBAR" localSheetId="6" hidden="1">[1]Sheet3!#REF!</definedName>
    <definedName name="__123Graph_FBAR" hidden="1">[1]Sheet3!#REF!</definedName>
    <definedName name="__123Graph_X" localSheetId="7" hidden="1">[1]Sheet3!#REF!</definedName>
    <definedName name="__123Graph_X" localSheetId="6" hidden="1">[1]Sheet3!#REF!</definedName>
    <definedName name="__123Graph_X" hidden="1">[1]Sheet3!#REF!</definedName>
    <definedName name="__123Graph_X1991" localSheetId="7" hidden="1">[1]Sheet3!#REF!</definedName>
    <definedName name="__123Graph_X1991" localSheetId="6" hidden="1">[1]Sheet3!#REF!</definedName>
    <definedName name="__123Graph_X1991" hidden="1">[1]Sheet3!#REF!</definedName>
    <definedName name="__123Graph_X1992" localSheetId="7" hidden="1">[1]Sheet3!#REF!</definedName>
    <definedName name="__123Graph_X1992" localSheetId="6" hidden="1">[1]Sheet3!#REF!</definedName>
    <definedName name="__123Graph_X1992" hidden="1">[1]Sheet3!#REF!</definedName>
    <definedName name="__123Graph_X1993" localSheetId="7" hidden="1">[1]Sheet3!#REF!</definedName>
    <definedName name="__123Graph_X1993" localSheetId="6" hidden="1">[1]Sheet3!#REF!</definedName>
    <definedName name="__123Graph_X1993" hidden="1">[1]Sheet3!#REF!</definedName>
    <definedName name="__123Graph_X1994" localSheetId="7" hidden="1">[1]Sheet3!#REF!</definedName>
    <definedName name="__123Graph_X1994" localSheetId="6" hidden="1">[1]Sheet3!#REF!</definedName>
    <definedName name="__123Graph_X1994" hidden="1">[1]Sheet3!#REF!</definedName>
    <definedName name="__123Graph_X1995" localSheetId="7" hidden="1">[1]Sheet3!#REF!</definedName>
    <definedName name="__123Graph_X1995" localSheetId="6" hidden="1">[1]Sheet3!#REF!</definedName>
    <definedName name="__123Graph_X1995" hidden="1">[1]Sheet3!#REF!</definedName>
    <definedName name="__123Graph_X1996" localSheetId="7" hidden="1">[1]Sheet3!#REF!</definedName>
    <definedName name="__123Graph_X1996" localSheetId="6" hidden="1">[1]Sheet3!#REF!</definedName>
    <definedName name="__123Graph_X1996" hidden="1">[1]Sheet3!#REF!</definedName>
    <definedName name="_Check_Input" localSheetId="7">#REF!</definedName>
    <definedName name="_Check_Input" localSheetId="0">#REF!</definedName>
    <definedName name="_Check_Input" localSheetId="8">#REF!</definedName>
    <definedName name="_Check_Input" localSheetId="6">#REF!</definedName>
    <definedName name="_Check_Input">#REF!</definedName>
    <definedName name="_Checks" localSheetId="7">#REF!</definedName>
    <definedName name="_Checks" localSheetId="6">#REF!</definedName>
    <definedName name="_Checks">#REF!</definedName>
    <definedName name="_CurrCase" localSheetId="7">[2]DANDE!#REF!</definedName>
    <definedName name="_CurrCase" localSheetId="8">[3]DANDE!#REF!</definedName>
    <definedName name="_CurrCase" localSheetId="6">[2]DANDE!#REF!</definedName>
    <definedName name="_CurrCase">[2]DANDE!#REF!</definedName>
    <definedName name="_Data_Query" localSheetId="7">#REF!</definedName>
    <definedName name="_Data_Query" localSheetId="8">#REF!</definedName>
    <definedName name="_Data_Query" localSheetId="6">#REF!</definedName>
    <definedName name="_Data_Query">#REF!</definedName>
    <definedName name="_Data_Query2" localSheetId="7">#REF!</definedName>
    <definedName name="_Data_Query2" localSheetId="8">#REF!</definedName>
    <definedName name="_Data_Query2" localSheetId="6">#REF!</definedName>
    <definedName name="_Data_Query2">#REF!</definedName>
    <definedName name="_DATE_87__?___?">#REF!</definedName>
    <definedName name="_End_Yr" localSheetId="7">#REF!</definedName>
    <definedName name="_End_Yr" localSheetId="8">#REF!</definedName>
    <definedName name="_End_Yr" localSheetId="6">#REF!</definedName>
    <definedName name="_End_Yr">#REF!</definedName>
    <definedName name="_EndYr2" localSheetId="7">#REF!</definedName>
    <definedName name="_EndYr2" localSheetId="6">#REF!</definedName>
    <definedName name="_EndYr2">#REF!</definedName>
    <definedName name="_FC_ID" localSheetId="7">#REF!</definedName>
    <definedName name="_FC_ID" localSheetId="6">#REF!</definedName>
    <definedName name="_FC_ID">#REF!</definedName>
    <definedName name="_FC_Query" localSheetId="7">#REF!</definedName>
    <definedName name="_FC_Query" localSheetId="6">#REF!</definedName>
    <definedName name="_FC_Query">#REF!</definedName>
    <definedName name="_FC_Table" localSheetId="7">#REF!</definedName>
    <definedName name="_FC_Table" localSheetId="6">#REF!</definedName>
    <definedName name="_FC_Table">#REF!</definedName>
    <definedName name="_FEB01" localSheetId="7" hidden="1">{#N/A,#N/A,FALSE,"EMPPAY"}</definedName>
    <definedName name="_FEB01" localSheetId="0" hidden="1">{#N/A,#N/A,FALSE,"EMPPAY"}</definedName>
    <definedName name="_FEB01" localSheetId="6" hidden="1">{#N/A,#N/A,FALSE,"EMPPAY"}</definedName>
    <definedName name="_FEB01" hidden="1">{#N/A,#N/A,FALSE,"EMPPAY"}</definedName>
    <definedName name="_Fill" localSheetId="7" hidden="1">'[4]Exp Detail'!#REF!</definedName>
    <definedName name="_Fill" localSheetId="6" hidden="1">'[4]Exp Detail'!#REF!</definedName>
    <definedName name="_Fill" hidden="1">'[4]Exp Detail'!#REF!</definedName>
    <definedName name="_FS_R">#REF!</definedName>
    <definedName name="_JAN01" localSheetId="7" hidden="1">{#N/A,#N/A,FALSE,"EMPPAY"}</definedName>
    <definedName name="_JAN01" localSheetId="0" hidden="1">{#N/A,#N/A,FALSE,"EMPPAY"}</definedName>
    <definedName name="_JAN01" localSheetId="6" hidden="1">{#N/A,#N/A,FALSE,"EMPPAY"}</definedName>
    <definedName name="_JAN01" hidden="1">{#N/A,#N/A,FALSE,"EMPPAY"}</definedName>
    <definedName name="_JAN2001" localSheetId="7" hidden="1">{#N/A,#N/A,FALSE,"EMPPAY"}</definedName>
    <definedName name="_JAN2001" localSheetId="0" hidden="1">{#N/A,#N/A,FALSE,"EMPPAY"}</definedName>
    <definedName name="_JAN2001" localSheetId="6" hidden="1">{#N/A,#N/A,FALSE,"EMPPAY"}</definedName>
    <definedName name="_JAN2001" hidden="1">{#N/A,#N/A,FALSE,"EMPPAY"}</definedName>
    <definedName name="_Key1" localSheetId="7" hidden="1">'[4]Exp Detail'!#REF!</definedName>
    <definedName name="_Key1" localSheetId="6" hidden="1">'[4]Exp Detail'!#REF!</definedName>
    <definedName name="_Key1" hidden="1">'[4]Exp Detail'!#REF!</definedName>
    <definedName name="_lookup1">#REF!</definedName>
    <definedName name="_lookup2">#REF!</definedName>
    <definedName name="_lookup3">#REF!</definedName>
    <definedName name="_Meter_Pt" localSheetId="7">#REF!</definedName>
    <definedName name="_Meter_Pt" localSheetId="8">#REF!</definedName>
    <definedName name="_Meter_Pt" localSheetId="6">#REF!</definedName>
    <definedName name="_Meter_Pt">#REF!</definedName>
    <definedName name="_Order1" hidden="1">255</definedName>
    <definedName name="_PPR_?__AGAQ">#REF!</definedName>
    <definedName name="_Query1a" localSheetId="7">#REF!</definedName>
    <definedName name="_Query1a" localSheetId="8">#REF!</definedName>
    <definedName name="_Query1a" localSheetId="6">#REF!</definedName>
    <definedName name="_Query1a">#REF!</definedName>
    <definedName name="_Query1b" localSheetId="7">#REF!</definedName>
    <definedName name="_Query1b" localSheetId="8">#REF!</definedName>
    <definedName name="_Query1b" localSheetId="6">#REF!</definedName>
    <definedName name="_Query1b">#REF!</definedName>
    <definedName name="_Query2a" localSheetId="7">#REF!</definedName>
    <definedName name="_Query2a" localSheetId="6">#REF!</definedName>
    <definedName name="_Query2a">#REF!</definedName>
    <definedName name="_Query2b" localSheetId="7">#REF!</definedName>
    <definedName name="_Query2b" localSheetId="6">#REF!</definedName>
    <definedName name="_Query2b">#REF!</definedName>
    <definedName name="_RE_">#REF!</definedName>
    <definedName name="_RFD1__WCS10_">#REF!</definedName>
    <definedName name="_RunCase" localSheetId="7">[2]DANDE!#REF!</definedName>
    <definedName name="_RunCase" localSheetId="0">[2]DANDE!#REF!</definedName>
    <definedName name="_RunCase" localSheetId="8">[3]DANDE!#REF!</definedName>
    <definedName name="_RunCase" localSheetId="6">[2]DANDE!#REF!</definedName>
    <definedName name="_RunCase">[2]DANDE!#REF!</definedName>
    <definedName name="_Sort" localSheetId="7" hidden="1">'[4]Exp Detail'!#REF!</definedName>
    <definedName name="_Sort" localSheetId="0" hidden="1">'[4]Exp Detail'!#REF!</definedName>
    <definedName name="_Sort" localSheetId="6" hidden="1">'[4]Exp Detail'!#REF!</definedName>
    <definedName name="_Sort" hidden="1">'[4]Exp Detail'!#REF!</definedName>
    <definedName name="_Split_Mthd" localSheetId="7">#REF!</definedName>
    <definedName name="_Split_Mthd" localSheetId="8">#REF!</definedName>
    <definedName name="_Split_Mthd" localSheetId="6">#REF!</definedName>
    <definedName name="_Split_Mthd">#REF!</definedName>
    <definedName name="_Start_Yr" localSheetId="7">#REF!</definedName>
    <definedName name="_Start_Yr" localSheetId="8">#REF!</definedName>
    <definedName name="_Start_Yr" localSheetId="6">#REF!</definedName>
    <definedName name="_Start_Yr">#REF!</definedName>
    <definedName name="_StartYr2" localSheetId="7">#REF!</definedName>
    <definedName name="_StartYr2" localSheetId="8">#REF!</definedName>
    <definedName name="_StartYr2" localSheetId="6">#REF!</definedName>
    <definedName name="_StartYr2">#REF!</definedName>
    <definedName name="_WCS_?__">#REF!</definedName>
    <definedName name="_WIC_">#REF!</definedName>
    <definedName name="_WIR_">#REF!</definedName>
    <definedName name="A" localSheetId="7" hidden="1">{#N/A,#N/A,FALSE,"EMPPAY"}</definedName>
    <definedName name="A" localSheetId="0" hidden="1">{#N/A,#N/A,FALSE,"EMPPAY"}</definedName>
    <definedName name="A" localSheetId="6" hidden="1">{#N/A,#N/A,FALSE,"EMPPAY"}</definedName>
    <definedName name="A" hidden="1">{#N/A,#N/A,FALSE,"EMPPAY"}</definedName>
    <definedName name="Adjusted_KW">[5]CALCULATIONS!$C$29</definedName>
    <definedName name="CIP_Year" localSheetId="7">OFFSET(#REF!,0,0,COUNTA(#REF!)-1,1)</definedName>
    <definedName name="CIP_Year" localSheetId="6">OFFSET(#REF!,0,0,COUNTA(#REF!)-1,1)</definedName>
    <definedName name="CIP_Year">OFFSET(#REF!,0,0,COUNTA(#REF!)-1,1)</definedName>
    <definedName name="Coincidence_Factor" localSheetId="7">[5]CALCULATIONS!#REF!</definedName>
    <definedName name="Coincidence_Factor" localSheetId="0">[5]CALCULATIONS!#REF!</definedName>
    <definedName name="Coincidence_Factor" localSheetId="6">[5]CALCULATIONS!#REF!</definedName>
    <definedName name="Coincidence_Factor">[5]CALCULATIONS!#REF!</definedName>
    <definedName name="CROD_S" localSheetId="7">'[6]Brewster Purchases'!#REF!</definedName>
    <definedName name="CROD_S" localSheetId="0">'[6]Brewster Purchases'!#REF!</definedName>
    <definedName name="CROD_S" localSheetId="6">'[6]Brewster Purchases'!#REF!</definedName>
    <definedName name="CROD_S">'[6]Brewster Purchases'!#REF!</definedName>
    <definedName name="Current_Year">'[7]Electric Fund Historical'!$D$1</definedName>
    <definedName name="CUSTAR" localSheetId="7">#REF!</definedName>
    <definedName name="CUSTAR" localSheetId="0">#REF!</definedName>
    <definedName name="CUSTAR" localSheetId="6">#REF!</definedName>
    <definedName name="CUSTAR">#REF!</definedName>
    <definedName name="CUYAHOGA_FALLS" localSheetId="7">#REF!</definedName>
    <definedName name="CUYAHOGA_FALLS" localSheetId="6">#REF!</definedName>
    <definedName name="CUYAHOGA_FALLS">#REF!</definedName>
    <definedName name="_xlnm.Database" localSheetId="7">OFFSET(#REF!,0,0,COUNTA(#REF!),11)</definedName>
    <definedName name="_xlnm.Database" localSheetId="6">OFFSET(#REF!,0,0,COUNTA(#REF!),11)</definedName>
    <definedName name="_xlnm.Database">OFFSET(#REF!,0,0,COUNTA(#REF!),11)</definedName>
    <definedName name="DEC00" localSheetId="7" hidden="1">{#N/A,#N/A,FALSE,"ARREC"}</definedName>
    <definedName name="DEC00" localSheetId="0" hidden="1">{#N/A,#N/A,FALSE,"ARREC"}</definedName>
    <definedName name="DEC00" localSheetId="6" hidden="1">{#N/A,#N/A,FALSE,"ARREC"}</definedName>
    <definedName name="DEC00" hidden="1">{#N/A,#N/A,FALSE,"ARREC"}</definedName>
    <definedName name="EDGERTON" localSheetId="7">#REF!</definedName>
    <definedName name="EDGERTON" localSheetId="0">#REF!</definedName>
    <definedName name="EDGERTON" localSheetId="6">#REF!</definedName>
    <definedName name="EDGERTON">#REF!</definedName>
    <definedName name="Ellwood_City" localSheetId="7">#REF!</definedName>
    <definedName name="Ellwood_City" localSheetId="6">#REF!</definedName>
    <definedName name="Ellwood_City">#REF!</definedName>
    <definedName name="ELMORE" localSheetId="7">#REF!</definedName>
    <definedName name="ELMORE" localSheetId="6">#REF!</definedName>
    <definedName name="ELMORE">#REF!</definedName>
    <definedName name="FEB00" localSheetId="7" hidden="1">{#N/A,#N/A,FALSE,"ARREC"}</definedName>
    <definedName name="FEB00" localSheetId="0" hidden="1">{#N/A,#N/A,FALSE,"ARREC"}</definedName>
    <definedName name="FEB00" localSheetId="6" hidden="1">{#N/A,#N/A,FALSE,"ARREC"}</definedName>
    <definedName name="FEB00" hidden="1">{#N/A,#N/A,FALSE,"ARREC"}</definedName>
    <definedName name="Fibro_Q1">[8]!Table_Query_from__PSO_1[[#Headers],[est_stamp]]</definedName>
    <definedName name="Fibro_Q2">[8]!Table_Query_from_MRBILL[[#Headers],[rate_id]]</definedName>
    <definedName name="Fibro_Q3">[8]!Table_Query_from__PSO[[#Headers],[city_id]]</definedName>
    <definedName name="GALION" localSheetId="7">#REF!</definedName>
    <definedName name="GALION" localSheetId="0">#REF!</definedName>
    <definedName name="GALION" localSheetId="6">#REF!</definedName>
    <definedName name="GALION">#REF!</definedName>
    <definedName name="GENOA" localSheetId="7">#REF!</definedName>
    <definedName name="GENOA" localSheetId="6">#REF!</definedName>
    <definedName name="GENOA">#REF!</definedName>
    <definedName name="GENOA_NORTH" localSheetId="7">#REF!</definedName>
    <definedName name="GENOA_NORTH" localSheetId="6">#REF!</definedName>
    <definedName name="GENOA_NORTH">#REF!</definedName>
    <definedName name="GENOA_SOUTH" localSheetId="7">#REF!</definedName>
    <definedName name="GENOA_SOUTH" localSheetId="6">#REF!</definedName>
    <definedName name="GENOA_SOUTH">#REF!</definedName>
    <definedName name="GRAFTON" localSheetId="7">#REF!</definedName>
    <definedName name="GRAFTON" localSheetId="6">#REF!</definedName>
    <definedName name="GRAFTON">#REF!</definedName>
    <definedName name="Grove_City" localSheetId="7">#REF!</definedName>
    <definedName name="Grove_City" localSheetId="6">#REF!</definedName>
    <definedName name="Grove_City">#REF!</definedName>
    <definedName name="HASKINS" localSheetId="7">#REF!</definedName>
    <definedName name="HASKINS" localSheetId="6">#REF!</definedName>
    <definedName name="HASKINS">#REF!</definedName>
    <definedName name="hourending" localSheetId="7">#REF!</definedName>
    <definedName name="hourending" localSheetId="6">#REF!</definedName>
    <definedName name="hourending">#REF!</definedName>
    <definedName name="Hours">[5]CALCULATIONS!$C$11</definedName>
    <definedName name="HUBBARD" localSheetId="7">#REF!</definedName>
    <definedName name="HUBBARD" localSheetId="0">#REF!</definedName>
    <definedName name="HUBBARD" localSheetId="8">#REF!</definedName>
    <definedName name="HUBBARD" localSheetId="6">#REF!</definedName>
    <definedName name="HUBBARD">#REF!</definedName>
    <definedName name="LHMonth" localSheetId="7">#REF!</definedName>
    <definedName name="LHMonth" localSheetId="6">#REF!</definedName>
    <definedName name="LHMonth">#REF!</definedName>
    <definedName name="LHYear" localSheetId="7">#REF!</definedName>
    <definedName name="LHYear" localSheetId="6">#REF!</definedName>
    <definedName name="LHYear">#REF!</definedName>
    <definedName name="Load_Factor" localSheetId="7">[5]CALCULATIONS!#REF!</definedName>
    <definedName name="Load_Factor" localSheetId="6">[5]CALCULATIONS!#REF!</definedName>
    <definedName name="Load_Factor">[5]CALCULATIONS!#REF!</definedName>
    <definedName name="LODI" localSheetId="7">#REF!</definedName>
    <definedName name="LODI" localSheetId="0">#REF!</definedName>
    <definedName name="LODI" localSheetId="8">#REF!</definedName>
    <definedName name="LODI" localSheetId="6">#REF!</definedName>
    <definedName name="LODI">#REF!</definedName>
    <definedName name="Loss_KW">[5]CALCULATIONS!$C$40</definedName>
    <definedName name="Loss_kWh">[5]CALCULATIONS!$E$40</definedName>
    <definedName name="Loss_Rate">[5]CALCULATIONS!$B$40</definedName>
    <definedName name="LUCAS" localSheetId="7">#REF!</definedName>
    <definedName name="LUCAS" localSheetId="0">#REF!</definedName>
    <definedName name="LUCAS" localSheetId="8">#REF!</definedName>
    <definedName name="LUCAS" localSheetId="6">#REF!</definedName>
    <definedName name="LUCAS">#REF!</definedName>
    <definedName name="MAY" localSheetId="7" hidden="1">{#N/A,#N/A,FALSE,"EMPPAY"}</definedName>
    <definedName name="MAY" localSheetId="0" hidden="1">{#N/A,#N/A,FALSE,"EMPPAY"}</definedName>
    <definedName name="MAY" localSheetId="6" hidden="1">{#N/A,#N/A,FALSE,"EMPPAY"}</definedName>
    <definedName name="MAY" hidden="1">{#N/A,#N/A,FALSE,"EMPPAY"}</definedName>
    <definedName name="MILAN" localSheetId="7">#REF!</definedName>
    <definedName name="MILAN" localSheetId="0">#REF!</definedName>
    <definedName name="MILAN" localSheetId="6">#REF!</definedName>
    <definedName name="MILAN">#REF!</definedName>
    <definedName name="MONROEVILLE" localSheetId="7">#REF!</definedName>
    <definedName name="MONROEVILLE" localSheetId="6">#REF!</definedName>
    <definedName name="MONROEVILLE">#REF!</definedName>
    <definedName name="Monthly_Peak">[5]CALCULATIONS!$C$29</definedName>
    <definedName name="MRES_Demand">[5]CALCULATIONS!$C$38</definedName>
    <definedName name="MRES_Energy">[5]CALCULATIONS!$E$38</definedName>
    <definedName name="MRES_KW_with_Loss">[5]CALCULATIONS!$C$41</definedName>
    <definedName name="MRES_kWh_with_Loss">[5]CALCULATIONS!$E$41</definedName>
    <definedName name="Multiplier">[5]Reads!$F$1</definedName>
    <definedName name="NAPOLEON" localSheetId="7">#REF!</definedName>
    <definedName name="NAPOLEON" localSheetId="0">#REF!</definedName>
    <definedName name="NAPOLEON" localSheetId="6">#REF!</definedName>
    <definedName name="NAPOLEON">#REF!</definedName>
    <definedName name="NEASG" localSheetId="7">#REF!</definedName>
    <definedName name="NEASG" localSheetId="8">#REF!</definedName>
    <definedName name="NEASG" localSheetId="6">#REF!</definedName>
    <definedName name="NEASG">#REF!</definedName>
    <definedName name="New_Wilmington" localSheetId="7">#REF!</definedName>
    <definedName name="New_Wilmington" localSheetId="8">#REF!</definedName>
    <definedName name="New_Wilmington" localSheetId="6">#REF!</definedName>
    <definedName name="New_Wilmington">#REF!</definedName>
    <definedName name="NEWTON_FALLS" localSheetId="7">#REF!</definedName>
    <definedName name="NEWTON_FALLS" localSheetId="6">#REF!</definedName>
    <definedName name="NEWTON_FALLS">#REF!</definedName>
    <definedName name="NILES" localSheetId="7">#REF!</definedName>
    <definedName name="NILES" localSheetId="6">#REF!</definedName>
    <definedName name="NILES">#REF!</definedName>
    <definedName name="NWASG" localSheetId="7">#REF!</definedName>
    <definedName name="NWASG" localSheetId="6">#REF!</definedName>
    <definedName name="NWASG">#REF!</definedName>
    <definedName name="OAK_HARBOR" localSheetId="7">#REF!</definedName>
    <definedName name="OAK_HARBOR" localSheetId="6">#REF!</definedName>
    <definedName name="OAK_HARBOR">#REF!</definedName>
    <definedName name="OBERLIN" localSheetId="7">#REF!</definedName>
    <definedName name="OBERLIN" localSheetId="6">#REF!</definedName>
    <definedName name="OBERLIN">#REF!</definedName>
    <definedName name="PEAK" localSheetId="7">[5]TRANSMISSION!#REF!</definedName>
    <definedName name="PEAK" localSheetId="6">[5]TRANSMISSION!#REF!</definedName>
    <definedName name="PEAK">[5]TRANSMISSION!#REF!</definedName>
    <definedName name="PEMBERVILLE" localSheetId="7">#REF!</definedName>
    <definedName name="PEMBERVILLE" localSheetId="0">#REF!</definedName>
    <definedName name="PEMBERVILLE" localSheetId="8">#REF!</definedName>
    <definedName name="PEMBERVILLE" localSheetId="6">#REF!</definedName>
    <definedName name="PEMBERVILLE">#REF!</definedName>
    <definedName name="PIONEER" localSheetId="7">#REF!</definedName>
    <definedName name="PIONEER" localSheetId="8">#REF!</definedName>
    <definedName name="PIONEER" localSheetId="6">#REF!</definedName>
    <definedName name="PIONEER">#REF!</definedName>
    <definedName name="Previous_Meter_Reading">[5]CALCULATIONS!$C$16</definedName>
    <definedName name="_xlnm.Print_Area" localSheetId="2">'Income Statement Sched 3'!$A$1:$C$31</definedName>
    <definedName name="_xlnm.Print_Area" localSheetId="0">'Nonlevelized-EIA 412'!$A$1:$K$312</definedName>
    <definedName name="_xlnm.Print_Area" localSheetId="8">#REF!</definedName>
    <definedName name="_xlnm.Print_Area" localSheetId="6">#REF!</definedName>
    <definedName name="_xlnm.Print_Area">#REF!</definedName>
    <definedName name="Print_Area_MI" localSheetId="7">#REF!</definedName>
    <definedName name="Print_Area_MI" localSheetId="0">#REF!</definedName>
    <definedName name="Print_Area_MI" localSheetId="6">#REF!</definedName>
    <definedName name="Print_Area_MI">#REF!</definedName>
    <definedName name="Print_Titles_MI" localSheetId="7">#REF!</definedName>
    <definedName name="Print_Titles_MI" localSheetId="0">#REF!</definedName>
    <definedName name="Print_Titles_MI" localSheetId="6">#REF!</definedName>
    <definedName name="Print_Titles_MI">#REF!</definedName>
    <definedName name="PROSPECT" localSheetId="7">#REF!</definedName>
    <definedName name="PROSPECT" localSheetId="0">#REF!</definedName>
    <definedName name="PROSPECT" localSheetId="6">#REF!</definedName>
    <definedName name="PROSPECT">#REF!</definedName>
    <definedName name="queryp1" localSheetId="7">[2]DANDE!#REF!</definedName>
    <definedName name="queryp1" localSheetId="0">[2]DANDE!#REF!</definedName>
    <definedName name="queryp1" localSheetId="8">[3]DANDE!#REF!</definedName>
    <definedName name="queryp1" localSheetId="6">[2]DANDE!#REF!</definedName>
    <definedName name="queryp1">[2]DANDE!#REF!</definedName>
    <definedName name="Reading_Date">[5]CALCULATIONS!$C$8</definedName>
    <definedName name="revreq" localSheetId="7">#REF!</definedName>
    <definedName name="revreq" localSheetId="0">#REF!</definedName>
    <definedName name="revreq" localSheetId="6">#REF!</definedName>
    <definedName name="revreq">#REF!</definedName>
    <definedName name="Service_Metered">[5]CALCULATIONS!$C$19</definedName>
    <definedName name="SEVILLE" localSheetId="7">#REF!</definedName>
    <definedName name="SEVILLE" localSheetId="0">#REF!</definedName>
    <definedName name="SEVILLE" localSheetId="6">#REF!</definedName>
    <definedName name="SEVILLE">#REF!</definedName>
    <definedName name="SOUTH_VIENNA" localSheetId="7">#REF!</definedName>
    <definedName name="SOUTH_VIENNA" localSheetId="6">#REF!</definedName>
    <definedName name="SOUTH_VIENNA">#REF!</definedName>
    <definedName name="TEST" localSheetId="7" hidden="1">{#N/A,#N/A,FALSE,"EMPPAY"}</definedName>
    <definedName name="TEST" localSheetId="0" hidden="1">{#N/A,#N/A,FALSE,"EMPPAY"}</definedName>
    <definedName name="TEST" localSheetId="6" hidden="1">{#N/A,#N/A,FALSE,"EMPPAY"}</definedName>
    <definedName name="TEST" hidden="1">{#N/A,#N/A,FALSE,"EMPPAY"}</definedName>
    <definedName name="TOTAL_COLUMBIANA" localSheetId="7">#REF!</definedName>
    <definedName name="TOTAL_COLUMBIANA" localSheetId="0">#REF!</definedName>
    <definedName name="TOTAL_COLUMBIANA" localSheetId="6">#REF!</definedName>
    <definedName name="TOTAL_COLUMBIANA">#REF!</definedName>
    <definedName name="Total_Grove_City" localSheetId="7">#REF!</definedName>
    <definedName name="Total_Grove_City" localSheetId="6">#REF!</definedName>
    <definedName name="Total_Grove_City">#REF!</definedName>
    <definedName name="TOTAL_HUDSON" localSheetId="7">#REF!</definedName>
    <definedName name="TOTAL_HUDSON" localSheetId="6">#REF!</definedName>
    <definedName name="TOTAL_HUDSON">#REF!</definedName>
    <definedName name="Total_kWh">[5]CALCULATIONS!$C$21</definedName>
    <definedName name="TOTAL_MONTPELIER" localSheetId="7">#REF!</definedName>
    <definedName name="TOTAL_MONTPELIER" localSheetId="0">#REF!</definedName>
    <definedName name="TOTAL_MONTPELIER" localSheetId="8">#REF!</definedName>
    <definedName name="TOTAL_MONTPELIER" localSheetId="6">#REF!</definedName>
    <definedName name="TOTAL_MONTPELIER">#REF!</definedName>
    <definedName name="TOTAL_WOODVILLE" localSheetId="7">#REF!</definedName>
    <definedName name="TOTAL_WOODVILLE" localSheetId="8">#REF!</definedName>
    <definedName name="TOTAL_WOODVILLE" localSheetId="6">#REF!</definedName>
    <definedName name="TOTAL_WOODVILLE">#REF!</definedName>
    <definedName name="TOTALS" localSheetId="7">#REF!</definedName>
    <definedName name="TOTALS" localSheetId="6">#REF!</definedName>
    <definedName name="TOTALS">#REF!</definedName>
    <definedName name="TRANSMISSION_PEAK">[5]TRANSMISSION!$C$15</definedName>
    <definedName name="username" localSheetId="7">[2]DANDE!#REF!</definedName>
    <definedName name="username" localSheetId="0">[2]DANDE!#REF!</definedName>
    <definedName name="username" localSheetId="8">[3]DANDE!#REF!</definedName>
    <definedName name="username" localSheetId="6">[2]DANDE!#REF!</definedName>
    <definedName name="username">[2]DANDE!#REF!</definedName>
    <definedName name="WADSWORTH" localSheetId="7">#REF!</definedName>
    <definedName name="WADSWORTH" localSheetId="0">#REF!</definedName>
    <definedName name="WADSWORTH" localSheetId="6">#REF!</definedName>
    <definedName name="WADSWORTH">#REF!</definedName>
    <definedName name="WAPA_CROD" localSheetId="7">[5]CALCULATIONS!#REF!</definedName>
    <definedName name="WAPA_CROD" localSheetId="0">[5]CALCULATIONS!#REF!</definedName>
    <definedName name="WAPA_CROD" localSheetId="6">[5]CALCULATIONS!#REF!</definedName>
    <definedName name="WAPA_CROD">[5]CALCULATIONS!#REF!</definedName>
    <definedName name="WAPA_Demand">[5]CALCULATIONS!$C$33</definedName>
    <definedName name="WAPA_Energy">[5]CALCULATIONS!$C$32</definedName>
    <definedName name="WESTERN_DEMAND" localSheetId="7">[5]CALCULATIONS!#REF!</definedName>
    <definedName name="WESTERN_DEMAND" localSheetId="0">[5]CALCULATIONS!#REF!</definedName>
    <definedName name="WESTERN_DEMAND" localSheetId="6">[5]CALCULATIONS!#REF!</definedName>
    <definedName name="WESTERN_DEMAND">[5]CALCULATIONS!#REF!</definedName>
    <definedName name="WESTERN_ENERGY" localSheetId="7">[5]CALCULATIONS!#REF!</definedName>
    <definedName name="WESTERN_ENERGY" localSheetId="0">[5]CALCULATIONS!#REF!</definedName>
    <definedName name="WESTERN_ENERGY" localSheetId="6">[5]CALCULATIONS!#REF!</definedName>
    <definedName name="WESTERN_ENERGY">[5]CALCULATIONS!#REF!</definedName>
    <definedName name="wrn.ARREC." localSheetId="7" hidden="1">{#N/A,#N/A,FALSE,"ARREC"}</definedName>
    <definedName name="wrn.ARREC." localSheetId="0" hidden="1">{#N/A,#N/A,FALSE,"ARREC"}</definedName>
    <definedName name="wrn.ARREC." localSheetId="6" hidden="1">{#N/A,#N/A,FALSE,"ARREC"}</definedName>
    <definedName name="wrn.ARREC." hidden="1">{#N/A,#N/A,FALSE,"ARREC"}</definedName>
    <definedName name="wrn.EMPPAY." localSheetId="7" hidden="1">{#N/A,#N/A,FALSE,"EMPPAY"}</definedName>
    <definedName name="wrn.EMPPAY." localSheetId="0" hidden="1">{#N/A,#N/A,FALSE,"EMPPAY"}</definedName>
    <definedName name="wrn.EMPPAY." localSheetId="6" hidden="1">{#N/A,#N/A,FALSE,"EMPPAY"}</definedName>
    <definedName name="wrn.EMPPAY." hidden="1">{#N/A,#N/A,FALSE,"EMPPAY"}</definedName>
    <definedName name="xx" localSheetId="0" hidden="1">{#N/A,#N/A,FALSE,"EMPPAY"}</definedName>
    <definedName name="xx" hidden="1">{#N/A,#N/A,FALSE,"EMPPAY"}</definedName>
    <definedName name="Year" localSheetId="7">OFFSET(#REF!,0,0,COUNTA(#REF!),1)</definedName>
    <definedName name="Year" localSheetId="6">OFFSET(#REF!,0,0,COUNTA(#REF!),1)</definedName>
    <definedName name="Year">OFFSET(#REF!,0,0,COUNTA(#REF!),1)</definedName>
  </definedNames>
  <calcPr calcId="145621"/>
</workbook>
</file>

<file path=xl/calcChain.xml><?xml version="1.0" encoding="utf-8"?>
<calcChain xmlns="http://schemas.openxmlformats.org/spreadsheetml/2006/main">
  <c r="D15" i="39" l="1"/>
  <c r="I15" i="39"/>
  <c r="D7" i="34" l="1"/>
  <c r="D21" i="38"/>
  <c r="D23" i="38"/>
  <c r="D29" i="32"/>
  <c r="D108" i="38"/>
  <c r="D92" i="38"/>
  <c r="D100" i="38"/>
  <c r="C11" i="29"/>
  <c r="I265" i="39" l="1"/>
  <c r="I264" i="39"/>
  <c r="D32" i="34"/>
  <c r="H44" i="40"/>
  <c r="H41" i="40"/>
  <c r="H40" i="40"/>
  <c r="H37" i="40"/>
  <c r="H29" i="40"/>
  <c r="H28" i="40"/>
  <c r="D9" i="40"/>
  <c r="D10" i="40"/>
  <c r="D11" i="40"/>
  <c r="D12" i="40"/>
  <c r="D13" i="40"/>
  <c r="D14" i="40"/>
  <c r="D15" i="40"/>
  <c r="D16" i="40"/>
  <c r="D17" i="40"/>
  <c r="D18" i="40"/>
  <c r="D19" i="40"/>
  <c r="D8" i="40"/>
  <c r="C21" i="40"/>
  <c r="B21" i="40"/>
  <c r="A2" i="40"/>
  <c r="A1" i="40"/>
  <c r="F46" i="38"/>
  <c r="C31" i="32"/>
  <c r="F19" i="29"/>
  <c r="D21" i="40" l="1"/>
  <c r="E11" i="37" l="1"/>
  <c r="D29" i="34" l="1"/>
  <c r="F38" i="28" l="1"/>
  <c r="C33" i="28"/>
  <c r="D109" i="38" l="1"/>
  <c r="D103" i="38"/>
  <c r="D67" i="38"/>
  <c r="D76" i="38"/>
  <c r="D25" i="38"/>
  <c r="D10" i="38"/>
  <c r="D13" i="38"/>
  <c r="D11" i="38"/>
  <c r="D174" i="39" l="1"/>
  <c r="D168" i="39"/>
  <c r="D152" i="39" s="1"/>
  <c r="D162" i="39"/>
  <c r="D161" i="39"/>
  <c r="D154" i="39"/>
  <c r="D151" i="39"/>
  <c r="D119" i="39"/>
  <c r="D94" i="39"/>
  <c r="D93" i="39"/>
  <c r="D92" i="39"/>
  <c r="M47" i="37" l="1"/>
  <c r="M50" i="37"/>
  <c r="M49" i="37"/>
  <c r="D245" i="39" l="1"/>
  <c r="F27" i="30" l="1"/>
  <c r="F24" i="30"/>
  <c r="F23" i="30"/>
  <c r="F22" i="30"/>
  <c r="F19" i="30"/>
  <c r="D86" i="39" s="1"/>
  <c r="F18" i="30"/>
  <c r="D85" i="39" s="1"/>
  <c r="F17" i="30"/>
  <c r="D84" i="39" s="1"/>
  <c r="F14" i="30"/>
  <c r="F13" i="30"/>
  <c r="F12" i="30"/>
  <c r="F11" i="30"/>
  <c r="F9" i="30"/>
  <c r="I261" i="39" l="1"/>
  <c r="F37" i="38"/>
  <c r="D175" i="39" l="1"/>
  <c r="D164" i="39"/>
  <c r="D276" i="39"/>
  <c r="D275" i="39"/>
  <c r="K274" i="39"/>
  <c r="C274" i="39"/>
  <c r="B274" i="39"/>
  <c r="I268" i="39"/>
  <c r="I259" i="39"/>
  <c r="G249" i="39"/>
  <c r="D211" i="39"/>
  <c r="D209" i="39"/>
  <c r="K208" i="39"/>
  <c r="D208" i="39"/>
  <c r="B208" i="39"/>
  <c r="D178" i="39"/>
  <c r="D182" i="39" s="1"/>
  <c r="D186" i="39" s="1"/>
  <c r="F173" i="39"/>
  <c r="F169" i="39"/>
  <c r="I157" i="39"/>
  <c r="F155" i="39"/>
  <c r="F153" i="39"/>
  <c r="F154" i="39" s="1"/>
  <c r="I150" i="39"/>
  <c r="D144" i="39"/>
  <c r="D142" i="39"/>
  <c r="K141" i="39"/>
  <c r="D141" i="39"/>
  <c r="B141" i="39"/>
  <c r="D112" i="39"/>
  <c r="F110" i="39"/>
  <c r="D103" i="39"/>
  <c r="F95" i="39"/>
  <c r="F94" i="39"/>
  <c r="G93" i="39"/>
  <c r="F93" i="39"/>
  <c r="F92" i="39"/>
  <c r="F114" i="39" s="1"/>
  <c r="G91" i="39"/>
  <c r="F91" i="39"/>
  <c r="D78" i="39"/>
  <c r="D76" i="39"/>
  <c r="K75" i="39"/>
  <c r="D75" i="39"/>
  <c r="B75" i="39"/>
  <c r="I46" i="39"/>
  <c r="I45" i="39"/>
  <c r="I34" i="39"/>
  <c r="D36" i="39" s="1"/>
  <c r="F15" i="39"/>
  <c r="D14" i="39"/>
  <c r="D41" i="39" l="1"/>
  <c r="I40" i="39"/>
  <c r="D42" i="39"/>
  <c r="D37" i="39"/>
  <c r="I42" i="39"/>
  <c r="D40" i="39"/>
  <c r="I41" i="39"/>
  <c r="D127" i="38" l="1"/>
  <c r="D50" i="38" l="1"/>
  <c r="D46" i="38" l="1"/>
  <c r="D132" i="38"/>
  <c r="D114" i="38"/>
  <c r="D110" i="38"/>
  <c r="D94" i="38"/>
  <c r="D83" i="38"/>
  <c r="D72" i="38"/>
  <c r="D56" i="38"/>
  <c r="D37" i="38"/>
  <c r="D28" i="38"/>
  <c r="D17" i="38"/>
  <c r="E48" i="37"/>
  <c r="D48" i="37"/>
  <c r="G46" i="37"/>
  <c r="G45" i="37"/>
  <c r="G42" i="37"/>
  <c r="G41" i="37"/>
  <c r="G40" i="37"/>
  <c r="G39" i="37"/>
  <c r="G38" i="37"/>
  <c r="G37" i="37"/>
  <c r="G34" i="37"/>
  <c r="G33" i="37"/>
  <c r="G32" i="37"/>
  <c r="G31" i="37"/>
  <c r="G30" i="37"/>
  <c r="G29" i="37"/>
  <c r="G28" i="37"/>
  <c r="G27" i="37"/>
  <c r="G24" i="37"/>
  <c r="G23" i="37"/>
  <c r="G22" i="37"/>
  <c r="G21" i="37"/>
  <c r="G20" i="37"/>
  <c r="G19" i="37"/>
  <c r="G16" i="37"/>
  <c r="G15" i="37"/>
  <c r="G14" i="37"/>
  <c r="H16" i="37" s="1"/>
  <c r="D233" i="39" s="1"/>
  <c r="G11" i="37"/>
  <c r="G10" i="37"/>
  <c r="H46" i="37" l="1"/>
  <c r="D235" i="39" s="1"/>
  <c r="G235" i="39" s="1"/>
  <c r="H34" i="37"/>
  <c r="H24" i="37"/>
  <c r="D116" i="38"/>
  <c r="D30" i="38"/>
  <c r="G48" i="37"/>
  <c r="H11" i="37"/>
  <c r="D232" i="39" s="1"/>
  <c r="G232" i="39" s="1"/>
  <c r="D234" i="39" l="1"/>
  <c r="G234" i="39" s="1"/>
  <c r="H48" i="37"/>
  <c r="D118" i="38"/>
  <c r="D136" i="38" s="1"/>
  <c r="D236" i="39" l="1"/>
  <c r="D15" i="34"/>
  <c r="D27" i="34"/>
  <c r="F25" i="32" l="1"/>
  <c r="D19" i="32"/>
  <c r="D101" i="39"/>
  <c r="H15" i="30"/>
  <c r="J15" i="30"/>
  <c r="J20" i="30" s="1"/>
  <c r="J25" i="30" s="1"/>
  <c r="J28" i="30" s="1"/>
  <c r="C16" i="28"/>
  <c r="C22" i="28" s="1"/>
  <c r="F29" i="32"/>
  <c r="F28" i="32"/>
  <c r="F27" i="32"/>
  <c r="F23" i="32"/>
  <c r="F21" i="32"/>
  <c r="E19" i="32"/>
  <c r="E31" i="32" s="1"/>
  <c r="C19" i="32"/>
  <c r="F18" i="32"/>
  <c r="F16" i="32"/>
  <c r="F13" i="32"/>
  <c r="F11" i="32"/>
  <c r="F10" i="32"/>
  <c r="D102" i="39"/>
  <c r="E15" i="30"/>
  <c r="D15" i="30"/>
  <c r="C15" i="30"/>
  <c r="C27" i="29"/>
  <c r="A1" i="29"/>
  <c r="F54" i="28"/>
  <c r="C54" i="28"/>
  <c r="C57" i="28" s="1"/>
  <c r="C46" i="28"/>
  <c r="F45" i="28"/>
  <c r="F57" i="28" s="1"/>
  <c r="F33" i="28"/>
  <c r="C30" i="28"/>
  <c r="F28" i="28"/>
  <c r="D248" i="39" s="1"/>
  <c r="G248" i="39" s="1"/>
  <c r="F16" i="28"/>
  <c r="D149" i="39" l="1"/>
  <c r="I223" i="39" s="1"/>
  <c r="I225" i="39" s="1"/>
  <c r="I227" i="39" s="1"/>
  <c r="D158" i="39"/>
  <c r="D117" i="39" s="1"/>
  <c r="D120" i="39" s="1"/>
  <c r="D91" i="39"/>
  <c r="D96" i="39" s="1"/>
  <c r="C20" i="30"/>
  <c r="F15" i="30"/>
  <c r="D83" i="39" s="1"/>
  <c r="D99" i="39" s="1"/>
  <c r="D249" i="39"/>
  <c r="D250" i="39" s="1"/>
  <c r="D100" i="39"/>
  <c r="I215" i="39"/>
  <c r="I218" i="39" s="1"/>
  <c r="I220" i="39" s="1"/>
  <c r="A1" i="30"/>
  <c r="H20" i="30"/>
  <c r="H25" i="30" s="1"/>
  <c r="H28" i="30" s="1"/>
  <c r="D31" i="32"/>
  <c r="F19" i="32"/>
  <c r="F31" i="32" s="1"/>
  <c r="F15" i="32"/>
  <c r="D20" i="30"/>
  <c r="D25" i="30" s="1"/>
  <c r="D28" i="30" s="1"/>
  <c r="E20" i="30"/>
  <c r="E25" i="30" s="1"/>
  <c r="E28" i="30" s="1"/>
  <c r="A4" i="29"/>
  <c r="A4" i="30"/>
  <c r="A4" i="31" s="1"/>
  <c r="A4" i="32" s="1"/>
  <c r="C10" i="29" l="1"/>
  <c r="F20" i="30"/>
  <c r="C25" i="30"/>
  <c r="F25" i="30" s="1"/>
  <c r="D88" i="39"/>
  <c r="D239" i="39" s="1"/>
  <c r="D242" i="39" s="1"/>
  <c r="G240" i="39" s="1"/>
  <c r="E249" i="39"/>
  <c r="I249" i="39" s="1"/>
  <c r="E248" i="39"/>
  <c r="E250" i="39" s="1"/>
  <c r="D104" i="39"/>
  <c r="D122" i="39" s="1"/>
  <c r="E233" i="39"/>
  <c r="G233" i="39" s="1"/>
  <c r="G236" i="39" s="1"/>
  <c r="I236" i="39" s="1"/>
  <c r="G14" i="39"/>
  <c r="I228" i="39"/>
  <c r="I229" i="39" s="1"/>
  <c r="G84" i="39"/>
  <c r="C15" i="29" l="1"/>
  <c r="C16" i="29" s="1"/>
  <c r="C18" i="29" s="1"/>
  <c r="C23" i="29" s="1"/>
  <c r="C28" i="29" s="1"/>
  <c r="C31" i="29" s="1"/>
  <c r="C28" i="30"/>
  <c r="F28" i="30" s="1"/>
  <c r="I248" i="39"/>
  <c r="I250" i="39" s="1"/>
  <c r="D189" i="39" s="1"/>
  <c r="G92" i="39"/>
  <c r="I84" i="39"/>
  <c r="G149" i="39"/>
  <c r="G118" i="39"/>
  <c r="I118" i="39" s="1"/>
  <c r="G153" i="39"/>
  <c r="I153" i="39" s="1"/>
  <c r="G86" i="39"/>
  <c r="I240" i="39"/>
  <c r="K240" i="39" s="1"/>
  <c r="G152" i="39"/>
  <c r="G154" i="39"/>
  <c r="I154" i="39" s="1"/>
  <c r="I14" i="39"/>
  <c r="G17" i="39"/>
  <c r="I17" i="39" s="1"/>
  <c r="G15" i="39"/>
  <c r="G16" i="39"/>
  <c r="I16" i="39" s="1"/>
  <c r="I18" i="39" l="1"/>
  <c r="I253" i="39"/>
  <c r="D179" i="39"/>
  <c r="D185" i="39" s="1"/>
  <c r="D187" i="39" s="1"/>
  <c r="D192" i="39" s="1"/>
  <c r="D201" i="39" s="1"/>
  <c r="G156" i="39"/>
  <c r="G87" i="39"/>
  <c r="G151" i="39"/>
  <c r="I151" i="39" s="1"/>
  <c r="G155" i="39"/>
  <c r="I155" i="39" s="1"/>
  <c r="I149" i="39"/>
  <c r="G162" i="39"/>
  <c r="I152" i="39"/>
  <c r="G94" i="39"/>
  <c r="I94" i="39" s="1"/>
  <c r="I86" i="39"/>
  <c r="I92" i="39"/>
  <c r="I100" i="39" s="1"/>
  <c r="G114" i="39"/>
  <c r="I102" i="39" l="1"/>
  <c r="I114" i="39"/>
  <c r="G161" i="39"/>
  <c r="I161" i="39" s="1"/>
  <c r="I162" i="39"/>
  <c r="G168" i="39"/>
  <c r="G95" i="39"/>
  <c r="I95" i="39" s="1"/>
  <c r="I87" i="39"/>
  <c r="G163" i="39"/>
  <c r="I163" i="39" s="1"/>
  <c r="I156" i="39"/>
  <c r="I96" i="39" l="1"/>
  <c r="I158" i="39"/>
  <c r="I103" i="39"/>
  <c r="I104" i="39" s="1"/>
  <c r="G104" i="39" s="1"/>
  <c r="I88" i="39"/>
  <c r="G88" i="39" s="1"/>
  <c r="I164" i="39"/>
  <c r="I168" i="39"/>
  <c r="G169" i="39"/>
  <c r="I169" i="39" s="1"/>
  <c r="I117" i="39" l="1"/>
  <c r="G108" i="39"/>
  <c r="G186" i="39"/>
  <c r="I186" i="39" s="1"/>
  <c r="G171" i="39"/>
  <c r="G119" i="39"/>
  <c r="I119" i="39" s="1"/>
  <c r="I120" i="39" l="1"/>
  <c r="G173" i="39"/>
  <c r="I171" i="39"/>
  <c r="G109" i="39"/>
  <c r="I108" i="39"/>
  <c r="G174" i="39" l="1"/>
  <c r="I174" i="39" s="1"/>
  <c r="I173" i="39"/>
  <c r="I109" i="39"/>
  <c r="G110" i="39"/>
  <c r="I110" i="39" s="1"/>
  <c r="G111" i="39"/>
  <c r="I111" i="39" s="1"/>
  <c r="I175" i="39" l="1"/>
  <c r="I112" i="39"/>
  <c r="I122" i="39" s="1"/>
  <c r="I189" i="39" s="1"/>
  <c r="I185" i="39" l="1"/>
  <c r="I187" i="39" s="1"/>
  <c r="I201" i="39" l="1"/>
  <c r="I11" i="39" s="1"/>
  <c r="I24" i="39" s="1"/>
  <c r="I192" i="39"/>
</calcChain>
</file>

<file path=xl/comments1.xml><?xml version="1.0" encoding="utf-8"?>
<comments xmlns="http://schemas.openxmlformats.org/spreadsheetml/2006/main">
  <authors>
    <author>karen</author>
  </authors>
  <commentList>
    <comment ref="D21" authorId="0">
      <text>
        <r>
          <rPr>
            <sz val="9"/>
            <color indexed="81"/>
            <rFont val="Tahoma"/>
            <family val="2"/>
          </rPr>
          <t>Transmission wheeling expense</t>
        </r>
      </text>
    </comment>
  </commentList>
</comments>
</file>

<file path=xl/sharedStrings.xml><?xml version="1.0" encoding="utf-8"?>
<sst xmlns="http://schemas.openxmlformats.org/spreadsheetml/2006/main" count="954" uniqueCount="735">
  <si>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</si>
  <si>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</si>
  <si>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</si>
  <si>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</si>
  <si>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</si>
  <si>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</si>
  <si>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</si>
  <si>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</si>
  <si>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</si>
  <si>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</si>
  <si>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</si>
  <si>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</si>
  <si>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</si>
  <si>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</si>
  <si>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</si>
  <si>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</si>
  <si>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</si>
  <si>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</si>
  <si>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</si>
  <si>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</si>
  <si>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</si>
  <si>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</si>
  <si>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</si>
  <si>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</si>
  <si>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</si>
  <si>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</si>
  <si>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</si>
  <si>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</si>
  <si>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</si>
  <si>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</si>
  <si>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</si>
  <si>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</si>
  <si>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</si>
  <si>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</si>
  <si>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</si>
  <si>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</si>
  <si>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</si>
  <si>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</si>
  <si>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</si>
  <si>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</si>
  <si>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</si>
  <si>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</si>
  <si>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</si>
  <si>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</si>
  <si>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</si>
  <si>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</si>
  <si>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</si>
  <si>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</si>
  <si>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</si>
  <si>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</si>
  <si>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</si>
  <si>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</si>
  <si>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</si>
  <si>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</si>
  <si>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</si>
  <si>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</si>
  <si>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</si>
  <si>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</si>
  <si>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</si>
  <si>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</si>
  <si>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</si>
  <si>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</si>
  <si>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</si>
  <si>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</si>
  <si>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</si>
  <si>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</si>
  <si>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</si>
  <si>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</si>
  <si>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</si>
  <si>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</si>
  <si>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</si>
  <si>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</si>
  <si>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</si>
  <si>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</si>
  <si>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</si>
  <si>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</si>
  <si>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</si>
  <si>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</si>
  <si>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</si>
  <si>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</si>
  <si>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</si>
  <si>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</si>
  <si>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</si>
  <si>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</si>
  <si>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</si>
  <si>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</si>
  <si>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</si>
  <si>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</si>
  <si>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</si>
  <si>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</si>
  <si>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</si>
  <si>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</si>
  <si>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</si>
  <si>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</si>
  <si>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</si>
  <si>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</si>
  <si>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</si>
  <si>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</si>
  <si>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</si>
  <si>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</si>
  <si>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</si>
  <si>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</si>
  <si>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</si>
  <si>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</si>
  <si>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</si>
  <si>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</si>
  <si>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</si>
  <si>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</si>
  <si>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</si>
  <si>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</si>
  <si>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</si>
  <si>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</si>
  <si>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</si>
  <si>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</si>
  <si>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</si>
  <si>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</si>
  <si>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</si>
  <si>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</si>
  <si>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</si>
  <si>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</si>
  <si>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</si>
  <si>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</si>
  <si>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</si>
  <si>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</si>
  <si>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</si>
  <si>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</si>
  <si>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</si>
  <si>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</si>
  <si>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</si>
  <si>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</si>
  <si>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</si>
  <si>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</si>
  <si>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</si>
  <si>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</si>
  <si>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</si>
  <si>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</si>
  <si>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</si>
  <si>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</si>
  <si>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</si>
  <si>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</si>
  <si>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</si>
  <si>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</si>
  <si>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</si>
  <si>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</si>
  <si>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</si>
  <si>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</si>
  <si>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</si>
  <si>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</si>
  <si>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</si>
  <si>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</si>
  <si>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</si>
  <si>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</si>
  <si>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</si>
  <si>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</si>
  <si>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</si>
  <si>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</si>
  <si>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</si>
  <si>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</si>
  <si>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</si>
  <si>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</si>
  <si>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</si>
  <si>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</si>
  <si>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</si>
  <si>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</si>
  <si>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</si>
  <si>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</si>
  <si>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</si>
  <si>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</si>
  <si>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</si>
  <si>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</si>
  <si>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</si>
  <si>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</si>
  <si>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</si>
  <si>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</si>
  <si>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</si>
  <si>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</si>
  <si>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</si>
  <si>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</si>
  <si>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</si>
  <si>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</si>
  <si>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</si>
  <si>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</si>
  <si>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</si>
  <si>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</si>
  <si>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</si>
  <si>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</si>
  <si>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</si>
  <si>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</si>
  <si>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</si>
  <si>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SIT work papers if required</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</si>
  <si>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</si>
  <si>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</si>
  <si>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</si>
  <si>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</si>
  <si>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</si>
  <si>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</si>
  <si>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</si>
  <si>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</si>
  <si>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</si>
  <si>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</si>
  <si>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</si>
  <si>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</si>
  <si>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</si>
  <si>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</si>
  <si>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</si>
  <si>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</si>
  <si>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</si>
  <si>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</si>
  <si>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</si>
  <si>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</si>
  <si>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</si>
  <si>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Network &amp; P-to-P Rate ($/kW/Mo)  (line 11 / 12)</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</si>
  <si>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</si>
  <si>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</si>
  <si>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</si>
  <si>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</si>
  <si>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</si>
  <si>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</si>
  <si>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</si>
  <si>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</si>
  <si>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</si>
  <si>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</si>
  <si>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</si>
  <si>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</si>
  <si>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</si>
  <si>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</si>
  <si>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</si>
  <si>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</si>
  <si>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</si>
  <si>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</si>
  <si>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</si>
  <si>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</si>
  <si>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</si>
  <si>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</si>
  <si>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</si>
  <si>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</si>
  <si>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</si>
  <si>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</si>
  <si>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</si>
  <si>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</si>
  <si>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</si>
  <si>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</si>
  <si>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</si>
  <si>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</si>
  <si>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</si>
  <si>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</si>
  <si>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</si>
  <si>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</si>
  <si>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</si>
  <si>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</si>
  <si>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</si>
  <si>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</si>
  <si>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</si>
  <si>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</si>
  <si>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</si>
  <si>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</si>
  <si>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</si>
  <si>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</si>
  <si>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</si>
  <si>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</si>
  <si>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</si>
  <si>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</si>
  <si>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</si>
  <si>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</si>
  <si>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</si>
  <si>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</si>
  <si>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</si>
  <si>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</si>
  <si>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</si>
  <si>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</si>
  <si>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</si>
  <si>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</si>
  <si>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</si>
  <si>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</si>
  <si>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</si>
  <si>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</si>
  <si>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</si>
  <si>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</si>
  <si>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</si>
  <si>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</si>
  <si>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</si>
  <si>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</si>
  <si>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EIA-412</t>
  </si>
  <si>
    <t>Schedule 2</t>
  </si>
  <si>
    <t>ELECTRIC BALANCE SHEET</t>
  </si>
  <si>
    <t>AMOUNT</t>
  </si>
  <si>
    <t>ASSETS and OTHER DEBITS</t>
  </si>
  <si>
    <t>(Dollars)</t>
  </si>
  <si>
    <t>No</t>
  </si>
  <si>
    <t>LIABILITIES and OTHER CREDITS</t>
  </si>
  <si>
    <t>ELECTRIC PLANT</t>
  </si>
  <si>
    <t>PROPIETARY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</si>
  <si>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</si>
  <si>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</si>
  <si>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</si>
  <si>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</si>
  <si>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</si>
  <si>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</si>
  <si>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</si>
  <si>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</si>
  <si>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</si>
  <si>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</si>
  <si>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</si>
  <si>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</si>
  <si>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</si>
  <si>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</si>
  <si>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</si>
  <si>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</si>
  <si>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</si>
  <si>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</si>
  <si>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</si>
  <si>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</si>
  <si>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</si>
  <si>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</si>
  <si>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</si>
  <si>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</si>
  <si>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</si>
  <si>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</si>
  <si>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</si>
  <si>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</si>
  <si>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</si>
  <si>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</si>
  <si>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</si>
  <si>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</si>
  <si>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</si>
  <si>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</si>
  <si>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</si>
  <si>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</si>
  <si>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</si>
  <si>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</si>
  <si>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</si>
  <si>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</si>
  <si>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</si>
  <si>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</si>
  <si>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</si>
  <si>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</si>
  <si>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</si>
  <si>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</si>
  <si>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</si>
  <si>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</si>
  <si>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</si>
  <si>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</si>
  <si>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</si>
  <si>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</si>
  <si>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</si>
  <si>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</si>
  <si>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</si>
  <si>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</si>
  <si>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</si>
  <si>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</si>
  <si>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</si>
  <si>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</si>
  <si>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</si>
  <si>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</si>
  <si>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</si>
  <si>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</si>
  <si>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</si>
  <si>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</si>
  <si>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</si>
  <si>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</si>
  <si>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</si>
  <si>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</si>
  <si>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</si>
  <si>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</si>
  <si>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</si>
  <si>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</si>
  <si>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</si>
  <si>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</si>
  <si>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</si>
  <si>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LIABILITIES &amp; OTHER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</si>
  <si>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</si>
  <si>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</si>
  <si>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</si>
  <si>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</si>
  <si>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</si>
  <si>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</si>
  <si>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</si>
  <si>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</si>
  <si>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</si>
  <si>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</si>
  <si>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</si>
  <si>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</si>
  <si>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</si>
  <si>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</si>
  <si>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</si>
  <si>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</si>
  <si>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</si>
  <si>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</si>
  <si>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</si>
  <si>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</si>
  <si>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</si>
  <si>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</si>
  <si>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</si>
  <si>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</si>
  <si>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</si>
  <si>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</si>
  <si>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</si>
  <si>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</si>
  <si>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Accumulated</t>
  </si>
  <si>
    <t>Balance</t>
  </si>
  <si>
    <t>Additions</t>
  </si>
  <si>
    <t>Retirements</t>
  </si>
  <si>
    <t>Depreciation</t>
  </si>
  <si>
    <t>Expense</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</si>
  <si>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</si>
  <si>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</si>
  <si>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</si>
  <si>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</si>
  <si>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</si>
  <si>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</si>
  <si>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</si>
  <si>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</si>
  <si>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</si>
  <si>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</si>
  <si>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</si>
  <si>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</si>
  <si>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</si>
  <si>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</si>
  <si>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</si>
  <si>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Schedule 7</t>
  </si>
  <si>
    <t>ELECTRIC OPERATION AND MAINTENANCE EXPENSES (Dollars)</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</si>
  <si>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</si>
  <si>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</si>
  <si>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</si>
  <si>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</si>
  <si>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</si>
  <si>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</si>
  <si>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</si>
  <si>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</si>
  <si>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</si>
  <si>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</si>
  <si>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</si>
  <si>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</si>
  <si>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</si>
  <si>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</si>
  <si>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</si>
  <si>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</si>
  <si>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</si>
  <si>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</si>
  <si>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</si>
  <si>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</si>
  <si>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</si>
  <si>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</si>
  <si>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</si>
  <si>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</si>
  <si>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</si>
  <si>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</si>
  <si>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</si>
  <si>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</si>
  <si>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</si>
  <si>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 xml:space="preserve">Salaries and Benefits - Supplemental Data for Att O's Wages &amp; Salary Allocator </t>
  </si>
  <si>
    <t>FICA, other payroll taxes, and retirement benefits include only those expenses that are directly allocated to each account.</t>
  </si>
  <si>
    <t>Salaries</t>
  </si>
  <si>
    <t>Accounts</t>
  </si>
  <si>
    <t>Substation Equipment</t>
  </si>
  <si>
    <t>Tree Trimming</t>
  </si>
  <si>
    <t>Meter Reading</t>
  </si>
  <si>
    <t>Schedule 5</t>
  </si>
  <si>
    <t>Taxes other than Income Taxes, Operating Income</t>
  </si>
  <si>
    <t>ELECTRICAL UTILITY FUND</t>
  </si>
  <si>
    <t>OPERATING REVENUES</t>
  </si>
  <si>
    <t>TOTAL OPERATING REVENUES</t>
  </si>
  <si>
    <t>OPERATING INCOME</t>
  </si>
  <si>
    <t>Load Management Expense</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</si>
  <si>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</si>
  <si>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</si>
  <si>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</si>
  <si>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</si>
  <si>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</si>
  <si>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</si>
  <si>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</si>
  <si>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Sales Expense</t>
  </si>
  <si>
    <t>From Reference III.17.b include only the amount from Accounts 428, 429, and 430.</t>
  </si>
  <si>
    <t>None</t>
  </si>
  <si>
    <t>Attachment O-EIA Non-Levelized Generic</t>
  </si>
  <si>
    <t>(a)</t>
  </si>
  <si>
    <t>(b)</t>
  </si>
  <si>
    <t>(c)</t>
  </si>
  <si>
    <t>(d)</t>
  </si>
  <si>
    <t>Note for Line 4 - Combustion Turbine</t>
  </si>
  <si>
    <t>Data Required for EIA-412</t>
  </si>
  <si>
    <t>Line No.</t>
  </si>
  <si>
    <t xml:space="preserve">Rental Income Related to </t>
  </si>
  <si>
    <t xml:space="preserve">  Transmission Assets.</t>
  </si>
  <si>
    <t xml:space="preserve">  FERC Acct 454</t>
  </si>
  <si>
    <t>Materials &amp; Supplies</t>
  </si>
  <si>
    <t xml:space="preserve">  Transmission Supplies</t>
  </si>
  <si>
    <t xml:space="preserve">  Distribution Supplies</t>
  </si>
  <si>
    <t xml:space="preserve">  FERC Acct. 154</t>
  </si>
  <si>
    <t>Regulatory Commission Expense</t>
  </si>
  <si>
    <t xml:space="preserve">  FERC Acct. 928</t>
  </si>
  <si>
    <t xml:space="preserve"> Directly related to Transmission</t>
  </si>
  <si>
    <t>Advertising:  Informational &amp; Instructional</t>
  </si>
  <si>
    <t xml:space="preserve">  Non-Safety Related Advertising</t>
  </si>
  <si>
    <t xml:space="preserve">  Safety Related Advertising</t>
  </si>
  <si>
    <t xml:space="preserve">  FERC Acct. 909</t>
  </si>
  <si>
    <t>Transmission of Electricity by Others</t>
  </si>
  <si>
    <t xml:space="preserve">  FERC Acct. 565</t>
  </si>
  <si>
    <t>Transmission Charges for all Transmission Transactions</t>
  </si>
  <si>
    <t xml:space="preserve">  FERC Acct 456.1</t>
  </si>
  <si>
    <t>Transmission Land Held for Future Use</t>
  </si>
  <si>
    <t xml:space="preserve">  FERC Acct 105</t>
  </si>
  <si>
    <t xml:space="preserve">  Other Suuplies - A&amp;G, Billing</t>
  </si>
  <si>
    <t>ALP Utilities (Alexandria, Minnesota)</t>
  </si>
  <si>
    <t>ALP UTILITIES</t>
  </si>
  <si>
    <t>STATEMENT OF REVENUES AND EXPENSES</t>
  </si>
  <si>
    <t>Residential Sales</t>
  </si>
  <si>
    <t>Commercial &amp; Industrial Sales</t>
  </si>
  <si>
    <t>Green Power &amp; Other Alternative Energy</t>
  </si>
  <si>
    <t>Public Street &amp; Highway Sales</t>
  </si>
  <si>
    <t>Other Sales to Public Authority</t>
  </si>
  <si>
    <t>Inter-Department Sales</t>
  </si>
  <si>
    <t>Power Clause</t>
  </si>
  <si>
    <t xml:space="preserve">  Total Sales of Electricity</t>
  </si>
  <si>
    <t>Other Operating Revenue</t>
  </si>
  <si>
    <t>Penalties &amp; Forfeited Discounts</t>
  </si>
  <si>
    <t>Miscellaneous Service Revenues</t>
  </si>
  <si>
    <t>Rental Income - CPA</t>
  </si>
  <si>
    <t>MRES capacity purchase agreement</t>
  </si>
  <si>
    <t>Rent - Transmission - Nokomis Sub</t>
  </si>
  <si>
    <t>Att O, pg 4, line 30</t>
  </si>
  <si>
    <t>Rent - Utility Poles</t>
  </si>
  <si>
    <t>Rent is only for Distribution poles per ALP staff.</t>
  </si>
  <si>
    <t>Other Electric Revenues</t>
  </si>
  <si>
    <t>NSF Fees</t>
  </si>
  <si>
    <t xml:space="preserve">  Total Other Operating Revenue</t>
  </si>
  <si>
    <t>PURCHASED POWER / TRANSMISSION</t>
  </si>
  <si>
    <t>Cost of Power</t>
  </si>
  <si>
    <t>WAPA</t>
  </si>
  <si>
    <t>MRES</t>
  </si>
  <si>
    <t>Transmission - Northern Cities Group</t>
  </si>
  <si>
    <t xml:space="preserve">  Total Cost of Power</t>
  </si>
  <si>
    <t>INTERNAL COMBUSTION ENGINE GENERATION</t>
  </si>
  <si>
    <t>Salary - Superintendent</t>
  </si>
  <si>
    <t>Fuel-Oil</t>
  </si>
  <si>
    <t>Fuel-Natural Gas</t>
  </si>
  <si>
    <t>Misc. Other Power Gen. Expense</t>
  </si>
  <si>
    <t>Maintenance of Structures</t>
  </si>
  <si>
    <t>Maint. of I.C. Engine, Gen., Switchgear</t>
  </si>
  <si>
    <t xml:space="preserve">  Total Internal Comb. Engine Gen.</t>
  </si>
  <si>
    <t>OTHER POWER SUPPLY EXPENSE</t>
  </si>
  <si>
    <t>System Control &amp; Loading Dispatching</t>
  </si>
  <si>
    <t xml:space="preserve">  Total Other Power Supply Expense</t>
  </si>
  <si>
    <t>TRANSMISSION SYSTEM EXPENSE</t>
  </si>
  <si>
    <t>570-571</t>
  </si>
  <si>
    <t>Maintenance Material</t>
  </si>
  <si>
    <t>Maintenance Labor</t>
  </si>
  <si>
    <t xml:space="preserve">Other Transmission </t>
  </si>
  <si>
    <t>Total Transmission Expense</t>
  </si>
  <si>
    <t>DISTRIBUTION EXPENSES:</t>
  </si>
  <si>
    <t xml:space="preserve">   OPERATION:</t>
  </si>
  <si>
    <t>Supervision</t>
  </si>
  <si>
    <t>Station Expenses</t>
  </si>
  <si>
    <t>Overhead Line Expenses</t>
  </si>
  <si>
    <t>Underground Line Expenses</t>
  </si>
  <si>
    <t>Meter Exp. - Removing &amp; Resetting Mtrs.</t>
  </si>
  <si>
    <t>Cust. Install. Exp. - Service on Premises</t>
  </si>
  <si>
    <t>Misc. Distribution Expense</t>
  </si>
  <si>
    <t>Supplies</t>
  </si>
  <si>
    <t>Safety Supplies</t>
  </si>
  <si>
    <t>Rents</t>
  </si>
  <si>
    <t xml:space="preserve">  Total Operation Expense</t>
  </si>
  <si>
    <t xml:space="preserve">   MAINTENANCE:</t>
  </si>
  <si>
    <t>Maintenance of Station Equipment</t>
  </si>
  <si>
    <t>Maintenance of Overhead Lines</t>
  </si>
  <si>
    <t>Maintenance of Underground Lines</t>
  </si>
  <si>
    <t>Maintenance of Line Transformers</t>
  </si>
  <si>
    <t>Maint. Of Street Lighting &amp; Signal Sys.</t>
  </si>
  <si>
    <t>Maint. Of Customer Electric Meters</t>
  </si>
  <si>
    <t>Maint. Of Power-Operated Equipment</t>
  </si>
  <si>
    <t xml:space="preserve">  Total Maintenance Expense</t>
  </si>
  <si>
    <t>CUSTOMER ACCOUNTS EXPENSE:</t>
  </si>
  <si>
    <t>Collection Expense</t>
  </si>
  <si>
    <t>Billing &amp; Accounting Salaries</t>
  </si>
  <si>
    <t>Uncollectible Accounts</t>
  </si>
  <si>
    <t>Customer Conservation Consultant</t>
  </si>
  <si>
    <t>Cash Short &amp; Over</t>
  </si>
  <si>
    <t>Customer Assistance</t>
  </si>
  <si>
    <t>Informational Advertising</t>
  </si>
  <si>
    <t xml:space="preserve">  Total Customer Accounts Expense</t>
  </si>
  <si>
    <t xml:space="preserve">ADMINISTRATIVE &amp; GENERAL EXPENSES </t>
  </si>
  <si>
    <t>Administrative Salaries - Manager</t>
  </si>
  <si>
    <t>Administrative Salaries - Commission</t>
  </si>
  <si>
    <t>Office Supplies &amp; Expense</t>
  </si>
  <si>
    <t>Outside Services Employed</t>
  </si>
  <si>
    <t>Property Insurance</t>
  </si>
  <si>
    <t>Injuries &amp; Damage Insurance</t>
  </si>
  <si>
    <t>Employee Pensions &amp; Benefits</t>
  </si>
  <si>
    <t>Employee School &amp; Training Expense</t>
  </si>
  <si>
    <t>Health Insurance Deductibles</t>
  </si>
  <si>
    <t>Employer Contrib. to Def Comp &amp; Severance</t>
  </si>
  <si>
    <t>Regulatory Expense</t>
  </si>
  <si>
    <t>Miscellaneous General Expense</t>
  </si>
  <si>
    <t>Maintenance of General Plant</t>
  </si>
  <si>
    <t xml:space="preserve">  Total Administrative &amp; General Expense</t>
  </si>
  <si>
    <t>Depreciation-Electric Utility Plant in Service</t>
  </si>
  <si>
    <t>Amortization</t>
  </si>
  <si>
    <t xml:space="preserve">  Total Depreciation and Amortization</t>
  </si>
  <si>
    <t>TOTAL OPERATING EXPENSES</t>
  </si>
  <si>
    <t>OTHER INCOME</t>
  </si>
  <si>
    <t>415-416</t>
  </si>
  <si>
    <t>Inc. - Merchandising, Jobbing, Contract Work</t>
  </si>
  <si>
    <t>418-418.01</t>
  </si>
  <si>
    <t>Internet &amp; Fiber Income</t>
  </si>
  <si>
    <t>Internet &amp; Fiber Expense</t>
  </si>
  <si>
    <t>Interest and Dividend Income</t>
  </si>
  <si>
    <t>Miscellaneous Non-Operating Income</t>
  </si>
  <si>
    <t xml:space="preserve">  Total Other Income</t>
  </si>
  <si>
    <t>OTHER EXPENSE</t>
  </si>
  <si>
    <t>Interest on Long Term Debt</t>
  </si>
  <si>
    <t xml:space="preserve">  Total Other Expense</t>
  </si>
  <si>
    <t>Payment to City in Lieu of Taxes</t>
  </si>
  <si>
    <t>NET INCOME</t>
  </si>
  <si>
    <t>Internal Combustion Engine Generation</t>
  </si>
  <si>
    <t>Total Production</t>
  </si>
  <si>
    <t>Other Generation Salaries</t>
  </si>
  <si>
    <t>Transmission: Salaries</t>
  </si>
  <si>
    <t>Transmission Line Maintenance</t>
  </si>
  <si>
    <t>Total Transmission</t>
  </si>
  <si>
    <t>Distribution: Operation Salaries</t>
  </si>
  <si>
    <t xml:space="preserve">Station </t>
  </si>
  <si>
    <t xml:space="preserve">Overhead Line </t>
  </si>
  <si>
    <t xml:space="preserve">Underground Line </t>
  </si>
  <si>
    <t xml:space="preserve">Meter Exp. </t>
  </si>
  <si>
    <t>Total Distribution Operation</t>
  </si>
  <si>
    <t>Distribution: Maintenance Salaries</t>
  </si>
  <si>
    <t>Total Distribution Maintenance</t>
  </si>
  <si>
    <t>Customer Accounts: Salaries</t>
  </si>
  <si>
    <t>Total Other Salaries</t>
  </si>
  <si>
    <t>All employee benefits and payroll taxes are included in Administrative &amp; General expenses.</t>
  </si>
  <si>
    <t>Other Interest Expense</t>
  </si>
  <si>
    <t>Unrealized Gain on Investments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</si>
  <si>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</si>
  <si>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</si>
  <si>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</si>
  <si>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</si>
  <si>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The FERC's annual charges for the year assessed the Transmission Owner for service under this tariff, if any.</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</si>
  <si>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</si>
  <si>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</si>
  <si>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Account Nos. 561.4 and 561.8 consist of RTO expenses billed to load-serving entities and are not included in Transmission Owner revenue requirements.</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</si>
  <si>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</si>
  <si>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</si>
  <si>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</si>
  <si>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</si>
  <si>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Other Data tab</t>
  </si>
  <si>
    <t>Nokomis Substation rent</t>
  </si>
  <si>
    <t>NCG Transmission</t>
  </si>
  <si>
    <t>MRES Power supply</t>
  </si>
  <si>
    <t>Total Cost of Power</t>
  </si>
  <si>
    <t>MRES IS Transmission Deliveries</t>
  </si>
  <si>
    <t>ALP Utilities</t>
  </si>
  <si>
    <t xml:space="preserve">Payment In Lieu of Taxes </t>
  </si>
  <si>
    <t>Nokomis Substation revenue, Audit Pg 46</t>
  </si>
  <si>
    <t>No inventory for transmission per ALP staff</t>
  </si>
  <si>
    <t>FICA taxes in A&amp;G expense</t>
  </si>
  <si>
    <t>Schedule 7, less FICA taxes in Line 13</t>
  </si>
  <si>
    <t>Schedule 3 and Detailed Income Exp. Tab</t>
  </si>
  <si>
    <t>Alexandria Light &amp; Power</t>
  </si>
  <si>
    <t>Account 903.1</t>
  </si>
  <si>
    <t>Employee</t>
  </si>
  <si>
    <t>Number</t>
  </si>
  <si>
    <t>Position</t>
  </si>
  <si>
    <t>Salary</t>
  </si>
  <si>
    <t>Customer Service Rep</t>
  </si>
  <si>
    <t>Head Cashier/Billing Rep</t>
  </si>
  <si>
    <t>Lead Billing Clerk</t>
  </si>
  <si>
    <t>Finance Manager</t>
  </si>
  <si>
    <t>See Detail</t>
  </si>
  <si>
    <t>Customer Account Salaries</t>
  </si>
  <si>
    <t>A&amp;G Salaries</t>
  </si>
  <si>
    <t>Total Acct 903.1 Salaries</t>
  </si>
  <si>
    <t>See Detailed Income &amp; Exp tab for adjustment</t>
  </si>
  <si>
    <t>Remained in Acct 903.1</t>
  </si>
  <si>
    <t>Moved to Acct 920</t>
  </si>
  <si>
    <t>ALP includes Advertising in Customer Accounts, not in A&amp;G; therefore it is not included on Page 3, Line 3 of Form 412.</t>
  </si>
  <si>
    <t>Cost of Power Details</t>
  </si>
  <si>
    <t>CC</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</si>
  <si>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</si>
  <si>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</si>
  <si>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</si>
  <si>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</si>
  <si>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</si>
  <si>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6a</t>
  </si>
  <si>
    <t>Adjustments to Net Revenue Requirement (Note CC)</t>
  </si>
  <si>
    <t>6b</t>
  </si>
  <si>
    <t>Interest on Adjustments (Note DD)</t>
  </si>
  <si>
    <t>6c</t>
  </si>
  <si>
    <t>Total Adjustment (line 6a + line 6b)</t>
  </si>
  <si>
    <t>For the 12 months ended 12/31/2015</t>
  </si>
  <si>
    <t>Years Ended December 31, 2015</t>
  </si>
  <si>
    <t>For year ended December 31, 2015</t>
  </si>
  <si>
    <t>2015 Depreciation</t>
  </si>
  <si>
    <t>Street Lighting &amp; Signal Expense</t>
  </si>
  <si>
    <t>LT Debt interest of $131,859, Other interest expense was $348 in Acct 431</t>
  </si>
  <si>
    <t>Finance Manager Salary is now included in FERC Account 920</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</si>
  <si>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</si>
  <si>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</si>
  <si>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Customer Accounts Receivable (142)</t>
  </si>
  <si>
    <t>DEFERRED OUTFLOWS OF RESOURCES</t>
  </si>
  <si>
    <t>DEFERRED INFLOWS OF RESOURCES</t>
  </si>
  <si>
    <t>Deferred pension resources</t>
  </si>
  <si>
    <t>TOTAL ASSETS &amp; DEFERRED OUTFLOWS OF RESOURCES</t>
  </si>
  <si>
    <t>ALP Utilities' load is included in the MRES filing.</t>
  </si>
  <si>
    <t>Sched 7 &amp; 8</t>
  </si>
  <si>
    <t>Sched 9</t>
  </si>
  <si>
    <t>January</t>
  </si>
  <si>
    <t>February</t>
  </si>
  <si>
    <t>March</t>
  </si>
  <si>
    <t>April</t>
  </si>
  <si>
    <t>May</t>
  </si>
  <si>
    <t>June</t>
  </si>
  <si>
    <t>July</t>
  </si>
  <si>
    <t>August</t>
  </si>
  <si>
    <t>September</t>
  </si>
  <si>
    <t>October</t>
  </si>
  <si>
    <t>November</t>
  </si>
  <si>
    <t>December</t>
  </si>
  <si>
    <t>Account 456.1</t>
  </si>
  <si>
    <t>MISO Schedule 7 &amp; 8</t>
  </si>
  <si>
    <t>MISO Schedule 9</t>
  </si>
  <si>
    <t>MISO Schedule 1</t>
  </si>
  <si>
    <t>MISO Schedule 2</t>
  </si>
  <si>
    <t>MISO Schedule 24</t>
  </si>
  <si>
    <t>MISO Schedule 26 (NUC)</t>
  </si>
  <si>
    <t>MISO Schedule 26-A (MVP)</t>
  </si>
  <si>
    <t>Other (provide description / explanation below)</t>
  </si>
  <si>
    <t>Total Revenue</t>
  </si>
  <si>
    <t xml:space="preserve">  b. Transmission charges for all transmission transactions included in Divisor on Page 1</t>
  </si>
  <si>
    <t>Total of (a)-(b)-(c)-(d)</t>
  </si>
  <si>
    <t>Alexandria Joint Pricing Zone</t>
  </si>
  <si>
    <t>See Acct 456.1 tab</t>
  </si>
  <si>
    <t>Acct 456.1</t>
  </si>
  <si>
    <t>Other Data Line 1</t>
  </si>
  <si>
    <t>Audit Report</t>
  </si>
  <si>
    <t>Attachment O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</si>
</sst>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0.00_)"/>
    <numFmt numFmtId="176" formatCode="#,##0.0"/>
    <numFmt numFmtId="177" formatCode="#,###,##0.00;\(#,###,##0.00\)"/>
    <numFmt numFmtId="178" formatCode="0.0"/>
    <numFmt numFmtId="179" formatCode="_(&quot;$&quot;* #,##0.0_);_(&quot;$&quot;* \(#,##0.0\);_(&quot;$&quot;* &quot;-&quot;??_);_(@_)"/>
  </numFmts>
  <fonts count="70">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name val="Arial MT"/>
    </font>
    <font>
      <sz val="10"/>
      <name val="Arial"/>
      <family val="2"/>
    </font>
    <font>
      <b/>
      <sz val="12"/>
      <name val="Arial"/>
      <family val="2"/>
    </font>
    <font>
      <sz val="12"/>
      <name val="Arial"/>
      <family val="2"/>
    </font>
    <font>
      <b/>
      <sz val="11"/>
      <name val="Arial"/>
      <family val="2"/>
    </font>
    <font>
      <b/>
      <sz val="10"/>
      <name val="Arial"/>
      <family val="2"/>
    </font>
    <font>
      <sz val="9"/>
      <color indexed="81"/>
      <name val="Tahoma"/>
      <family val="2"/>
    </font>
    <font>
      <sz val="10"/>
      <name val="Garth Graphic ATT"/>
    </font>
    <font>
      <sz val="11"/>
      <name val="Calibri"/>
      <family val="2"/>
      <scheme val="minor"/>
    </font>
    <font>
      <b/>
      <sz val="11"/>
      <name val="Calibri"/>
      <family val="2"/>
      <scheme val="minor"/>
    </font>
    <font>
      <sz val="10"/>
      <name val="Calibri"/>
      <family val="2"/>
      <scheme val="minor"/>
    </font>
    <font>
      <sz val="8"/>
      <name val="Arial"/>
      <family val="2"/>
    </font>
    <font>
      <b/>
      <sz val="14"/>
      <name val="Arial"/>
      <family val="2"/>
    </font>
    <font>
      <b/>
      <i/>
      <sz val="14"/>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4"/>
      <name val="Book Antiqua"/>
      <family val="1"/>
    </font>
    <font>
      <i/>
      <sz val="10"/>
      <name val="Book Antiqua"/>
      <family val="1"/>
    </font>
    <font>
      <b/>
      <i/>
      <sz val="16"/>
      <name val="Helv"/>
    </font>
    <font>
      <sz val="10"/>
      <name val="MS Sans Serif"/>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0"/>
      <color indexed="8"/>
      <name val="Arial"/>
      <family val="2"/>
    </font>
    <font>
      <b/>
      <sz val="10"/>
      <color indexed="8"/>
      <name val="Arial"/>
      <family val="2"/>
    </font>
    <font>
      <b/>
      <i/>
      <sz val="10"/>
      <color indexed="8"/>
      <name val="Arial"/>
      <family val="2"/>
    </font>
    <font>
      <b/>
      <sz val="10"/>
      <name val="Calibri"/>
      <family val="2"/>
      <scheme val="minor"/>
    </font>
    <font>
      <b/>
      <sz val="12"/>
      <name val="Calibri"/>
      <family val="2"/>
      <scheme val="minor"/>
    </font>
    <font>
      <sz val="12"/>
      <name val="Calibri"/>
      <family val="2"/>
      <scheme val="minor"/>
    </font>
    <font>
      <sz val="11"/>
      <color theme="0"/>
      <name val="Calibri"/>
      <family val="2"/>
      <scheme val="minor"/>
    </font>
    <font>
      <sz val="11"/>
      <color indexed="8"/>
      <name val="Calibri"/>
      <family val="2"/>
    </font>
    <font>
      <sz val="10"/>
      <color indexed="0"/>
      <name val="Arial"/>
      <family val="2"/>
    </font>
    <font>
      <sz val="8"/>
      <name val="Tms Rmn"/>
    </font>
    <font>
      <b/>
      <u/>
      <sz val="10"/>
      <name val="Calibri"/>
      <family val="2"/>
      <scheme val="minor"/>
    </font>
    <font>
      <sz val="11"/>
      <name val="Calibri"/>
      <family val="2"/>
    </font>
    <font>
      <sz val="10"/>
      <name val="Arial"/>
      <family val="2"/>
    </font>
    <font>
      <sz val="12"/>
      <name val="CG Times"/>
      <family val="1"/>
    </font>
    <font>
      <sz val="10"/>
      <name val="Times New Roman"/>
      <family val="1"/>
    </font>
    <font>
      <sz val="12"/>
      <color indexed="10"/>
      <name val="Calibri"/>
      <family val="2"/>
      <scheme val="minor"/>
    </font>
    <font>
      <b/>
      <sz val="11"/>
      <color theme="1"/>
      <name val="Calibri"/>
      <family val="2"/>
      <scheme val="minor"/>
    </font>
    <font>
      <u val="singleAccounting"/>
      <sz val="10"/>
      <name val="Calibri"/>
      <family val="2"/>
      <scheme val="minor"/>
    </font>
    <font>
      <u/>
      <sz val="11"/>
      <color theme="1"/>
      <name val="Calibri"/>
      <family val="2"/>
      <scheme val="minor"/>
    </font>
    <font>
      <b/>
      <u/>
      <sz val="11"/>
      <color theme="1"/>
      <name val="Calibri"/>
      <family val="2"/>
      <scheme val="minor"/>
    </font>
  </fonts>
  <fills count="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theme="7"/>
      </patternFill>
    </fill>
    <fill>
      <patternFill patternType="solid">
        <fgColor rgb="FFFFFF99"/>
        <bgColor indexed="64"/>
      </patternFill>
    </fill>
  </fills>
  <borders count="34">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8"/>
      </bottom>
      <diagonal/>
    </border>
    <border>
      <left/>
      <right/>
      <top style="double">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s>
  <cellStyleXfs count="347">
    <xf numFmtId="172" fontId="0" fillId="0" borderId="0" applyProtection="0"/>
    <xf numFmtId="0" fontId="16" fillId="0" borderId="0"/>
    <xf numFmtId="43" fontId="16" fillId="0" borderId="0" applyFont="0" applyFill="0" applyBorder="0" applyAlignment="0" applyProtection="0"/>
    <xf numFmtId="44" fontId="16" fillId="0" borderId="0" applyFont="0" applyFill="0" applyBorder="0" applyAlignment="0" applyProtection="0"/>
    <xf numFmtId="0" fontId="22" fillId="0" borderId="0"/>
    <xf numFmtId="0" fontId="22" fillId="0" borderId="0"/>
    <xf numFmtId="9" fontId="16" fillId="0" borderId="0" applyFont="0" applyFill="0" applyBorder="0" applyAlignment="0" applyProtection="0"/>
    <xf numFmtId="172" fontId="26" fillId="0" borderId="0" applyFill="0"/>
    <xf numFmtId="172" fontId="26" fillId="0" borderId="0">
      <alignment horizontal="center"/>
    </xf>
    <xf numFmtId="0" fontId="26" fillId="0" borderId="0" applyFill="0">
      <alignment horizontal="center"/>
    </xf>
    <xf numFmtId="172" fontId="27" fillId="0" borderId="31" applyFill="0"/>
    <xf numFmtId="0" fontId="16" fillId="0" borderId="0" applyFont="0" applyAlignment="0"/>
    <xf numFmtId="0" fontId="28" fillId="0" borderId="0" applyFill="0">
      <alignment vertical="top"/>
    </xf>
    <xf numFmtId="0" fontId="27" fillId="0" borderId="0" applyFill="0">
      <alignment horizontal="left" vertical="top"/>
    </xf>
    <xf numFmtId="172" fontId="17" fillId="0" borderId="9" applyFill="0"/>
    <xf numFmtId="0" fontId="16" fillId="0" borderId="0" applyNumberFormat="0" applyFont="0" applyAlignment="0"/>
    <xf numFmtId="0" fontId="28" fillId="0" borderId="0" applyFill="0">
      <alignment wrapText="1"/>
    </xf>
    <xf numFmtId="0" fontId="27" fillId="0" borderId="0" applyFill="0">
      <alignment horizontal="left" vertical="top" wrapText="1"/>
    </xf>
    <xf numFmtId="172" fontId="19" fillId="0" borderId="0" applyFill="0"/>
    <xf numFmtId="0" fontId="29" fillId="0" borderId="0" applyNumberFormat="0" applyFont="0" applyAlignment="0">
      <alignment horizontal="center"/>
    </xf>
    <xf numFmtId="0" fontId="30" fillId="0" borderId="0" applyFill="0">
      <alignment vertical="top" wrapText="1"/>
    </xf>
    <xf numFmtId="0" fontId="17" fillId="0" borderId="0" applyFill="0">
      <alignment horizontal="left" vertical="top" wrapText="1"/>
    </xf>
    <xf numFmtId="172" fontId="16" fillId="0" borderId="0" applyFill="0"/>
    <xf numFmtId="0" fontId="29" fillId="0" borderId="0" applyNumberFormat="0" applyFont="0" applyAlignment="0">
      <alignment horizontal="center"/>
    </xf>
    <xf numFmtId="0" fontId="31" fillId="0" borderId="0" applyFill="0">
      <alignment vertical="center" wrapText="1"/>
    </xf>
    <xf numFmtId="0" fontId="18" fillId="0" borderId="0">
      <alignment horizontal="left" vertical="center" wrapText="1"/>
    </xf>
    <xf numFmtId="172" fontId="32" fillId="0" borderId="0" applyFill="0"/>
    <xf numFmtId="0" fontId="29" fillId="0" borderId="0" applyNumberFormat="0" applyFont="0" applyAlignment="0">
      <alignment horizontal="center"/>
    </xf>
    <xf numFmtId="0" fontId="33" fillId="0" borderId="0" applyFill="0">
      <alignment horizontal="center" vertical="center" wrapText="1"/>
    </xf>
    <xf numFmtId="0" fontId="16" fillId="0" borderId="0" applyFill="0">
      <alignment horizontal="center" vertical="center" wrapText="1"/>
    </xf>
    <xf numFmtId="172" fontId="34" fillId="0" borderId="0" applyFill="0"/>
    <xf numFmtId="0" fontId="29" fillId="0" borderId="0" applyNumberFormat="0" applyFont="0" applyAlignment="0">
      <alignment horizontal="center"/>
    </xf>
    <xf numFmtId="0" fontId="35" fillId="0" borderId="0" applyFill="0">
      <alignment horizontal="center" vertical="center" wrapText="1"/>
    </xf>
    <xf numFmtId="0" fontId="36" fillId="0" borderId="0" applyFill="0">
      <alignment horizontal="center" vertical="center" wrapText="1"/>
    </xf>
    <xf numFmtId="172" fontId="37" fillId="0" borderId="0" applyFill="0"/>
    <xf numFmtId="0" fontId="29" fillId="0" borderId="0" applyNumberFormat="0" applyFont="0" applyAlignment="0">
      <alignment horizontal="center"/>
    </xf>
    <xf numFmtId="0" fontId="38" fillId="0" borderId="0">
      <alignment horizontal="center" wrapText="1"/>
    </xf>
    <xf numFmtId="0" fontId="34" fillId="0" borderId="0" applyFill="0">
      <alignment horizontal="center" wrapText="1"/>
    </xf>
    <xf numFmtId="3" fontId="16" fillId="0" borderId="0" applyFont="0" applyFill="0" applyBorder="0" applyAlignment="0" applyProtection="0"/>
    <xf numFmtId="5" fontId="16" fillId="0" borderId="0" applyFont="0" applyFill="0" applyBorder="0" applyAlignment="0" applyProtection="0"/>
    <xf numFmtId="14" fontId="16" fillId="0" borderId="0" applyFont="0" applyFill="0" applyBorder="0" applyAlignment="0" applyProtection="0"/>
    <xf numFmtId="2" fontId="16" fillId="0" borderId="0" applyFont="0" applyFill="0" applyBorder="0" applyAlignment="0" applyProtection="0"/>
    <xf numFmtId="38" fontId="26" fillId="3" borderId="0" applyNumberFormat="0" applyBorder="0" applyAlignment="0" applyProtection="0"/>
    <xf numFmtId="0" fontId="39" fillId="0" borderId="1"/>
    <xf numFmtId="0" fontId="40" fillId="0" borderId="0"/>
    <xf numFmtId="10" fontId="26" fillId="4" borderId="14" applyNumberFormat="0" applyBorder="0" applyAlignment="0" applyProtection="0"/>
    <xf numFmtId="175" fontId="41" fillId="0" borderId="0"/>
    <xf numFmtId="10" fontId="16" fillId="0" borderId="0" applyFont="0" applyFill="0" applyBorder="0" applyAlignment="0" applyProtection="0"/>
    <xf numFmtId="0" fontId="42" fillId="0" borderId="0" applyNumberFormat="0" applyFont="0" applyFill="0" applyBorder="0" applyAlignment="0" applyProtection="0">
      <alignment horizontal="left"/>
    </xf>
    <xf numFmtId="15" fontId="42" fillId="0" borderId="0" applyFont="0" applyFill="0" applyBorder="0" applyAlignment="0" applyProtection="0"/>
    <xf numFmtId="4" fontId="42" fillId="0" borderId="0" applyFont="0" applyFill="0" applyBorder="0" applyAlignment="0" applyProtection="0"/>
    <xf numFmtId="3" fontId="16" fillId="0" borderId="0">
      <alignment horizontal="left" vertical="top"/>
    </xf>
    <xf numFmtId="0" fontId="43" fillId="0" borderId="1">
      <alignment horizontal="center"/>
    </xf>
    <xf numFmtId="3" fontId="42" fillId="0" borderId="0" applyFont="0" applyFill="0" applyBorder="0" applyAlignment="0" applyProtection="0"/>
    <xf numFmtId="0" fontId="42" fillId="5" borderId="0" applyNumberFormat="0" applyFont="0" applyBorder="0" applyAlignment="0" applyProtection="0"/>
    <xf numFmtId="3" fontId="16" fillId="0" borderId="0">
      <alignment horizontal="right" vertical="top"/>
    </xf>
    <xf numFmtId="41" fontId="18" fillId="3" borderId="13" applyFill="0"/>
    <xf numFmtId="0" fontId="44" fillId="0" borderId="0">
      <alignment horizontal="left" indent="7"/>
    </xf>
    <xf numFmtId="41" fontId="18" fillId="0" borderId="13" applyFill="0">
      <alignment horizontal="left" indent="2"/>
    </xf>
    <xf numFmtId="172" fontId="45" fillId="0" borderId="4" applyFill="0">
      <alignment horizontal="right"/>
    </xf>
    <xf numFmtId="0" fontId="20" fillId="0" borderId="14" applyNumberFormat="0" applyFont="0" applyBorder="0">
      <alignment horizontal="right"/>
    </xf>
    <xf numFmtId="0" fontId="46" fillId="0" borderId="0" applyFill="0"/>
    <xf numFmtId="0" fontId="17" fillId="0" borderId="0" applyFill="0"/>
    <xf numFmtId="4" fontId="45" fillId="0" borderId="4" applyFill="0"/>
    <xf numFmtId="0" fontId="16" fillId="0" borderId="0" applyNumberFormat="0" applyFont="0" applyBorder="0" applyAlignment="0"/>
    <xf numFmtId="0" fontId="30" fillId="0" borderId="0" applyFill="0">
      <alignment horizontal="left" indent="1"/>
    </xf>
    <xf numFmtId="0" fontId="47" fillId="0" borderId="0" applyFill="0">
      <alignment horizontal="left" indent="1"/>
    </xf>
    <xf numFmtId="4" fontId="32" fillId="0" borderId="0" applyFill="0"/>
    <xf numFmtId="0" fontId="16" fillId="0" borderId="0" applyNumberFormat="0" applyFont="0" applyFill="0" applyBorder="0" applyAlignment="0"/>
    <xf numFmtId="0" fontId="30" fillId="0" borderId="0" applyFill="0">
      <alignment horizontal="left" indent="2"/>
    </xf>
    <xf numFmtId="0" fontId="17" fillId="0" borderId="0" applyFill="0">
      <alignment horizontal="left" indent="2"/>
    </xf>
    <xf numFmtId="4" fontId="32" fillId="0" borderId="0" applyFill="0"/>
    <xf numFmtId="0" fontId="16" fillId="0" borderId="0" applyNumberFormat="0" applyFont="0" applyBorder="0" applyAlignment="0"/>
    <xf numFmtId="0" fontId="48" fillId="0" borderId="0">
      <alignment horizontal="left" indent="3"/>
    </xf>
    <xf numFmtId="0" fontId="49" fillId="0" borderId="0" applyFill="0">
      <alignment horizontal="left" indent="3"/>
    </xf>
    <xf numFmtId="4" fontId="32" fillId="0" borderId="0" applyFill="0"/>
    <xf numFmtId="0" fontId="16" fillId="0" borderId="0" applyNumberFormat="0" applyFont="0" applyBorder="0" applyAlignment="0"/>
    <xf numFmtId="0" fontId="33" fillId="0" borderId="0">
      <alignment horizontal="left" indent="4"/>
    </xf>
    <xf numFmtId="0" fontId="16" fillId="0" borderId="0" applyFill="0">
      <alignment horizontal="left" indent="4"/>
    </xf>
    <xf numFmtId="4" fontId="34" fillId="0" borderId="0" applyFill="0"/>
    <xf numFmtId="0" fontId="16" fillId="0" borderId="0" applyNumberFormat="0" applyFont="0" applyBorder="0" applyAlignment="0"/>
    <xf numFmtId="0" fontId="35" fillId="0" borderId="0">
      <alignment horizontal="left" indent="5"/>
    </xf>
    <xf numFmtId="0" fontId="36" fillId="0" borderId="0" applyFill="0">
      <alignment horizontal="left" indent="5"/>
    </xf>
    <xf numFmtId="4" fontId="37" fillId="0" borderId="0" applyFill="0"/>
    <xf numFmtId="0" fontId="16" fillId="0" borderId="0" applyNumberFormat="0" applyFont="0" applyFill="0" applyBorder="0" applyAlignment="0"/>
    <xf numFmtId="0" fontId="38" fillId="0" borderId="0" applyFill="0">
      <alignment horizontal="left" indent="6"/>
    </xf>
    <xf numFmtId="0" fontId="34" fillId="0" borderId="0" applyFill="0">
      <alignment horizontal="left" indent="6"/>
    </xf>
    <xf numFmtId="0" fontId="50" fillId="0" borderId="0" applyNumberFormat="0" applyBorder="0" applyAlignment="0"/>
    <xf numFmtId="0" fontId="51" fillId="0" borderId="0" applyNumberFormat="0" applyBorder="0" applyAlignment="0"/>
    <xf numFmtId="0" fontId="52" fillId="0" borderId="0" applyNumberFormat="0" applyBorder="0" applyAlignment="0"/>
    <xf numFmtId="0" fontId="50" fillId="0" borderId="0" applyNumberFormat="0" applyBorder="0" applyAlignment="0"/>
    <xf numFmtId="43"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6" fillId="0" borderId="0"/>
    <xf numFmtId="172" fontId="15" fillId="0" borderId="0" applyProtection="0"/>
    <xf numFmtId="39" fontId="15" fillId="0" borderId="0"/>
    <xf numFmtId="0" fontId="5" fillId="0" borderId="0"/>
    <xf numFmtId="0" fontId="56" fillId="6" borderId="0" applyNumberFormat="0" applyBorder="0" applyAlignment="0" applyProtection="0"/>
    <xf numFmtId="39" fontId="16"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176" fontId="16" fillId="0" borderId="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0" fontId="42"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57" fillId="0" borderId="0" applyFont="0" applyFill="0" applyBorder="0" applyAlignment="0" applyProtection="0"/>
    <xf numFmtId="7" fontId="16" fillId="0" borderId="0" applyFont="0" applyFill="0" applyBorder="0" applyAlignment="0" applyProtection="0"/>
    <xf numFmtId="44" fontId="16" fillId="0" borderId="0" applyFont="0" applyFill="0" applyBorder="0" applyAlignment="0" applyProtection="0"/>
    <xf numFmtId="44" fontId="57" fillId="0" borderId="0" applyFont="0" applyFill="0" applyBorder="0" applyAlignment="0" applyProtection="0"/>
    <xf numFmtId="44" fontId="15" fillId="0" borderId="0" applyFont="0" applyFill="0" applyBorder="0" applyAlignment="0" applyProtection="0"/>
    <xf numFmtId="44" fontId="57" fillId="0" borderId="0" applyFont="0" applyFill="0" applyBorder="0" applyAlignment="0" applyProtection="0"/>
    <xf numFmtId="44" fontId="16" fillId="0" borderId="0" applyFont="0" applyFill="0" applyBorder="0" applyAlignment="0" applyProtection="0"/>
    <xf numFmtId="44" fontId="5" fillId="0" borderId="0" applyFont="0" applyFill="0" applyBorder="0" applyAlignment="0" applyProtection="0"/>
    <xf numFmtId="177" fontId="58" fillId="0" borderId="0"/>
    <xf numFmtId="0" fontId="57" fillId="0" borderId="0"/>
    <xf numFmtId="172" fontId="15" fillId="0" borderId="0" applyProtection="0"/>
    <xf numFmtId="0" fontId="22" fillId="0" borderId="0"/>
    <xf numFmtId="0" fontId="57" fillId="0" borderId="0"/>
    <xf numFmtId="0" fontId="57" fillId="0" borderId="0"/>
    <xf numFmtId="0" fontId="16" fillId="0" borderId="0"/>
    <xf numFmtId="172" fontId="15" fillId="0" borderId="0" applyProtection="0"/>
    <xf numFmtId="0" fontId="59" fillId="0" borderId="0"/>
    <xf numFmtId="0" fontId="6" fillId="0" borderId="0"/>
    <xf numFmtId="0" fontId="6" fillId="0" borderId="0"/>
    <xf numFmtId="0" fontId="6" fillId="0" borderId="0"/>
    <xf numFmtId="0" fontId="6" fillId="0" borderId="0"/>
    <xf numFmtId="0" fontId="15" fillId="0" borderId="0"/>
    <xf numFmtId="0" fontId="15"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50" fillId="0" borderId="0" applyFont="0" applyFill="0" applyBorder="0" applyAlignment="0" applyProtection="0"/>
    <xf numFmtId="9" fontId="57" fillId="0" borderId="0" applyFont="0" applyFill="0" applyBorder="0" applyAlignment="0" applyProtection="0"/>
    <xf numFmtId="9" fontId="15" fillId="0" borderId="0" applyFont="0" applyFill="0" applyBorder="0" applyAlignment="0" applyProtection="0"/>
    <xf numFmtId="0" fontId="16" fillId="0" borderId="0"/>
    <xf numFmtId="43" fontId="4" fillId="0" borderId="0" applyFont="0" applyFill="0" applyBorder="0" applyAlignment="0" applyProtection="0"/>
    <xf numFmtId="44" fontId="1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16" fillId="0" borderId="0"/>
    <xf numFmtId="0" fontId="4" fillId="0" borderId="0"/>
    <xf numFmtId="0" fontId="4" fillId="0" borderId="0"/>
    <xf numFmtId="0" fontId="16" fillId="0" borderId="0"/>
    <xf numFmtId="9" fontId="4" fillId="0" borderId="0" applyFont="0" applyFill="0" applyBorder="0" applyAlignment="0" applyProtection="0"/>
    <xf numFmtId="0" fontId="62" fillId="0" borderId="0"/>
    <xf numFmtId="43" fontId="16" fillId="0" borderId="0" applyFont="0" applyFill="0" applyBorder="0" applyAlignment="0" applyProtection="0"/>
    <xf numFmtId="44" fontId="1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16" fillId="0" borderId="0" applyFont="0" applyFill="0" applyBorder="0" applyAlignment="0" applyProtection="0"/>
    <xf numFmtId="43" fontId="16" fillId="0" borderId="0" applyFont="0" applyFill="0" applyBorder="0" applyAlignment="0" applyProtection="0"/>
    <xf numFmtId="0" fontId="62" fillId="0" borderId="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39" fontId="15" fillId="0" borderId="0"/>
    <xf numFmtId="172" fontId="15" fillId="0" borderId="0" applyProtection="0"/>
    <xf numFmtId="44" fontId="16" fillId="0" borderId="0" applyFont="0" applyFill="0" applyBorder="0" applyAlignment="0" applyProtection="0"/>
    <xf numFmtId="0" fontId="22" fillId="0" borderId="0"/>
    <xf numFmtId="43" fontId="15" fillId="0" borderId="0" applyFont="0" applyFill="0" applyBorder="0" applyAlignment="0" applyProtection="0"/>
    <xf numFmtId="44" fontId="15" fillId="0" borderId="0" applyFont="0" applyFill="0" applyBorder="0" applyAlignment="0" applyProtection="0"/>
    <xf numFmtId="0" fontId="3" fillId="0" borderId="0"/>
    <xf numFmtId="44" fontId="15" fillId="0" borderId="0" applyFont="0" applyFill="0" applyBorder="0" applyAlignment="0" applyProtection="0"/>
    <xf numFmtId="43" fontId="15" fillId="0" borderId="0" applyFont="0" applyFill="0" applyBorder="0" applyAlignment="0" applyProtection="0"/>
    <xf numFmtId="172" fontId="15" fillId="0" borderId="0" applyProtection="0"/>
    <xf numFmtId="0" fontId="22" fillId="0" borderId="0"/>
    <xf numFmtId="0" fontId="3" fillId="0" borderId="0"/>
    <xf numFmtId="0" fontId="3" fillId="0" borderId="0"/>
    <xf numFmtId="0" fontId="3" fillId="0" borderId="0"/>
    <xf numFmtId="0" fontId="3" fillId="0" borderId="0"/>
    <xf numFmtId="172" fontId="15" fillId="0" borderId="0" applyProtection="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4"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0" fontId="64" fillId="0" borderId="0"/>
    <xf numFmtId="0" fontId="2" fillId="0" borderId="0"/>
    <xf numFmtId="9" fontId="64"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0" fontId="2" fillId="0" borderId="0"/>
    <xf numFmtId="0" fontId="16" fillId="0" borderId="0"/>
    <xf numFmtId="44"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0" fontId="2" fillId="0" borderId="0"/>
    <xf numFmtId="0" fontId="2" fillId="0" borderId="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4" fontId="16" fillId="0" borderId="0" applyFont="0" applyFill="0" applyBorder="0" applyAlignment="0" applyProtection="0"/>
    <xf numFmtId="0" fontId="16" fillId="0" borderId="0"/>
    <xf numFmtId="0" fontId="2" fillId="0" borderId="0"/>
    <xf numFmtId="0" fontId="2" fillId="0" borderId="0"/>
    <xf numFmtId="0" fontId="2" fillId="0" borderId="0"/>
    <xf numFmtId="44" fontId="16" fillId="0" borderId="0" applyFont="0" applyFill="0" applyBorder="0" applyAlignment="0" applyProtection="0"/>
    <xf numFmtId="9" fontId="16"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43"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0" fontId="1" fillId="0" borderId="0"/>
    <xf numFmtId="0" fontId="1" fillId="0" borderId="0"/>
    <xf numFmtId="0" fontId="1" fillId="0" borderId="0"/>
    <xf numFmtId="9" fontId="16"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6" fillId="0" borderId="0" applyFont="0" applyFill="0" applyBorder="0" applyAlignment="0" applyProtection="0"/>
  </cellStyleXfs>
  <cellXfs count="487">
    <xf numFmtId="172" fontId="0" fillId="0" borderId="0" xfId="0" applyAlignment="1"/>
    <xf numFmtId="0" fontId="16" fillId="0" borderId="0" xfId="1" applyFont="1"/>
    <xf numFmtId="0" fontId="16" fillId="0" borderId="0" xfId="1"/>
    <xf numFmtId="0" fontId="18" fillId="0" borderId="0" xfId="1" applyFont="1" applyAlignment="1">
      <alignment horizontal="left"/>
    </xf>
    <xf numFmtId="14" fontId="18" fillId="0" borderId="0" xfId="1" applyNumberFormat="1" applyFont="1" applyAlignment="1">
      <alignment horizontal="left"/>
    </xf>
    <xf numFmtId="0" fontId="19" fillId="0" borderId="0" xfId="1" applyFont="1" applyBorder="1" applyAlignment="1">
      <alignment horizontal="left"/>
    </xf>
    <xf numFmtId="14" fontId="18" fillId="0" borderId="0" xfId="1" applyNumberFormat="1" applyFont="1" applyAlignment="1">
      <alignment horizontal="center"/>
    </xf>
    <xf numFmtId="173" fontId="16" fillId="0" borderId="5" xfId="3" applyNumberFormat="1" applyFont="1" applyBorder="1"/>
    <xf numFmtId="174" fontId="16" fillId="0" borderId="5" xfId="2" applyNumberFormat="1" applyFont="1" applyBorder="1"/>
    <xf numFmtId="174" fontId="16" fillId="0" borderId="3" xfId="2" applyNumberFormat="1" applyFont="1" applyBorder="1"/>
    <xf numFmtId="173" fontId="20" fillId="0" borderId="25" xfId="3" applyNumberFormat="1" applyFont="1" applyBorder="1"/>
    <xf numFmtId="0" fontId="23" fillId="0" borderId="0" xfId="1" applyFont="1"/>
    <xf numFmtId="0" fontId="23" fillId="0" borderId="0" xfId="1" applyFont="1" applyFill="1"/>
    <xf numFmtId="0" fontId="23" fillId="0" borderId="8" xfId="1" applyFont="1" applyBorder="1"/>
    <xf numFmtId="0" fontId="23" fillId="0" borderId="10" xfId="1" applyFont="1" applyBorder="1"/>
    <xf numFmtId="0" fontId="23" fillId="0" borderId="0" xfId="1" applyFont="1" applyBorder="1"/>
    <xf numFmtId="0" fontId="23" fillId="0" borderId="11" xfId="1" applyFont="1" applyBorder="1" applyAlignment="1">
      <alignment horizontal="center"/>
    </xf>
    <xf numFmtId="0" fontId="23" fillId="0" borderId="0" xfId="1" applyFont="1" applyBorder="1" applyAlignment="1">
      <alignment horizontal="center"/>
    </xf>
    <xf numFmtId="0" fontId="23" fillId="0" borderId="0" xfId="1" applyFont="1" applyBorder="1" applyAlignment="1">
      <alignment horizontal="left"/>
    </xf>
    <xf numFmtId="0" fontId="23" fillId="0" borderId="12" xfId="1" applyFont="1" applyBorder="1" applyAlignment="1">
      <alignment horizontal="center"/>
    </xf>
    <xf numFmtId="173" fontId="23" fillId="0" borderId="0" xfId="3" applyNumberFormat="1" applyFont="1"/>
    <xf numFmtId="173" fontId="23" fillId="0" borderId="0" xfId="3" applyNumberFormat="1" applyFont="1" applyBorder="1"/>
    <xf numFmtId="173" fontId="23" fillId="0" borderId="29" xfId="3" applyNumberFormat="1" applyFont="1" applyBorder="1"/>
    <xf numFmtId="173" fontId="25" fillId="0" borderId="0" xfId="92" applyNumberFormat="1" applyFont="1"/>
    <xf numFmtId="173" fontId="23" fillId="0" borderId="0" xfId="1" applyNumberFormat="1" applyFont="1"/>
    <xf numFmtId="173" fontId="23" fillId="0" borderId="0" xfId="3" applyNumberFormat="1" applyFont="1" applyFill="1"/>
    <xf numFmtId="173" fontId="23" fillId="0" borderId="0" xfId="1" applyNumberFormat="1" applyFont="1" applyBorder="1"/>
    <xf numFmtId="173" fontId="23" fillId="0" borderId="0" xfId="92" applyNumberFormat="1" applyFont="1" applyBorder="1"/>
    <xf numFmtId="0" fontId="16" fillId="0" borderId="11" xfId="1" applyFont="1" applyBorder="1" applyAlignment="1">
      <alignment horizontal="center"/>
    </xf>
    <xf numFmtId="0" fontId="16" fillId="0" borderId="12" xfId="1" applyFont="1" applyBorder="1" applyAlignment="1">
      <alignment horizontal="center"/>
    </xf>
    <xf numFmtId="0" fontId="16" fillId="0" borderId="5" xfId="1" applyFont="1" applyBorder="1" applyAlignment="1">
      <alignment horizontal="center"/>
    </xf>
    <xf numFmtId="0" fontId="20" fillId="0" borderId="11" xfId="1" applyFont="1" applyBorder="1" applyAlignment="1">
      <alignment horizontal="center"/>
    </xf>
    <xf numFmtId="0" fontId="16" fillId="0" borderId="13" xfId="1" applyFont="1" applyFill="1" applyBorder="1" applyAlignment="1">
      <alignment horizontal="center"/>
    </xf>
    <xf numFmtId="0" fontId="16" fillId="0" borderId="14" xfId="1" applyFont="1" applyBorder="1" applyAlignment="1">
      <alignment horizontal="center"/>
    </xf>
    <xf numFmtId="0" fontId="16" fillId="0" borderId="14" xfId="1" applyFont="1" applyBorder="1"/>
    <xf numFmtId="0" fontId="20" fillId="0" borderId="15" xfId="1" applyFont="1" applyFill="1" applyBorder="1"/>
    <xf numFmtId="0" fontId="20" fillId="0" borderId="18" xfId="1" applyFont="1" applyFill="1" applyBorder="1"/>
    <xf numFmtId="0" fontId="20" fillId="0" borderId="13" xfId="1" applyFont="1" applyFill="1" applyBorder="1" applyAlignment="1">
      <alignment horizontal="center"/>
    </xf>
    <xf numFmtId="0" fontId="20" fillId="0" borderId="11" xfId="1" applyFont="1" applyBorder="1"/>
    <xf numFmtId="0" fontId="20" fillId="0" borderId="19" xfId="1" applyFont="1" applyBorder="1"/>
    <xf numFmtId="0" fontId="20" fillId="0" borderId="13" xfId="1" applyFont="1" applyBorder="1" applyAlignment="1">
      <alignment horizontal="center"/>
    </xf>
    <xf numFmtId="174" fontId="16" fillId="0" borderId="13" xfId="2" applyNumberFormat="1" applyFont="1" applyFill="1" applyBorder="1"/>
    <xf numFmtId="0" fontId="20" fillId="0" borderId="7" xfId="1" applyFont="1" applyFill="1" applyBorder="1"/>
    <xf numFmtId="0" fontId="20" fillId="0" borderId="18" xfId="1" applyFont="1" applyBorder="1"/>
    <xf numFmtId="0" fontId="16" fillId="0" borderId="0" xfId="1" applyFont="1" applyFill="1"/>
    <xf numFmtId="0" fontId="20" fillId="0" borderId="21" xfId="1" applyFont="1" applyBorder="1"/>
    <xf numFmtId="173" fontId="20" fillId="0" borderId="16" xfId="3" applyNumberFormat="1" applyFont="1" applyFill="1" applyBorder="1"/>
    <xf numFmtId="37" fontId="20" fillId="0" borderId="16" xfId="2" applyNumberFormat="1" applyFont="1" applyBorder="1"/>
    <xf numFmtId="37" fontId="20" fillId="0" borderId="11" xfId="2" applyNumberFormat="1" applyFont="1" applyBorder="1"/>
    <xf numFmtId="174" fontId="20" fillId="0" borderId="16" xfId="2" applyNumberFormat="1" applyFont="1" applyBorder="1"/>
    <xf numFmtId="0" fontId="20" fillId="0" borderId="12" xfId="1" applyFont="1" applyBorder="1" applyAlignment="1">
      <alignment horizontal="center"/>
    </xf>
    <xf numFmtId="0" fontId="20" fillId="0" borderId="7" xfId="1" applyFont="1" applyBorder="1"/>
    <xf numFmtId="173" fontId="20" fillId="0" borderId="16" xfId="3" applyNumberFormat="1" applyFont="1" applyBorder="1"/>
    <xf numFmtId="0" fontId="16" fillId="0" borderId="0" xfId="1" applyAlignment="1">
      <alignment horizontal="left"/>
    </xf>
    <xf numFmtId="174" fontId="20" fillId="0" borderId="25" xfId="2" applyNumberFormat="1" applyFont="1" applyBorder="1"/>
    <xf numFmtId="0" fontId="20" fillId="0" borderId="24" xfId="1" applyFont="1" applyBorder="1"/>
    <xf numFmtId="0" fontId="16" fillId="0" borderId="23" xfId="1" applyFont="1" applyBorder="1" applyAlignment="1">
      <alignment horizontal="center"/>
    </xf>
    <xf numFmtId="0" fontId="16" fillId="0" borderId="24" xfId="1" applyFont="1" applyBorder="1"/>
    <xf numFmtId="173" fontId="20" fillId="0" borderId="26" xfId="3" applyNumberFormat="1" applyFont="1" applyBorder="1"/>
    <xf numFmtId="173" fontId="20" fillId="0" borderId="14" xfId="3" applyNumberFormat="1" applyFont="1" applyBorder="1"/>
    <xf numFmtId="174" fontId="20" fillId="0" borderId="14" xfId="2" applyNumberFormat="1" applyFont="1" applyBorder="1"/>
    <xf numFmtId="174" fontId="20" fillId="0" borderId="11" xfId="2" applyNumberFormat="1" applyFont="1" applyBorder="1"/>
    <xf numFmtId="173" fontId="20" fillId="0" borderId="27" xfId="3" applyNumberFormat="1" applyFont="1" applyBorder="1"/>
    <xf numFmtId="173" fontId="20" fillId="0" borderId="23" xfId="3" applyNumberFormat="1" applyFont="1" applyBorder="1"/>
    <xf numFmtId="0" fontId="20" fillId="0" borderId="14" xfId="1" applyFont="1" applyBorder="1"/>
    <xf numFmtId="173" fontId="20" fillId="0" borderId="12" xfId="3" applyNumberFormat="1" applyFont="1" applyBorder="1"/>
    <xf numFmtId="37" fontId="20" fillId="0" borderId="12" xfId="1" applyNumberFormat="1" applyFont="1" applyBorder="1"/>
    <xf numFmtId="174" fontId="16" fillId="0" borderId="17" xfId="2" applyNumberFormat="1" applyFont="1" applyBorder="1"/>
    <xf numFmtId="173" fontId="20" fillId="0" borderId="24" xfId="3" applyNumberFormat="1" applyFont="1" applyBorder="1"/>
    <xf numFmtId="0" fontId="16" fillId="0" borderId="10" xfId="1" applyFont="1" applyBorder="1" applyAlignment="1">
      <alignment horizontal="center"/>
    </xf>
    <xf numFmtId="37" fontId="16" fillId="0" borderId="0" xfId="1" applyNumberFormat="1" applyFont="1"/>
    <xf numFmtId="173" fontId="16" fillId="0" borderId="14" xfId="3" applyNumberFormat="1" applyFont="1" applyBorder="1"/>
    <xf numFmtId="173" fontId="16" fillId="0" borderId="14" xfId="3" applyNumberFormat="1" applyFont="1" applyFill="1" applyBorder="1"/>
    <xf numFmtId="174" fontId="16" fillId="0" borderId="11" xfId="2" applyNumberFormat="1" applyFont="1" applyFill="1" applyBorder="1"/>
    <xf numFmtId="173" fontId="16" fillId="0" borderId="11" xfId="3" applyNumberFormat="1" applyFont="1" applyBorder="1"/>
    <xf numFmtId="173" fontId="16" fillId="0" borderId="11" xfId="3" applyNumberFormat="1" applyFont="1" applyFill="1" applyBorder="1"/>
    <xf numFmtId="173" fontId="16" fillId="0" borderId="0" xfId="3" applyNumberFormat="1" applyFont="1"/>
    <xf numFmtId="173" fontId="16" fillId="0" borderId="0" xfId="3" applyNumberFormat="1" applyFont="1" applyFill="1"/>
    <xf numFmtId="174" fontId="16" fillId="0" borderId="14" xfId="2" applyNumberFormat="1" applyFont="1" applyFill="1" applyBorder="1"/>
    <xf numFmtId="173" fontId="16" fillId="0" borderId="12" xfId="3" applyNumberFormat="1" applyFont="1" applyBorder="1"/>
    <xf numFmtId="0" fontId="23" fillId="0" borderId="14" xfId="1" applyFont="1" applyBorder="1" applyAlignment="1">
      <alignment horizontal="center"/>
    </xf>
    <xf numFmtId="172" fontId="55" fillId="0" borderId="0" xfId="0" applyFont="1" applyAlignment="1"/>
    <xf numFmtId="0" fontId="6" fillId="0" borderId="0" xfId="98" applyFont="1" applyAlignment="1">
      <alignment horizontal="center"/>
    </xf>
    <xf numFmtId="0" fontId="55" fillId="0" borderId="0" xfId="91" applyNumberFormat="1" applyFont="1" applyAlignment="1">
      <alignment horizontal="center"/>
    </xf>
    <xf numFmtId="0" fontId="55" fillId="0" borderId="0" xfId="0" applyNumberFormat="1" applyFont="1" applyAlignment="1"/>
    <xf numFmtId="0" fontId="25" fillId="0" borderId="0" xfId="4" applyFont="1"/>
    <xf numFmtId="0" fontId="25" fillId="0" borderId="0" xfId="1" applyFont="1"/>
    <xf numFmtId="0" fontId="53" fillId="0" borderId="30" xfId="4" applyFont="1" applyFill="1" applyBorder="1"/>
    <xf numFmtId="0" fontId="53" fillId="0" borderId="30" xfId="4" applyFont="1" applyBorder="1"/>
    <xf numFmtId="0" fontId="53" fillId="0" borderId="0" xfId="4" applyFont="1"/>
    <xf numFmtId="0" fontId="25" fillId="0" borderId="0" xfId="1" applyFont="1" applyAlignment="1">
      <alignment horizontal="center"/>
    </xf>
    <xf numFmtId="173" fontId="25" fillId="0" borderId="0" xfId="92" applyNumberFormat="1" applyFont="1" applyFill="1"/>
    <xf numFmtId="0" fontId="53" fillId="0" borderId="0" xfId="1" applyFont="1"/>
    <xf numFmtId="173" fontId="25" fillId="0" borderId="28" xfId="92" applyNumberFormat="1" applyFont="1" applyFill="1" applyBorder="1"/>
    <xf numFmtId="0" fontId="25" fillId="0" borderId="0" xfId="4" applyFont="1" applyBorder="1"/>
    <xf numFmtId="174" fontId="25" fillId="0" borderId="0" xfId="91" applyNumberFormat="1" applyFont="1" applyBorder="1"/>
    <xf numFmtId="0" fontId="25" fillId="0" borderId="0" xfId="1" applyFont="1" applyBorder="1"/>
    <xf numFmtId="0" fontId="25" fillId="0" borderId="0" xfId="1" applyFont="1" applyFill="1" applyBorder="1"/>
    <xf numFmtId="173" fontId="25" fillId="0" borderId="0" xfId="92" applyNumberFormat="1" applyFont="1" applyFill="1" applyBorder="1"/>
    <xf numFmtId="0" fontId="53" fillId="0" borderId="0" xfId="1" applyFont="1" applyAlignment="1">
      <alignment horizontal="left"/>
    </xf>
    <xf numFmtId="173" fontId="53" fillId="0" borderId="28" xfId="92" applyNumberFormat="1" applyFont="1" applyFill="1" applyBorder="1"/>
    <xf numFmtId="0" fontId="60" fillId="0" borderId="0" xfId="1" applyFont="1" applyFill="1"/>
    <xf numFmtId="0" fontId="53" fillId="0" borderId="0" xfId="1" applyFont="1" applyFill="1"/>
    <xf numFmtId="0" fontId="25" fillId="0" borderId="0" xfId="1" applyFont="1" applyFill="1"/>
    <xf numFmtId="178" fontId="25" fillId="0" borderId="0" xfId="1" applyNumberFormat="1" applyFont="1" applyAlignment="1">
      <alignment horizontal="center"/>
    </xf>
    <xf numFmtId="0" fontId="25" fillId="0" borderId="0" xfId="1" quotePrefix="1" applyFont="1" applyAlignment="1">
      <alignment horizontal="center"/>
    </xf>
    <xf numFmtId="173" fontId="53" fillId="0" borderId="28" xfId="92" applyNumberFormat="1" applyFont="1" applyBorder="1"/>
    <xf numFmtId="173" fontId="23" fillId="0" borderId="0" xfId="92" applyNumberFormat="1" applyFont="1"/>
    <xf numFmtId="0" fontId="24" fillId="0" borderId="0" xfId="1" applyFont="1"/>
    <xf numFmtId="0" fontId="18" fillId="0" borderId="0" xfId="1" applyFont="1" applyAlignment="1">
      <alignment horizontal="center"/>
    </xf>
    <xf numFmtId="172" fontId="55" fillId="0" borderId="0" xfId="0" applyFont="1" applyFill="1" applyAlignment="1"/>
    <xf numFmtId="44" fontId="55" fillId="0" borderId="28" xfId="92" applyFont="1" applyFill="1" applyBorder="1" applyAlignment="1"/>
    <xf numFmtId="173" fontId="61" fillId="0" borderId="0" xfId="92" applyNumberFormat="1" applyFont="1" applyFill="1" applyAlignment="1"/>
    <xf numFmtId="173" fontId="61" fillId="0" borderId="28" xfId="92" applyNumberFormat="1" applyFont="1" applyFill="1" applyBorder="1" applyAlignment="1"/>
    <xf numFmtId="173" fontId="23" fillId="0" borderId="28" xfId="92" applyNumberFormat="1" applyFont="1" applyFill="1" applyBorder="1" applyAlignment="1"/>
    <xf numFmtId="172" fontId="7" fillId="0" borderId="0" xfId="196" applyFont="1" applyAlignment="1"/>
    <xf numFmtId="172" fontId="7" fillId="0" borderId="0" xfId="196" applyFont="1" applyAlignment="1">
      <alignment horizontal="right"/>
    </xf>
    <xf numFmtId="0" fontId="7" fillId="0" borderId="0" xfId="196" applyNumberFormat="1" applyFont="1" applyAlignment="1" applyProtection="1">
      <protection locked="0"/>
    </xf>
    <xf numFmtId="0" fontId="7" fillId="0" borderId="0" xfId="196" applyNumberFormat="1" applyFont="1" applyAlignment="1" applyProtection="1">
      <alignment horizontal="left"/>
      <protection locked="0"/>
    </xf>
    <xf numFmtId="0" fontId="7" fillId="0" borderId="0" xfId="196" applyNumberFormat="1" applyFont="1" applyProtection="1">
      <protection locked="0"/>
    </xf>
    <xf numFmtId="0" fontId="7" fillId="0" borderId="0" xfId="196" applyNumberFormat="1" applyFont="1"/>
    <xf numFmtId="0" fontId="7" fillId="0" borderId="0" xfId="196" applyNumberFormat="1" applyFont="1" applyAlignment="1">
      <alignment horizontal="right"/>
    </xf>
    <xf numFmtId="0" fontId="7" fillId="0" borderId="0" xfId="196" applyNumberFormat="1" applyFont="1" applyAlignment="1">
      <alignment horizontal="center"/>
    </xf>
    <xf numFmtId="0" fontId="7" fillId="2" borderId="0" xfId="196" applyNumberFormat="1" applyFont="1" applyFill="1" applyProtection="1">
      <protection locked="0"/>
    </xf>
    <xf numFmtId="172" fontId="7" fillId="2" borderId="0" xfId="196" applyFont="1" applyFill="1" applyAlignment="1"/>
    <xf numFmtId="0" fontId="7" fillId="2" borderId="0" xfId="196" applyNumberFormat="1" applyFont="1" applyFill="1"/>
    <xf numFmtId="0" fontId="7" fillId="2" borderId="0" xfId="196" applyNumberFormat="1" applyFont="1" applyFill="1" applyAlignment="1" applyProtection="1">
      <alignment horizontal="right"/>
      <protection locked="0"/>
    </xf>
    <xf numFmtId="3" fontId="7" fillId="0" borderId="0" xfId="196" applyNumberFormat="1" applyFont="1" applyAlignment="1"/>
    <xf numFmtId="0" fontId="7" fillId="0" borderId="0" xfId="196" applyNumberFormat="1" applyFont="1" applyAlignment="1" applyProtection="1">
      <alignment horizontal="center"/>
      <protection locked="0"/>
    </xf>
    <xf numFmtId="49" fontId="7" fillId="2" borderId="0" xfId="196" applyNumberFormat="1" applyFont="1" applyFill="1"/>
    <xf numFmtId="49" fontId="7" fillId="0" borderId="0" xfId="196" applyNumberFormat="1" applyFont="1"/>
    <xf numFmtId="0" fontId="7" fillId="0" borderId="1" xfId="196" applyNumberFormat="1" applyFont="1" applyBorder="1" applyAlignment="1" applyProtection="1">
      <alignment horizontal="center"/>
      <protection locked="0"/>
    </xf>
    <xf numFmtId="3" fontId="7" fillId="0" borderId="0" xfId="196" applyNumberFormat="1" applyFont="1"/>
    <xf numFmtId="42" fontId="7" fillId="0" borderId="0" xfId="196" applyNumberFormat="1" applyFont="1"/>
    <xf numFmtId="0" fontId="7" fillId="0" borderId="0" xfId="196" applyNumberFormat="1" applyFont="1" applyAlignment="1"/>
    <xf numFmtId="0" fontId="7" fillId="0" borderId="1" xfId="196" applyNumberFormat="1" applyFont="1" applyBorder="1" applyAlignment="1" applyProtection="1">
      <alignment horizontal="centerContinuous"/>
      <protection locked="0"/>
    </xf>
    <xf numFmtId="166" fontId="7" fillId="0" borderId="0" xfId="196" applyNumberFormat="1" applyFont="1" applyAlignment="1"/>
    <xf numFmtId="3" fontId="7" fillId="2" borderId="0" xfId="196" applyNumberFormat="1" applyFont="1" applyFill="1"/>
    <xf numFmtId="0" fontId="9" fillId="0" borderId="0" xfId="196" applyNumberFormat="1" applyFont="1"/>
    <xf numFmtId="3" fontId="7" fillId="0" borderId="1" xfId="196" applyNumberFormat="1" applyFont="1" applyBorder="1" applyAlignment="1"/>
    <xf numFmtId="3" fontId="7" fillId="0" borderId="0" xfId="196" applyNumberFormat="1" applyFont="1" applyAlignment="1">
      <alignment horizontal="fill"/>
    </xf>
    <xf numFmtId="42" fontId="7" fillId="0" borderId="2" xfId="196" applyNumberFormat="1" applyFont="1" applyBorder="1" applyAlignment="1" applyProtection="1">
      <alignment horizontal="right"/>
      <protection locked="0"/>
    </xf>
    <xf numFmtId="3" fontId="7" fillId="2" borderId="0" xfId="196" applyNumberFormat="1" applyFont="1" applyFill="1" applyBorder="1"/>
    <xf numFmtId="3" fontId="7" fillId="2" borderId="1" xfId="196" applyNumberFormat="1" applyFont="1" applyFill="1" applyBorder="1"/>
    <xf numFmtId="168" fontId="7" fillId="0" borderId="0" xfId="196" applyNumberFormat="1" applyFont="1"/>
    <xf numFmtId="168" fontId="7" fillId="0" borderId="0" xfId="196" applyNumberFormat="1" applyFont="1" applyAlignment="1">
      <alignment horizontal="center"/>
    </xf>
    <xf numFmtId="172" fontId="7" fillId="0" borderId="0" xfId="196" applyFont="1" applyAlignment="1">
      <alignment horizontal="center"/>
    </xf>
    <xf numFmtId="171" fontId="7" fillId="0" borderId="0" xfId="196" applyNumberFormat="1" applyFont="1" applyAlignment="1"/>
    <xf numFmtId="171" fontId="7" fillId="2" borderId="0" xfId="196" applyNumberFormat="1" applyFont="1" applyFill="1" applyProtection="1">
      <protection locked="0"/>
    </xf>
    <xf numFmtId="171" fontId="7" fillId="0" borderId="0" xfId="196" applyNumberFormat="1" applyFont="1" applyProtection="1">
      <protection locked="0"/>
    </xf>
    <xf numFmtId="0" fontId="7" fillId="0" borderId="0" xfId="196" applyNumberFormat="1" applyFont="1" applyAlignment="1">
      <alignment horizontal="left"/>
    </xf>
    <xf numFmtId="49" fontId="7" fillId="0" borderId="0" xfId="196" applyNumberFormat="1" applyFont="1" applyAlignment="1">
      <alignment horizontal="left"/>
    </xf>
    <xf numFmtId="49" fontId="7" fillId="0" borderId="0" xfId="196" applyNumberFormat="1" applyFont="1" applyAlignment="1">
      <alignment horizontal="center"/>
    </xf>
    <xf numFmtId="3" fontId="10" fillId="0" borderId="0" xfId="196" applyNumberFormat="1" applyFont="1" applyAlignment="1">
      <alignment horizontal="center"/>
    </xf>
    <xf numFmtId="0" fontId="10" fillId="0" borderId="0" xfId="196" applyNumberFormat="1" applyFont="1" applyAlignment="1" applyProtection="1">
      <alignment horizontal="center"/>
      <protection locked="0"/>
    </xf>
    <xf numFmtId="0" fontId="10" fillId="0" borderId="0" xfId="196" applyNumberFormat="1" applyFont="1" applyAlignment="1"/>
    <xf numFmtId="172" fontId="10" fillId="0" borderId="0" xfId="196" applyFont="1" applyAlignment="1">
      <alignment horizontal="center"/>
    </xf>
    <xf numFmtId="3" fontId="10" fillId="0" borderId="0" xfId="196" applyNumberFormat="1" applyFont="1" applyAlignment="1"/>
    <xf numFmtId="3" fontId="7" fillId="2" borderId="0" xfId="196" applyNumberFormat="1" applyFont="1" applyFill="1" applyBorder="1" applyAlignment="1"/>
    <xf numFmtId="165" fontId="7" fillId="0" borderId="0" xfId="196" applyNumberFormat="1" applyFont="1" applyAlignment="1"/>
    <xf numFmtId="0" fontId="7" fillId="0" borderId="0" xfId="215" applyNumberFormat="1" applyFont="1" applyAlignment="1"/>
    <xf numFmtId="3" fontId="7" fillId="2" borderId="1" xfId="196" applyNumberFormat="1" applyFont="1" applyFill="1" applyBorder="1" applyAlignment="1"/>
    <xf numFmtId="164" fontId="7" fillId="0" borderId="0" xfId="196" applyNumberFormat="1" applyFont="1" applyAlignment="1">
      <alignment horizontal="center"/>
    </xf>
    <xf numFmtId="3" fontId="7" fillId="2" borderId="0" xfId="196" applyNumberFormat="1" applyFont="1" applyFill="1" applyAlignment="1"/>
    <xf numFmtId="165" fontId="7" fillId="0" borderId="0" xfId="196" applyNumberFormat="1" applyFont="1" applyAlignment="1">
      <alignment horizontal="right"/>
    </xf>
    <xf numFmtId="3" fontId="7" fillId="0" borderId="0" xfId="196" applyNumberFormat="1" applyFont="1" applyAlignment="1">
      <alignment horizontal="center"/>
    </xf>
    <xf numFmtId="0" fontId="7" fillId="0" borderId="0" xfId="1" applyNumberFormat="1" applyFont="1" applyAlignment="1"/>
    <xf numFmtId="172" fontId="7" fillId="0" borderId="1" xfId="196" applyFont="1" applyBorder="1" applyAlignment="1"/>
    <xf numFmtId="3" fontId="7" fillId="0" borderId="2" xfId="196" applyNumberFormat="1" applyFont="1" applyBorder="1" applyAlignment="1"/>
    <xf numFmtId="3" fontId="7" fillId="0" borderId="0" xfId="196" applyNumberFormat="1" applyFont="1" applyAlignment="1">
      <alignment horizontal="right"/>
    </xf>
    <xf numFmtId="0" fontId="7" fillId="0" borderId="0" xfId="196" applyNumberFormat="1" applyFont="1" applyFill="1" applyAlignment="1" applyProtection="1">
      <alignment horizontal="center"/>
      <protection locked="0"/>
    </xf>
    <xf numFmtId="0" fontId="7" fillId="0" borderId="0" xfId="196" applyNumberFormat="1" applyFont="1" applyFill="1" applyAlignment="1"/>
    <xf numFmtId="172" fontId="7" fillId="0" borderId="0" xfId="196" applyFont="1" applyFill="1" applyAlignment="1"/>
    <xf numFmtId="3" fontId="14" fillId="0" borderId="0" xfId="196" applyNumberFormat="1" applyFont="1" applyAlignment="1"/>
    <xf numFmtId="3" fontId="7" fillId="0" borderId="0" xfId="196" applyNumberFormat="1" applyFont="1" applyFill="1" applyAlignment="1"/>
    <xf numFmtId="166" fontId="7" fillId="0" borderId="0" xfId="196" applyNumberFormat="1" applyFont="1" applyAlignment="1">
      <alignment horizontal="right"/>
    </xf>
    <xf numFmtId="166" fontId="7" fillId="0" borderId="0" xfId="196" applyNumberFormat="1" applyFont="1" applyAlignment="1">
      <alignment horizontal="center"/>
    </xf>
    <xf numFmtId="10" fontId="7" fillId="0" borderId="0" xfId="196" applyNumberFormat="1" applyFont="1" applyFill="1" applyAlignment="1">
      <alignment horizontal="right"/>
    </xf>
    <xf numFmtId="169" fontId="7" fillId="0" borderId="0" xfId="196" applyNumberFormat="1" applyFont="1" applyFill="1" applyAlignment="1">
      <alignment horizontal="right"/>
    </xf>
    <xf numFmtId="3" fontId="7" fillId="0" borderId="0" xfId="196" applyNumberFormat="1" applyFont="1" applyFill="1" applyAlignment="1">
      <alignment horizontal="right"/>
    </xf>
    <xf numFmtId="3" fontId="7" fillId="0" borderId="0" xfId="196" applyNumberFormat="1" applyFont="1" applyBorder="1" applyAlignment="1"/>
    <xf numFmtId="0" fontId="7" fillId="2" borderId="0" xfId="196" applyNumberFormat="1" applyFont="1" applyFill="1" applyBorder="1" applyAlignment="1"/>
    <xf numFmtId="0" fontId="7" fillId="2" borderId="1" xfId="196" applyNumberFormat="1" applyFont="1" applyFill="1" applyBorder="1" applyAlignment="1"/>
    <xf numFmtId="3" fontId="7" fillId="0" borderId="2" xfId="196" applyNumberFormat="1" applyFont="1" applyFill="1" applyBorder="1" applyAlignment="1"/>
    <xf numFmtId="0" fontId="7" fillId="0" borderId="0" xfId="196" applyNumberFormat="1" applyFont="1" applyFill="1"/>
    <xf numFmtId="0" fontId="8" fillId="0" borderId="0" xfId="196" applyNumberFormat="1" applyFont="1" applyAlignment="1" applyProtection="1">
      <alignment horizontal="center"/>
      <protection locked="0"/>
    </xf>
    <xf numFmtId="172" fontId="8" fillId="0" borderId="0" xfId="196" applyFont="1" applyAlignment="1"/>
    <xf numFmtId="3" fontId="8" fillId="0" borderId="0" xfId="196" applyNumberFormat="1" applyFont="1" applyAlignment="1"/>
    <xf numFmtId="0" fontId="8" fillId="0" borderId="0" xfId="196" applyNumberFormat="1" applyFont="1"/>
    <xf numFmtId="0" fontId="11" fillId="0" borderId="0" xfId="196" applyNumberFormat="1" applyFont="1"/>
    <xf numFmtId="49" fontId="7" fillId="0" borderId="0" xfId="196" applyNumberFormat="1" applyFont="1" applyAlignment="1"/>
    <xf numFmtId="172" fontId="13" fillId="0" borderId="0" xfId="196" applyFont="1" applyAlignment="1"/>
    <xf numFmtId="165" fontId="7" fillId="0" borderId="0" xfId="196" applyNumberFormat="1" applyFont="1"/>
    <xf numFmtId="166" fontId="7" fillId="0" borderId="0" xfId="196" applyNumberFormat="1" applyFont="1"/>
    <xf numFmtId="3" fontId="7" fillId="0" borderId="1" xfId="196" applyNumberFormat="1" applyFont="1" applyBorder="1" applyAlignment="1">
      <alignment horizontal="center"/>
    </xf>
    <xf numFmtId="4" fontId="7" fillId="0" borderId="0" xfId="196" applyNumberFormat="1" applyFont="1" applyAlignment="1"/>
    <xf numFmtId="3" fontId="7" fillId="0" borderId="0" xfId="196" applyNumberFormat="1" applyFont="1" applyBorder="1" applyAlignment="1">
      <alignment horizontal="center"/>
    </xf>
    <xf numFmtId="166" fontId="7" fillId="0" borderId="0" xfId="196" applyNumberFormat="1" applyFont="1" applyAlignment="1" applyProtection="1">
      <alignment horizontal="center"/>
      <protection locked="0"/>
    </xf>
    <xf numFmtId="170" fontId="7" fillId="2" borderId="0" xfId="196" applyNumberFormat="1" applyFont="1" applyFill="1" applyAlignment="1"/>
    <xf numFmtId="9" fontId="7" fillId="0" borderId="0" xfId="196" applyNumberFormat="1" applyFont="1" applyAlignment="1"/>
    <xf numFmtId="169" fontId="7" fillId="0" borderId="0" xfId="196" applyNumberFormat="1" applyFont="1" applyAlignment="1"/>
    <xf numFmtId="10" fontId="7" fillId="0" borderId="0" xfId="196" applyNumberFormat="1" applyFont="1" applyAlignment="1"/>
    <xf numFmtId="3" fontId="7" fillId="0" borderId="0" xfId="196" quotePrefix="1" applyNumberFormat="1" applyFont="1" applyAlignment="1"/>
    <xf numFmtId="9" fontId="7" fillId="0" borderId="1" xfId="196" applyNumberFormat="1" applyFont="1" applyBorder="1" applyAlignment="1"/>
    <xf numFmtId="169" fontId="7" fillId="0" borderId="1" xfId="196" applyNumberFormat="1" applyFont="1" applyBorder="1" applyAlignment="1"/>
    <xf numFmtId="9" fontId="7" fillId="0" borderId="0" xfId="196" applyNumberFormat="1" applyFont="1" applyFill="1" applyAlignment="1"/>
    <xf numFmtId="10" fontId="7" fillId="2" borderId="0" xfId="196" applyNumberFormat="1" applyFont="1" applyFill="1" applyAlignment="1"/>
    <xf numFmtId="0" fontId="8" fillId="0" borderId="0" xfId="196" applyNumberFormat="1" applyFont="1" applyProtection="1">
      <protection locked="0"/>
    </xf>
    <xf numFmtId="172" fontId="7" fillId="0" borderId="0" xfId="196" applyFont="1" applyFill="1" applyAlignment="1" applyProtection="1"/>
    <xf numFmtId="0" fontId="7" fillId="0" borderId="0" xfId="196" applyNumberFormat="1" applyFont="1" applyBorder="1" applyProtection="1">
      <protection locked="0"/>
    </xf>
    <xf numFmtId="171" fontId="7" fillId="0" borderId="0" xfId="196" applyNumberFormat="1" applyFont="1" applyBorder="1" applyProtection="1">
      <protection locked="0"/>
    </xf>
    <xf numFmtId="170" fontId="7" fillId="0" borderId="0" xfId="196" applyNumberFormat="1" applyFont="1" applyFill="1" applyBorder="1" applyProtection="1"/>
    <xf numFmtId="170" fontId="7" fillId="2" borderId="0" xfId="196" applyNumberFormat="1" applyFont="1" applyFill="1" applyBorder="1" applyProtection="1"/>
    <xf numFmtId="170" fontId="7" fillId="2" borderId="0" xfId="196" applyNumberFormat="1" applyFont="1" applyFill="1" applyBorder="1" applyAlignment="1" applyProtection="1">
      <protection locked="0"/>
    </xf>
    <xf numFmtId="3" fontId="9" fillId="0" borderId="0" xfId="196" applyNumberFormat="1" applyFont="1" applyAlignment="1">
      <alignment horizontal="left"/>
    </xf>
    <xf numFmtId="170" fontId="7" fillId="2" borderId="1" xfId="196" applyNumberFormat="1" applyFont="1" applyFill="1" applyBorder="1" applyAlignment="1" applyProtection="1">
      <protection locked="0"/>
    </xf>
    <xf numFmtId="170" fontId="7" fillId="0" borderId="0" xfId="196" applyNumberFormat="1" applyFont="1" applyFill="1" applyBorder="1" applyAlignment="1" applyProtection="1"/>
    <xf numFmtId="172" fontId="7" fillId="0" borderId="0" xfId="196" applyNumberFormat="1" applyFont="1" applyAlignment="1" applyProtection="1">
      <protection locked="0"/>
    </xf>
    <xf numFmtId="3" fontId="7" fillId="0" borderId="0" xfId="196" applyNumberFormat="1" applyFont="1" applyProtection="1">
      <protection locked="0"/>
    </xf>
    <xf numFmtId="170" fontId="7" fillId="0" borderId="0" xfId="196" applyNumberFormat="1" applyFont="1" applyAlignment="1" applyProtection="1">
      <alignment horizontal="right"/>
      <protection locked="0"/>
    </xf>
    <xf numFmtId="170" fontId="7" fillId="0" borderId="0" xfId="196" applyNumberFormat="1" applyFont="1" applyProtection="1">
      <protection locked="0"/>
    </xf>
    <xf numFmtId="3" fontId="7" fillId="0" borderId="0" xfId="196" applyNumberFormat="1" applyFont="1" applyFill="1" applyAlignment="1" applyProtection="1"/>
    <xf numFmtId="0" fontId="7" fillId="0" borderId="0" xfId="196" applyNumberFormat="1" applyFont="1" applyAlignment="1" applyProtection="1">
      <alignment horizontal="left" indent="8"/>
      <protection locked="0"/>
    </xf>
    <xf numFmtId="173" fontId="25" fillId="0" borderId="28" xfId="92" applyNumberFormat="1" applyFont="1" applyBorder="1"/>
    <xf numFmtId="0" fontId="16" fillId="0" borderId="3" xfId="1" applyFont="1" applyBorder="1" applyAlignment="1">
      <alignment horizontal="center"/>
    </xf>
    <xf numFmtId="0" fontId="16" fillId="0" borderId="13" xfId="1" applyFont="1" applyBorder="1"/>
    <xf numFmtId="0" fontId="16" fillId="0" borderId="0" xfId="1" applyFont="1" applyBorder="1"/>
    <xf numFmtId="37" fontId="16" fillId="0" borderId="11" xfId="1" applyNumberFormat="1" applyFont="1" applyBorder="1"/>
    <xf numFmtId="37" fontId="16" fillId="0" borderId="3" xfId="1" applyNumberFormat="1" applyFont="1" applyBorder="1"/>
    <xf numFmtId="0" fontId="16" fillId="0" borderId="12" xfId="1" applyFont="1" applyBorder="1"/>
    <xf numFmtId="0" fontId="16" fillId="0" borderId="4" xfId="1" applyFont="1" applyBorder="1"/>
    <xf numFmtId="0" fontId="16" fillId="0" borderId="4" xfId="1" applyFont="1" applyBorder="1" applyAlignment="1">
      <alignment horizontal="left" indent="1"/>
    </xf>
    <xf numFmtId="0" fontId="16" fillId="0" borderId="13" xfId="1" applyFont="1" applyFill="1" applyBorder="1"/>
    <xf numFmtId="0" fontId="16" fillId="0" borderId="0" xfId="1" applyFont="1" applyFill="1" applyBorder="1"/>
    <xf numFmtId="0" fontId="16" fillId="0" borderId="4" xfId="1" applyFont="1" applyFill="1" applyBorder="1" applyAlignment="1">
      <alignment horizontal="left" indent="1"/>
    </xf>
    <xf numFmtId="0" fontId="16" fillId="0" borderId="14" xfId="1" applyFont="1" applyFill="1" applyBorder="1"/>
    <xf numFmtId="0" fontId="16" fillId="0" borderId="28" xfId="1" applyFont="1" applyFill="1" applyBorder="1"/>
    <xf numFmtId="0" fontId="16" fillId="0" borderId="28" xfId="1" applyFont="1" applyBorder="1"/>
    <xf numFmtId="0" fontId="16" fillId="0" borderId="3" xfId="1" applyFont="1" applyBorder="1"/>
    <xf numFmtId="0" fontId="16" fillId="0" borderId="5" xfId="1" applyFont="1" applyBorder="1" applyAlignment="1">
      <alignment horizontal="left" indent="1"/>
    </xf>
    <xf numFmtId="0" fontId="16" fillId="0" borderId="17" xfId="1" applyFont="1" applyBorder="1"/>
    <xf numFmtId="0" fontId="16" fillId="0" borderId="7" xfId="1" applyFont="1" applyBorder="1"/>
    <xf numFmtId="37" fontId="16" fillId="0" borderId="4" xfId="1" applyNumberFormat="1" applyFont="1" applyBorder="1"/>
    <xf numFmtId="0" fontId="16" fillId="0" borderId="13" xfId="1" applyFont="1" applyBorder="1" applyAlignment="1">
      <alignment horizontal="center"/>
    </xf>
    <xf numFmtId="0" fontId="16" fillId="0" borderId="12" xfId="1" applyFont="1" applyBorder="1" applyAlignment="1">
      <alignment horizontal="left" indent="1"/>
    </xf>
    <xf numFmtId="37" fontId="16" fillId="0" borderId="14" xfId="2" applyNumberFormat="1" applyFont="1" applyBorder="1"/>
    <xf numFmtId="0" fontId="16" fillId="0" borderId="13" xfId="1" applyFont="1" applyBorder="1" applyAlignment="1">
      <alignment horizontal="left" indent="1"/>
    </xf>
    <xf numFmtId="37" fontId="16" fillId="0" borderId="13" xfId="2" applyNumberFormat="1" applyFont="1" applyBorder="1"/>
    <xf numFmtId="0" fontId="16" fillId="0" borderId="17" xfId="1" applyFont="1" applyFill="1" applyBorder="1" applyAlignment="1">
      <alignment horizontal="center"/>
    </xf>
    <xf numFmtId="0" fontId="16" fillId="0" borderId="11" xfId="1" applyFont="1" applyFill="1" applyBorder="1" applyAlignment="1">
      <alignment horizontal="center"/>
    </xf>
    <xf numFmtId="37" fontId="16" fillId="0" borderId="3" xfId="2" applyNumberFormat="1" applyFont="1" applyBorder="1"/>
    <xf numFmtId="0" fontId="16" fillId="0" borderId="6" xfId="1" applyFont="1" applyBorder="1"/>
    <xf numFmtId="0" fontId="16" fillId="0" borderId="9" xfId="1" applyFont="1" applyBorder="1" applyAlignment="1">
      <alignment horizontal="center"/>
    </xf>
    <xf numFmtId="174" fontId="16" fillId="0" borderId="12" xfId="2" applyNumberFormat="1" applyFont="1" applyBorder="1"/>
    <xf numFmtId="0" fontId="16" fillId="0" borderId="12" xfId="1" applyFont="1" applyFill="1" applyBorder="1" applyAlignment="1">
      <alignment horizontal="left" indent="1"/>
    </xf>
    <xf numFmtId="174" fontId="16" fillId="0" borderId="11" xfId="2" applyNumberFormat="1" applyFont="1" applyBorder="1"/>
    <xf numFmtId="174" fontId="16" fillId="0" borderId="14" xfId="2" applyNumberFormat="1" applyFont="1" applyBorder="1"/>
    <xf numFmtId="174" fontId="16" fillId="0" borderId="12" xfId="2" applyNumberFormat="1" applyFont="1" applyFill="1" applyBorder="1"/>
    <xf numFmtId="0" fontId="16" fillId="0" borderId="14" xfId="1" applyFont="1" applyFill="1" applyBorder="1" applyAlignment="1">
      <alignment horizontal="center"/>
    </xf>
    <xf numFmtId="174" fontId="16" fillId="0" borderId="13" xfId="2" applyNumberFormat="1" applyFont="1" applyBorder="1"/>
    <xf numFmtId="0" fontId="16" fillId="0" borderId="12" xfId="1" applyFont="1" applyFill="1" applyBorder="1" applyAlignment="1">
      <alignment horizontal="center"/>
    </xf>
    <xf numFmtId="0" fontId="16" fillId="0" borderId="12" xfId="1" quotePrefix="1" applyFont="1" applyBorder="1" applyAlignment="1">
      <alignment horizontal="left" indent="1"/>
    </xf>
    <xf numFmtId="0" fontId="16" fillId="0" borderId="20" xfId="1" applyFont="1" applyBorder="1" applyAlignment="1">
      <alignment horizontal="center"/>
    </xf>
    <xf numFmtId="0" fontId="16" fillId="0" borderId="22" xfId="1" applyFont="1" applyBorder="1" applyAlignment="1">
      <alignment horizontal="center"/>
    </xf>
    <xf numFmtId="37" fontId="16" fillId="0" borderId="0" xfId="1" applyNumberFormat="1" applyFont="1" applyBorder="1"/>
    <xf numFmtId="174" fontId="16" fillId="0" borderId="0" xfId="91" applyNumberFormat="1" applyFont="1"/>
    <xf numFmtId="174" fontId="16" fillId="0" borderId="0" xfId="1" applyNumberFormat="1" applyFont="1"/>
    <xf numFmtId="174" fontId="20" fillId="0" borderId="0" xfId="91" applyNumberFormat="1" applyFont="1"/>
    <xf numFmtId="0" fontId="16" fillId="0" borderId="0" xfId="1" applyFont="1" applyAlignment="1">
      <alignment horizontal="left"/>
    </xf>
    <xf numFmtId="173" fontId="16" fillId="0" borderId="5" xfId="3" applyNumberFormat="1" applyFont="1" applyFill="1" applyBorder="1"/>
    <xf numFmtId="174" fontId="16" fillId="0" borderId="17" xfId="2" applyNumberFormat="1" applyFont="1" applyFill="1" applyBorder="1"/>
    <xf numFmtId="174" fontId="16" fillId="0" borderId="5" xfId="2" applyNumberFormat="1" applyFont="1" applyFill="1" applyBorder="1"/>
    <xf numFmtId="174" fontId="16" fillId="0" borderId="5" xfId="2" applyNumberFormat="1" applyFont="1" applyBorder="1" applyAlignment="1">
      <alignment horizontal="right"/>
    </xf>
    <xf numFmtId="174" fontId="16" fillId="0" borderId="3" xfId="2" applyNumberFormat="1" applyFont="1" applyBorder="1" applyAlignment="1">
      <alignment horizontal="right"/>
    </xf>
    <xf numFmtId="174" fontId="16" fillId="0" borderId="3" xfId="2" applyNumberFormat="1" applyFont="1" applyFill="1" applyBorder="1"/>
    <xf numFmtId="174" fontId="16" fillId="0" borderId="17" xfId="2" applyNumberFormat="1" applyFont="1" applyBorder="1" applyAlignment="1">
      <alignment horizontal="right"/>
    </xf>
    <xf numFmtId="37" fontId="16" fillId="0" borderId="3" xfId="1" applyNumberFormat="1" applyFont="1" applyBorder="1" applyAlignment="1">
      <alignment horizontal="right"/>
    </xf>
    <xf numFmtId="37" fontId="16" fillId="0" borderId="5" xfId="1" applyNumberFormat="1" applyFont="1" applyBorder="1"/>
    <xf numFmtId="179" fontId="25" fillId="0" borderId="0" xfId="92" applyNumberFormat="1" applyFont="1" applyFill="1" applyBorder="1"/>
    <xf numFmtId="174" fontId="25" fillId="0" borderId="0" xfId="91" applyNumberFormat="1" applyFont="1" applyFill="1"/>
    <xf numFmtId="173" fontId="25" fillId="0" borderId="4" xfId="92" applyNumberFormat="1" applyFont="1" applyBorder="1"/>
    <xf numFmtId="0" fontId="16" fillId="0" borderId="11" xfId="1" applyFont="1" applyBorder="1"/>
    <xf numFmtId="0" fontId="16" fillId="0" borderId="10" xfId="1" applyFont="1" applyBorder="1"/>
    <xf numFmtId="0" fontId="16" fillId="0" borderId="5" xfId="1" applyFont="1" applyBorder="1"/>
    <xf numFmtId="173" fontId="16" fillId="0" borderId="0" xfId="1" applyNumberFormat="1" applyFont="1"/>
    <xf numFmtId="0" fontId="7" fillId="7" borderId="0" xfId="196" applyNumberFormat="1" applyFont="1" applyFill="1"/>
    <xf numFmtId="37" fontId="16" fillId="0" borderId="10" xfId="1" applyNumberFormat="1" applyFont="1" applyFill="1" applyBorder="1"/>
    <xf numFmtId="0" fontId="7" fillId="0" borderId="0" xfId="1" applyNumberFormat="1" applyFont="1" applyFill="1" applyAlignment="1"/>
    <xf numFmtId="0" fontId="23" fillId="0" borderId="0" xfId="222" applyFont="1"/>
    <xf numFmtId="0" fontId="23" fillId="0" borderId="0" xfId="222" applyFont="1" applyAlignment="1">
      <alignment horizontal="center"/>
    </xf>
    <xf numFmtId="0" fontId="23" fillId="0" borderId="4" xfId="222" applyFont="1" applyBorder="1" applyAlignment="1">
      <alignment horizontal="center"/>
    </xf>
    <xf numFmtId="173" fontId="23" fillId="0" borderId="4" xfId="92" applyNumberFormat="1" applyFont="1" applyBorder="1"/>
    <xf numFmtId="173" fontId="23" fillId="0" borderId="0" xfId="222" applyNumberFormat="1" applyFont="1"/>
    <xf numFmtId="0" fontId="23" fillId="0" borderId="0" xfId="1" applyNumberFormat="1" applyFont="1"/>
    <xf numFmtId="173" fontId="23" fillId="0" borderId="0" xfId="3" applyNumberFormat="1" applyFont="1" applyFill="1" applyBorder="1"/>
    <xf numFmtId="173" fontId="23" fillId="0" borderId="29" xfId="3" applyNumberFormat="1" applyFont="1" applyFill="1" applyBorder="1"/>
    <xf numFmtId="173" fontId="23" fillId="0" borderId="0" xfId="1" applyNumberFormat="1" applyFont="1" applyFill="1"/>
    <xf numFmtId="172" fontId="7" fillId="0" borderId="0" xfId="264" applyFont="1" applyAlignment="1"/>
    <xf numFmtId="0" fontId="7" fillId="0" borderId="0" xfId="264" applyNumberFormat="1" applyFont="1" applyAlignment="1" applyProtection="1">
      <alignment horizontal="center"/>
      <protection locked="0"/>
    </xf>
    <xf numFmtId="3" fontId="7" fillId="7" borderId="0" xfId="264" applyNumberFormat="1" applyFont="1" applyFill="1" applyAlignment="1"/>
    <xf numFmtId="3" fontId="7" fillId="0" borderId="0" xfId="264" applyNumberFormat="1" applyFont="1" applyBorder="1" applyAlignment="1"/>
    <xf numFmtId="3" fontId="7" fillId="7" borderId="1" xfId="264" applyNumberFormat="1" applyFont="1" applyFill="1" applyBorder="1" applyAlignment="1"/>
    <xf numFmtId="0" fontId="24" fillId="0" borderId="0" xfId="1" applyFont="1" applyFill="1"/>
    <xf numFmtId="173" fontId="23" fillId="0" borderId="0" xfId="92" applyNumberFormat="1" applyFont="1" applyFill="1"/>
    <xf numFmtId="0" fontId="10" fillId="0" borderId="0" xfId="1" applyFont="1" applyAlignment="1"/>
    <xf numFmtId="0" fontId="16" fillId="0" borderId="0" xfId="273"/>
    <xf numFmtId="0" fontId="7" fillId="0" borderId="0" xfId="196" applyNumberFormat="1" applyFont="1"/>
    <xf numFmtId="3" fontId="7" fillId="0" borderId="0" xfId="196" applyNumberFormat="1" applyFont="1" applyAlignment="1"/>
    <xf numFmtId="0" fontId="7" fillId="0" borderId="0" xfId="196" applyNumberFormat="1" applyFont="1" applyAlignment="1"/>
    <xf numFmtId="0" fontId="16" fillId="0" borderId="0" xfId="307"/>
    <xf numFmtId="0" fontId="7" fillId="0" borderId="0" xfId="196" applyNumberFormat="1" applyFont="1"/>
    <xf numFmtId="3" fontId="7" fillId="0" borderId="0" xfId="196" applyNumberFormat="1" applyFont="1" applyAlignment="1"/>
    <xf numFmtId="0" fontId="7" fillId="0" borderId="0" xfId="196" applyNumberFormat="1" applyFont="1" applyAlignment="1" applyProtection="1">
      <protection locked="0"/>
    </xf>
    <xf numFmtId="0" fontId="7" fillId="0" borderId="0" xfId="196" applyNumberFormat="1" applyFont="1" applyAlignment="1"/>
    <xf numFmtId="3" fontId="7" fillId="0" borderId="0" xfId="196" applyNumberFormat="1" applyFont="1"/>
    <xf numFmtId="3" fontId="7" fillId="0" borderId="0" xfId="196" applyNumberFormat="1" applyFont="1" applyFill="1" applyBorder="1"/>
    <xf numFmtId="0" fontId="7" fillId="0" borderId="0" xfId="196" applyNumberFormat="1" applyFont="1"/>
    <xf numFmtId="0" fontId="7" fillId="0" borderId="0" xfId="196" applyNumberFormat="1" applyFont="1" applyAlignment="1"/>
    <xf numFmtId="0" fontId="16" fillId="0" borderId="0" xfId="299"/>
    <xf numFmtId="172" fontId="7" fillId="0" borderId="0" xfId="196" applyFont="1" applyAlignment="1"/>
    <xf numFmtId="0" fontId="7" fillId="0" borderId="0" xfId="196" applyNumberFormat="1" applyFont="1"/>
    <xf numFmtId="3" fontId="7" fillId="0" borderId="0" xfId="196" applyNumberFormat="1" applyFont="1" applyAlignment="1"/>
    <xf numFmtId="0" fontId="7" fillId="0" borderId="0" xfId="196" applyNumberFormat="1" applyFont="1" applyAlignment="1" applyProtection="1">
      <protection locked="0"/>
    </xf>
    <xf numFmtId="0" fontId="7" fillId="0" borderId="0" xfId="196" applyNumberFormat="1" applyFont="1" applyAlignment="1"/>
    <xf numFmtId="0" fontId="16" fillId="0" borderId="0" xfId="290"/>
    <xf numFmtId="172" fontId="7" fillId="0" borderId="0" xfId="196" applyFont="1" applyAlignment="1"/>
    <xf numFmtId="172" fontId="7" fillId="0" borderId="0" xfId="196" applyFont="1" applyFill="1" applyAlignment="1"/>
    <xf numFmtId="3" fontId="7" fillId="0" borderId="0" xfId="196" applyNumberFormat="1" applyFont="1" applyAlignment="1"/>
    <xf numFmtId="0" fontId="7" fillId="0" borderId="0" xfId="196" applyNumberFormat="1" applyFont="1" applyAlignment="1"/>
    <xf numFmtId="3" fontId="7" fillId="0" borderId="0" xfId="196" applyNumberFormat="1" applyFont="1" applyFill="1" applyAlignment="1"/>
    <xf numFmtId="0" fontId="7" fillId="0" borderId="0" xfId="196" applyNumberFormat="1" applyFont="1" applyFill="1" applyAlignment="1"/>
    <xf numFmtId="0" fontId="16" fillId="0" borderId="0" xfId="309"/>
    <xf numFmtId="172" fontId="7" fillId="0" borderId="0" xfId="196" applyFont="1" applyAlignment="1"/>
    <xf numFmtId="172" fontId="7" fillId="0" borderId="0" xfId="196" applyFont="1" applyFill="1" applyAlignment="1"/>
    <xf numFmtId="3" fontId="7" fillId="0" borderId="0" xfId="196" applyNumberFormat="1" applyFont="1" applyAlignment="1"/>
    <xf numFmtId="0" fontId="7" fillId="0" borderId="0" xfId="196" applyNumberFormat="1" applyFont="1" applyAlignment="1"/>
    <xf numFmtId="164" fontId="7" fillId="0" borderId="0" xfId="196" applyNumberFormat="1" applyFont="1" applyAlignment="1">
      <alignment horizontal="center"/>
    </xf>
    <xf numFmtId="164" fontId="7" fillId="0" borderId="0" xfId="196" applyNumberFormat="1" applyFont="1" applyAlignment="1" applyProtection="1">
      <alignment horizontal="left"/>
      <protection locked="0"/>
    </xf>
    <xf numFmtId="167" fontId="7" fillId="0" borderId="0" xfId="196" applyNumberFormat="1" applyFont="1" applyAlignment="1"/>
    <xf numFmtId="10" fontId="7" fillId="0" borderId="0" xfId="196" applyNumberFormat="1" applyFont="1" applyAlignment="1">
      <alignment horizontal="left"/>
    </xf>
    <xf numFmtId="164" fontId="7" fillId="0" borderId="0" xfId="196" applyNumberFormat="1" applyFont="1" applyAlignment="1">
      <alignment horizontal="left"/>
    </xf>
    <xf numFmtId="0" fontId="7" fillId="0" borderId="0" xfId="196" applyNumberFormat="1" applyFont="1" applyFill="1" applyAlignment="1"/>
    <xf numFmtId="0" fontId="16" fillId="0" borderId="0" xfId="304"/>
    <xf numFmtId="172" fontId="7" fillId="0" borderId="0" xfId="196" applyFont="1" applyAlignment="1"/>
    <xf numFmtId="0" fontId="7" fillId="0" borderId="0" xfId="196" applyNumberFormat="1" applyFont="1"/>
    <xf numFmtId="0" fontId="7" fillId="0" borderId="0" xfId="196" applyNumberFormat="1" applyFont="1" applyProtection="1">
      <protection locked="0"/>
    </xf>
    <xf numFmtId="3" fontId="7" fillId="0" borderId="0" xfId="196" applyNumberFormat="1" applyFont="1" applyAlignment="1"/>
    <xf numFmtId="0" fontId="7" fillId="0" borderId="0" xfId="196" applyNumberFormat="1" applyFont="1" applyAlignment="1" applyProtection="1">
      <protection locked="0"/>
    </xf>
    <xf numFmtId="0" fontId="7" fillId="0" borderId="0" xfId="196" applyNumberFormat="1" applyFont="1" applyAlignment="1"/>
    <xf numFmtId="0" fontId="7" fillId="0" borderId="1" xfId="196" applyNumberFormat="1" applyFont="1" applyBorder="1"/>
    <xf numFmtId="3" fontId="7" fillId="0" borderId="1" xfId="196" applyNumberFormat="1" applyFont="1" applyBorder="1" applyAlignment="1"/>
    <xf numFmtId="0" fontId="7" fillId="0" borderId="1" xfId="196" applyNumberFormat="1" applyFont="1" applyBorder="1" applyAlignment="1"/>
    <xf numFmtId="49" fontId="7" fillId="0" borderId="0" xfId="196" applyNumberFormat="1" applyFont="1"/>
    <xf numFmtId="0" fontId="7" fillId="0" borderId="1" xfId="196" applyNumberFormat="1" applyFont="1" applyBorder="1" applyProtection="1">
      <protection locked="0"/>
    </xf>
    <xf numFmtId="0" fontId="16" fillId="0" borderId="0" xfId="286"/>
    <xf numFmtId="172" fontId="7" fillId="0" borderId="0" xfId="196" applyFont="1" applyAlignment="1"/>
    <xf numFmtId="0" fontId="7" fillId="0" borderId="0" xfId="196" applyNumberFormat="1" applyFont="1"/>
    <xf numFmtId="0" fontId="7" fillId="0" borderId="0" xfId="196" applyNumberFormat="1" applyFont="1" applyAlignment="1" applyProtection="1">
      <alignment horizontal="center"/>
      <protection locked="0"/>
    </xf>
    <xf numFmtId="0" fontId="7" fillId="0" borderId="0" xfId="196" applyNumberFormat="1" applyFont="1" applyProtection="1">
      <protection locked="0"/>
    </xf>
    <xf numFmtId="3" fontId="7" fillId="0" borderId="0" xfId="196" applyNumberFormat="1" applyFont="1" applyAlignment="1"/>
    <xf numFmtId="0" fontId="7" fillId="0" borderId="0" xfId="196" applyNumberFormat="1" applyFont="1" applyAlignment="1" applyProtection="1">
      <protection locked="0"/>
    </xf>
    <xf numFmtId="3" fontId="7" fillId="0" borderId="0" xfId="196" applyNumberFormat="1" applyFont="1" applyBorder="1" applyAlignment="1"/>
    <xf numFmtId="0" fontId="7" fillId="0" borderId="0" xfId="196" applyNumberFormat="1" applyFont="1" applyBorder="1" applyProtection="1">
      <protection locked="0"/>
    </xf>
    <xf numFmtId="0" fontId="7" fillId="0" borderId="1" xfId="196" applyNumberFormat="1" applyFont="1" applyFill="1" applyBorder="1" applyProtection="1">
      <protection locked="0"/>
    </xf>
    <xf numFmtId="0" fontId="7" fillId="0" borderId="1" xfId="196" applyNumberFormat="1" applyFont="1" applyFill="1" applyBorder="1" applyAlignment="1" applyProtection="1">
      <protection locked="0"/>
    </xf>
    <xf numFmtId="0" fontId="7" fillId="0" borderId="0" xfId="196" applyNumberFormat="1" applyFont="1" applyFill="1" applyBorder="1" applyProtection="1">
      <protection locked="0"/>
    </xf>
    <xf numFmtId="0" fontId="7" fillId="0" borderId="0" xfId="196" applyNumberFormat="1" applyFont="1" applyFill="1" applyBorder="1" applyAlignment="1" applyProtection="1">
      <protection locked="0"/>
    </xf>
    <xf numFmtId="0" fontId="7" fillId="0" borderId="0" xfId="196" applyNumberFormat="1" applyFont="1" applyBorder="1" applyAlignment="1" applyProtection="1">
      <protection locked="0"/>
    </xf>
    <xf numFmtId="172" fontId="7" fillId="0" borderId="0" xfId="196" applyFont="1" applyBorder="1" applyAlignment="1"/>
    <xf numFmtId="0" fontId="7" fillId="0" borderId="1" xfId="196" applyNumberFormat="1" applyFont="1" applyBorder="1"/>
    <xf numFmtId="172" fontId="7" fillId="0" borderId="1" xfId="196" applyFont="1" applyBorder="1" applyAlignment="1"/>
    <xf numFmtId="0" fontId="16" fillId="0" borderId="0" xfId="296"/>
    <xf numFmtId="172" fontId="7" fillId="0" borderId="0" xfId="196" applyFont="1" applyAlignment="1"/>
    <xf numFmtId="0" fontId="7" fillId="0" borderId="0" xfId="196" applyNumberFormat="1" applyFont="1"/>
    <xf numFmtId="0" fontId="7" fillId="0" borderId="0" xfId="196" applyNumberFormat="1" applyFont="1" applyProtection="1">
      <protection locked="0"/>
    </xf>
    <xf numFmtId="172" fontId="8" fillId="0" borderId="0" xfId="196" applyFont="1" applyAlignment="1"/>
    <xf numFmtId="0" fontId="8" fillId="0" borderId="0" xfId="196" applyNumberFormat="1" applyFont="1"/>
    <xf numFmtId="172" fontId="7" fillId="0" borderId="0" xfId="196" applyFont="1" applyAlignment="1">
      <alignment horizontal="center" vertical="top" wrapText="1"/>
    </xf>
    <xf numFmtId="0" fontId="8" fillId="0" borderId="0" xfId="196" applyNumberFormat="1" applyFont="1" applyAlignment="1" applyProtection="1">
      <alignment vertical="top" wrapText="1"/>
      <protection locked="0"/>
    </xf>
    <xf numFmtId="0" fontId="7" fillId="0" borderId="0" xfId="196" applyNumberFormat="1" applyFont="1" applyFill="1" applyAlignment="1">
      <alignment vertical="top"/>
    </xf>
    <xf numFmtId="0" fontId="7" fillId="0" borderId="0" xfId="196" applyNumberFormat="1" applyFont="1" applyFill="1" applyAlignment="1">
      <alignment horizontal="left" vertical="top"/>
    </xf>
    <xf numFmtId="172" fontId="7" fillId="0" borderId="0" xfId="196" applyFont="1" applyFill="1" applyAlignment="1">
      <alignment horizontal="center" vertical="top" wrapText="1"/>
    </xf>
    <xf numFmtId="172" fontId="7" fillId="0" borderId="0" xfId="196" applyFont="1" applyFill="1" applyAlignment="1"/>
    <xf numFmtId="0" fontId="7" fillId="0" borderId="0" xfId="196" applyNumberFormat="1" applyFont="1" applyFill="1"/>
    <xf numFmtId="0" fontId="7" fillId="0" borderId="0" xfId="196" applyNumberFormat="1" applyFont="1" applyAlignment="1" applyProtection="1">
      <alignment horizontal="center" vertical="top" wrapText="1"/>
      <protection locked="0"/>
    </xf>
    <xf numFmtId="0" fontId="9" fillId="0" borderId="0" xfId="196" applyNumberFormat="1" applyFont="1" applyFill="1" applyAlignment="1" applyProtection="1">
      <alignment horizontal="left"/>
      <protection locked="0"/>
    </xf>
    <xf numFmtId="10" fontId="7" fillId="2" borderId="0" xfId="196" applyNumberFormat="1" applyFont="1" applyFill="1" applyAlignment="1" applyProtection="1">
      <alignment vertical="top" wrapText="1"/>
      <protection locked="0"/>
    </xf>
    <xf numFmtId="3" fontId="7" fillId="0" borderId="0" xfId="196" applyNumberFormat="1" applyFont="1" applyAlignment="1">
      <alignment vertical="top" wrapText="1"/>
    </xf>
    <xf numFmtId="0" fontId="7" fillId="0" borderId="0" xfId="196" applyNumberFormat="1" applyFont="1" applyFill="1" applyAlignment="1" applyProtection="1">
      <alignment horizontal="left" vertical="top" wrapText="1" indent="8"/>
      <protection locked="0"/>
    </xf>
    <xf numFmtId="172" fontId="7" fillId="0" borderId="0" xfId="196" applyFont="1" applyAlignment="1">
      <alignment horizontal="center"/>
    </xf>
    <xf numFmtId="173" fontId="55" fillId="0" borderId="0" xfId="302" applyNumberFormat="1" applyFont="1" applyFill="1" applyAlignment="1"/>
    <xf numFmtId="0" fontId="7" fillId="0" borderId="0" xfId="196" applyNumberFormat="1" applyFont="1" applyFill="1" applyAlignment="1" applyProtection="1">
      <alignment vertical="top" wrapText="1"/>
      <protection locked="0"/>
    </xf>
    <xf numFmtId="0" fontId="7" fillId="0" borderId="0" xfId="196" applyNumberFormat="1" applyFont="1" applyAlignment="1" applyProtection="1">
      <alignment vertical="top" wrapText="1"/>
      <protection locked="0"/>
    </xf>
    <xf numFmtId="173" fontId="65" fillId="0" borderId="0" xfId="302" applyNumberFormat="1" applyFont="1" applyAlignment="1"/>
    <xf numFmtId="172" fontId="65" fillId="0" borderId="0" xfId="196" applyFont="1" applyAlignment="1"/>
    <xf numFmtId="172" fontId="55" fillId="0" borderId="0" xfId="196" applyFont="1" applyFill="1" applyAlignment="1"/>
    <xf numFmtId="172" fontId="54" fillId="0" borderId="0" xfId="0" applyFont="1" applyFill="1" applyAlignment="1"/>
    <xf numFmtId="0" fontId="20" fillId="0" borderId="6" xfId="1" applyFont="1" applyBorder="1"/>
    <xf numFmtId="0" fontId="20" fillId="0" borderId="21" xfId="1" applyFont="1" applyBorder="1" applyAlignment="1">
      <alignment wrapText="1"/>
    </xf>
    <xf numFmtId="174" fontId="20" fillId="0" borderId="32" xfId="2" applyNumberFormat="1" applyFont="1" applyBorder="1"/>
    <xf numFmtId="173" fontId="20" fillId="0" borderId="33" xfId="3" applyNumberFormat="1" applyFont="1" applyBorder="1"/>
    <xf numFmtId="37" fontId="16" fillId="0" borderId="12" xfId="2" applyNumberFormat="1" applyFont="1" applyFill="1" applyBorder="1"/>
    <xf numFmtId="43" fontId="16" fillId="0" borderId="11" xfId="2" applyFont="1" applyBorder="1"/>
    <xf numFmtId="37" fontId="16" fillId="0" borderId="12" xfId="2" applyNumberFormat="1" applyFont="1" applyBorder="1"/>
    <xf numFmtId="37" fontId="16" fillId="0" borderId="0" xfId="2" applyNumberFormat="1" applyFont="1" applyBorder="1"/>
    <xf numFmtId="43" fontId="16" fillId="0" borderId="0" xfId="2" applyFont="1" applyBorder="1"/>
    <xf numFmtId="174" fontId="20" fillId="0" borderId="0" xfId="91" applyNumberFormat="1" applyFont="1" applyFill="1"/>
    <xf numFmtId="174" fontId="16" fillId="0" borderId="0" xfId="1" applyNumberFormat="1" applyFont="1" applyFill="1"/>
    <xf numFmtId="173" fontId="25" fillId="0" borderId="0" xfId="1" applyNumberFormat="1" applyFont="1"/>
    <xf numFmtId="179" fontId="25" fillId="0" borderId="0" xfId="1" applyNumberFormat="1" applyFont="1" applyFill="1" applyBorder="1"/>
    <xf numFmtId="173" fontId="67" fillId="0" borderId="0" xfId="92" applyNumberFormat="1" applyFont="1" applyFill="1" applyBorder="1" applyAlignment="1">
      <alignment horizontal="center"/>
    </xf>
    <xf numFmtId="164" fontId="7" fillId="0" borderId="0" xfId="196" applyNumberFormat="1" applyFont="1" applyFill="1" applyAlignment="1">
      <alignment horizontal="center"/>
    </xf>
    <xf numFmtId="170" fontId="7" fillId="0" borderId="0" xfId="196" applyNumberFormat="1" applyFont="1" applyFill="1" applyBorder="1" applyAlignment="1"/>
    <xf numFmtId="172" fontId="7" fillId="0" borderId="0" xfId="196" applyFont="1" applyFill="1" applyBorder="1" applyAlignment="1"/>
    <xf numFmtId="3" fontId="9" fillId="0" borderId="0" xfId="196" applyNumberFormat="1" applyFont="1" applyFill="1" applyBorder="1" applyAlignment="1"/>
    <xf numFmtId="0" fontId="7" fillId="0" borderId="0" xfId="196" applyNumberFormat="1" applyFont="1" applyFill="1" applyBorder="1" applyAlignment="1"/>
    <xf numFmtId="172" fontId="9" fillId="0" borderId="0" xfId="196" applyFont="1" applyFill="1" applyBorder="1" applyAlignment="1"/>
    <xf numFmtId="0" fontId="7" fillId="0" borderId="0" xfId="196" applyNumberFormat="1" applyFont="1" applyFill="1" applyBorder="1" applyAlignment="1">
      <alignment horizontal="center"/>
    </xf>
    <xf numFmtId="172" fontId="12" fillId="0" borderId="0" xfId="196" applyFont="1" applyFill="1" applyBorder="1"/>
    <xf numFmtId="172" fontId="9" fillId="0" borderId="0" xfId="196" applyFont="1" applyFill="1" applyBorder="1"/>
    <xf numFmtId="179" fontId="53" fillId="0" borderId="0" xfId="1" applyNumberFormat="1" applyFont="1" applyFill="1" applyBorder="1"/>
    <xf numFmtId="174" fontId="16" fillId="0" borderId="0" xfId="91" applyNumberFormat="1" applyFont="1" applyFill="1"/>
    <xf numFmtId="173" fontId="1" fillId="0" borderId="0" xfId="329" applyNumberFormat="1" applyFont="1" applyFill="1"/>
    <xf numFmtId="173" fontId="1" fillId="0" borderId="0" xfId="329" applyNumberFormat="1" applyFont="1" applyFill="1" applyAlignment="1">
      <alignment horizontal="right"/>
    </xf>
    <xf numFmtId="0" fontId="16" fillId="0" borderId="0" xfId="327"/>
    <xf numFmtId="0" fontId="1" fillId="0" borderId="0" xfId="342"/>
    <xf numFmtId="0" fontId="68" fillId="0" borderId="0" xfId="342" quotePrefix="1" applyFont="1"/>
    <xf numFmtId="0" fontId="68" fillId="0" borderId="0" xfId="342" applyFont="1" applyAlignment="1">
      <alignment horizontal="right"/>
    </xf>
    <xf numFmtId="4" fontId="1" fillId="0" borderId="0" xfId="342" applyNumberFormat="1"/>
    <xf numFmtId="173" fontId="23" fillId="0" borderId="0" xfId="329" applyNumberFormat="1" applyFont="1" applyFill="1" applyAlignment="1"/>
    <xf numFmtId="173" fontId="1" fillId="0" borderId="0" xfId="329" applyNumberFormat="1" applyFont="1"/>
    <xf numFmtId="173" fontId="1" fillId="0" borderId="28" xfId="329" applyNumberFormat="1" applyFont="1" applyBorder="1"/>
    <xf numFmtId="0" fontId="1" fillId="0" borderId="0" xfId="343"/>
    <xf numFmtId="0" fontId="69" fillId="0" borderId="0" xfId="344" quotePrefix="1" applyFont="1" applyAlignment="1"/>
    <xf numFmtId="4" fontId="1" fillId="0" borderId="0" xfId="343" applyNumberFormat="1"/>
    <xf numFmtId="0" fontId="1" fillId="0" borderId="0" xfId="344" applyFont="1" applyAlignment="1"/>
    <xf numFmtId="0" fontId="1" fillId="0" borderId="0" xfId="343" applyFont="1"/>
    <xf numFmtId="4" fontId="1" fillId="0" borderId="0" xfId="343" applyNumberFormat="1" applyFont="1"/>
    <xf numFmtId="0" fontId="23" fillId="0" borderId="0" xfId="344" applyNumberFormat="1" applyFont="1" applyAlignment="1" applyProtection="1">
      <protection locked="0"/>
    </xf>
    <xf numFmtId="0" fontId="23" fillId="0" borderId="0" xfId="344" applyNumberFormat="1" applyFont="1" applyBorder="1" applyAlignment="1" applyProtection="1">
      <protection locked="0"/>
    </xf>
    <xf numFmtId="0" fontId="23" fillId="0" borderId="0" xfId="344" applyNumberFormat="1" applyFont="1" applyFill="1" applyBorder="1" applyAlignment="1" applyProtection="1">
      <protection locked="0"/>
    </xf>
    <xf numFmtId="173" fontId="24" fillId="0" borderId="0" xfId="329" quotePrefix="1" applyNumberFormat="1" applyFont="1" applyAlignment="1"/>
    <xf numFmtId="173" fontId="23" fillId="0" borderId="28" xfId="329" applyNumberFormat="1" applyFont="1" applyBorder="1" applyAlignment="1"/>
    <xf numFmtId="173" fontId="23" fillId="0" borderId="0" xfId="329" applyNumberFormat="1" applyFont="1" applyBorder="1" applyAlignment="1"/>
    <xf numFmtId="173" fontId="23" fillId="0" borderId="0" xfId="329" applyNumberFormat="1" applyFont="1" applyAlignment="1"/>
    <xf numFmtId="173" fontId="23" fillId="0" borderId="9" xfId="329" applyNumberFormat="1" applyFont="1" applyBorder="1" applyAlignment="1"/>
    <xf numFmtId="0" fontId="1" fillId="0" borderId="0" xfId="342" quotePrefix="1" applyFont="1"/>
    <xf numFmtId="0" fontId="68" fillId="0" borderId="0" xfId="342" quotePrefix="1" applyFont="1" applyAlignment="1">
      <alignment horizontal="center"/>
    </xf>
    <xf numFmtId="0" fontId="23" fillId="0" borderId="0" xfId="342" applyFont="1"/>
    <xf numFmtId="0" fontId="68" fillId="0" borderId="0" xfId="342" applyFont="1" applyAlignment="1">
      <alignment horizontal="center"/>
    </xf>
    <xf numFmtId="0" fontId="20" fillId="0" borderId="0" xfId="1" applyFont="1" applyFill="1"/>
    <xf numFmtId="3" fontId="7" fillId="0" borderId="0" xfId="196" applyNumberFormat="1" applyFont="1" applyAlignment="1">
      <alignment horizontal="left"/>
    </xf>
    <xf numFmtId="0" fontId="16" fillId="0" borderId="0" xfId="1" applyFill="1"/>
    <xf numFmtId="0" fontId="53" fillId="0" borderId="0" xfId="1" applyFont="1" applyFill="1" applyBorder="1"/>
    <xf numFmtId="0" fontId="55" fillId="0" borderId="0" xfId="91" applyNumberFormat="1" applyFont="1" applyFill="1" applyAlignment="1">
      <alignment horizontal="center"/>
    </xf>
    <xf numFmtId="173" fontId="24" fillId="0" borderId="0" xfId="92" applyNumberFormat="1" applyFont="1" applyFill="1"/>
    <xf numFmtId="0" fontId="7" fillId="0" borderId="0" xfId="196" applyNumberFormat="1" applyFont="1" applyAlignment="1" applyProtection="1">
      <alignment vertical="top" wrapText="1"/>
      <protection locked="0"/>
    </xf>
    <xf numFmtId="0" fontId="7" fillId="0" borderId="0" xfId="196" applyNumberFormat="1" applyFont="1" applyFill="1" applyAlignment="1" applyProtection="1">
      <alignment vertical="top" wrapText="1"/>
      <protection locked="0"/>
    </xf>
    <xf numFmtId="3" fontId="7" fillId="0" borderId="0" xfId="196" applyNumberFormat="1" applyFont="1" applyAlignment="1">
      <alignment horizontal="right"/>
    </xf>
    <xf numFmtId="0" fontId="7" fillId="0" borderId="0" xfId="196" applyNumberFormat="1" applyFont="1" applyFill="1" applyAlignment="1">
      <alignment vertical="top" wrapText="1"/>
    </xf>
    <xf numFmtId="49" fontId="20" fillId="0" borderId="0" xfId="1" applyNumberFormat="1" applyFont="1" applyAlignment="1">
      <alignment horizontal="center"/>
    </xf>
    <xf numFmtId="0" fontId="20" fillId="0" borderId="0" xfId="1" applyFont="1" applyAlignment="1">
      <alignment horizontal="center"/>
    </xf>
    <xf numFmtId="0" fontId="16" fillId="0" borderId="0" xfId="1" applyFont="1" applyAlignment="1">
      <alignment horizontal="center"/>
    </xf>
    <xf numFmtId="14" fontId="20" fillId="0" borderId="0" xfId="1" applyNumberFormat="1" applyFont="1" applyAlignment="1">
      <alignment horizontal="center"/>
    </xf>
    <xf numFmtId="0" fontId="20" fillId="0" borderId="4" xfId="1" applyFont="1" applyBorder="1" applyAlignment="1">
      <alignment horizontal="center"/>
    </xf>
    <xf numFmtId="0" fontId="17" fillId="0" borderId="0" xfId="1" applyFont="1" applyAlignment="1">
      <alignment horizontal="center"/>
    </xf>
    <xf numFmtId="0" fontId="18" fillId="0" borderId="0" xfId="1" applyFont="1" applyAlignment="1">
      <alignment horizontal="center"/>
    </xf>
    <xf numFmtId="14" fontId="17" fillId="0" borderId="0" xfId="1" applyNumberFormat="1" applyFont="1" applyAlignment="1">
      <alignment horizontal="center"/>
    </xf>
    <xf numFmtId="0" fontId="19" fillId="0" borderId="4" xfId="1" applyFont="1" applyBorder="1" applyAlignment="1">
      <alignment horizontal="center"/>
    </xf>
    <xf numFmtId="0" fontId="16" fillId="0" borderId="8" xfId="1" applyFont="1" applyBorder="1" applyAlignment="1">
      <alignment horizontal="left"/>
    </xf>
    <xf numFmtId="0" fontId="16" fillId="0" borderId="9" xfId="1" applyFont="1" applyBorder="1" applyAlignment="1">
      <alignment horizontal="left"/>
    </xf>
    <xf numFmtId="14" fontId="24" fillId="0" borderId="0" xfId="222" applyNumberFormat="1" applyFont="1" applyAlignment="1">
      <alignment horizontal="center"/>
    </xf>
    <xf numFmtId="0" fontId="24" fillId="0" borderId="0" xfId="222" applyFont="1" applyAlignment="1">
      <alignment horizontal="center"/>
    </xf>
    <xf numFmtId="0" fontId="23" fillId="0" borderId="7" xfId="1" applyFont="1" applyBorder="1" applyAlignment="1">
      <alignment horizontal="left"/>
    </xf>
    <xf numFmtId="0" fontId="23" fillId="0" borderId="5" xfId="1" applyFont="1" applyBorder="1" applyAlignment="1">
      <alignment horizontal="left"/>
    </xf>
    <xf numFmtId="0" fontId="24" fillId="0" borderId="0" xfId="1" applyFont="1" applyAlignment="1">
      <alignment horizontal="center"/>
    </xf>
    <xf numFmtId="14" fontId="24" fillId="0" borderId="0" xfId="1" applyNumberFormat="1" applyFont="1" applyAlignment="1">
      <alignment horizontal="center"/>
    </xf>
    <xf numFmtId="0" fontId="23" fillId="0" borderId="14" xfId="1" applyFont="1" applyBorder="1" applyAlignment="1">
      <alignment horizontal="center"/>
    </xf>
    <xf numFmtId="0" fontId="53" fillId="0" borderId="0" xfId="4" applyFont="1" applyAlignment="1">
      <alignment horizontal="center"/>
    </xf>
    <xf numFmtId="49" fontId="54" fillId="0" borderId="0" xfId="1" applyNumberFormat="1" applyFont="1" applyAlignment="1">
      <alignment horizontal="center"/>
    </xf>
    <xf numFmtId="0" fontId="54" fillId="0" borderId="0" xfId="1" applyFont="1" applyAlignment="1">
      <alignment horizontal="center"/>
    </xf>
    <xf numFmtId="0" fontId="55" fillId="0" borderId="0" xfId="1" applyFont="1" applyAlignment="1">
      <alignment horizontal="center"/>
    </xf>
    <xf numFmtId="14" fontId="54" fillId="0" borderId="0" xfId="1" applyNumberFormat="1" applyFont="1" applyAlignment="1">
      <alignment horizontal="center"/>
    </xf>
    <xf numFmtId="0" fontId="55" fillId="0" borderId="0" xfId="0" applyNumberFormat="1" applyFont="1" applyAlignment="1">
      <alignment horizontal="center"/>
    </xf>
    <xf numFmtId="49" fontId="66" fillId="0" borderId="0" xfId="342" applyNumberFormat="1" applyFont="1" applyAlignment="1">
      <alignment horizontal="center"/>
    </xf>
    <xf numFmtId="0" fontId="66" fillId="0" borderId="0" xfId="342" applyFont="1" applyAlignment="1">
      <alignment horizontal="center"/>
    </xf>
    <xf numFmtId="14" fontId="66" fillId="0" borderId="0" xfId="342" applyNumberFormat="1" applyFont="1" applyAlignment="1">
      <alignment horizontal="center"/>
    </xf>
  </cellXfs>
  <cellStyles count="347">
    <cellStyle name="Accent4 2" xfId="99"/>
    <cellStyle name="C00A" xfId="7"/>
    <cellStyle name="C00B" xfId="8"/>
    <cellStyle name="C00L" xfId="9"/>
    <cellStyle name="C01A" xfId="10"/>
    <cellStyle name="C01B" xfId="11"/>
    <cellStyle name="C01H" xfId="12"/>
    <cellStyle name="C01L" xfId="13"/>
    <cellStyle name="C02A" xfId="14"/>
    <cellStyle name="C02B" xfId="15"/>
    <cellStyle name="C02H" xfId="16"/>
    <cellStyle name="C02L" xfId="17"/>
    <cellStyle name="C03A" xfId="18"/>
    <cellStyle name="C03B" xfId="19"/>
    <cellStyle name="C03H" xfId="20"/>
    <cellStyle name="C03L" xfId="21"/>
    <cellStyle name="C04A" xfId="22"/>
    <cellStyle name="C04B" xfId="23"/>
    <cellStyle name="C04H" xfId="24"/>
    <cellStyle name="C04L" xfId="25"/>
    <cellStyle name="C05A" xfId="26"/>
    <cellStyle name="C05B" xfId="27"/>
    <cellStyle name="C05H" xfId="28"/>
    <cellStyle name="C05L" xfId="29"/>
    <cellStyle name="C06A" xfId="30"/>
    <cellStyle name="C06B" xfId="31"/>
    <cellStyle name="C06H" xfId="32"/>
    <cellStyle name="C06L" xfId="33"/>
    <cellStyle name="C07A" xfId="34"/>
    <cellStyle name="C07B" xfId="35"/>
    <cellStyle name="C07H" xfId="36"/>
    <cellStyle name="C07L" xfId="37"/>
    <cellStyle name="Comma" xfId="91" builtinId="3"/>
    <cellStyle name="Comma [2]" xfId="100"/>
    <cellStyle name="Comma 10" xfId="101"/>
    <cellStyle name="Comma 100" xfId="326"/>
    <cellStyle name="Comma 101" xfId="328"/>
    <cellStyle name="Comma 102" xfId="336"/>
    <cellStyle name="Comma 11" xfId="102"/>
    <cellStyle name="Comma 12" xfId="103"/>
    <cellStyle name="Comma 13" xfId="104"/>
    <cellStyle name="Comma 14" xfId="105"/>
    <cellStyle name="Comma 15" xfId="106"/>
    <cellStyle name="Comma 16" xfId="107"/>
    <cellStyle name="Comma 17" xfId="108"/>
    <cellStyle name="Comma 18" xfId="109"/>
    <cellStyle name="Comma 19" xfId="110"/>
    <cellStyle name="Comma 2" xfId="2"/>
    <cellStyle name="Comma 2 2" xfId="111"/>
    <cellStyle name="Comma 2 2 2" xfId="276"/>
    <cellStyle name="Comma 20" xfId="112"/>
    <cellStyle name="Comma 21" xfId="113"/>
    <cellStyle name="Comma 22" xfId="114"/>
    <cellStyle name="Comma 23" xfId="115"/>
    <cellStyle name="Comma 24" xfId="116"/>
    <cellStyle name="Comma 25" xfId="117"/>
    <cellStyle name="Comma 26" xfId="118"/>
    <cellStyle name="Comma 27" xfId="119"/>
    <cellStyle name="Comma 28" xfId="120"/>
    <cellStyle name="Comma 29" xfId="121"/>
    <cellStyle name="Comma 3" xfId="93"/>
    <cellStyle name="Comma 3 2" xfId="122"/>
    <cellStyle name="Comma 3 3" xfId="277"/>
    <cellStyle name="Comma 30" xfId="123"/>
    <cellStyle name="Comma 31" xfId="124"/>
    <cellStyle name="Comma 32" xfId="125"/>
    <cellStyle name="Comma 33" xfId="126"/>
    <cellStyle name="Comma 34" xfId="127"/>
    <cellStyle name="Comma 35" xfId="128"/>
    <cellStyle name="Comma 36" xfId="129"/>
    <cellStyle name="Comma 37" xfId="130"/>
    <cellStyle name="Comma 38" xfId="131"/>
    <cellStyle name="Comma 39" xfId="132"/>
    <cellStyle name="Comma 4" xfId="133"/>
    <cellStyle name="Comma 40" xfId="134"/>
    <cellStyle name="Comma 41" xfId="135"/>
    <cellStyle name="Comma 42" xfId="136"/>
    <cellStyle name="Comma 43" xfId="137"/>
    <cellStyle name="Comma 44" xfId="138"/>
    <cellStyle name="Comma 45" xfId="139"/>
    <cellStyle name="Comma 46" xfId="140"/>
    <cellStyle name="Comma 47" xfId="141"/>
    <cellStyle name="Comma 48" xfId="142"/>
    <cellStyle name="Comma 49" xfId="143"/>
    <cellStyle name="Comma 5" xfId="144"/>
    <cellStyle name="Comma 50" xfId="145"/>
    <cellStyle name="Comma 51" xfId="146"/>
    <cellStyle name="Comma 52" xfId="147"/>
    <cellStyle name="Comma 53" xfId="148"/>
    <cellStyle name="Comma 54" xfId="149"/>
    <cellStyle name="Comma 55" xfId="150"/>
    <cellStyle name="Comma 56" xfId="151"/>
    <cellStyle name="Comma 57" xfId="152"/>
    <cellStyle name="Comma 58" xfId="153"/>
    <cellStyle name="Comma 59" xfId="154"/>
    <cellStyle name="Comma 6" xfId="155"/>
    <cellStyle name="Comma 6 2" xfId="156"/>
    <cellStyle name="Comma 60" xfId="157"/>
    <cellStyle name="Comma 61" xfId="158"/>
    <cellStyle name="Comma 62" xfId="159"/>
    <cellStyle name="Comma 63" xfId="160"/>
    <cellStyle name="Comma 64" xfId="161"/>
    <cellStyle name="Comma 65" xfId="162"/>
    <cellStyle name="Comma 66" xfId="163"/>
    <cellStyle name="Comma 67" xfId="164"/>
    <cellStyle name="Comma 68" xfId="165"/>
    <cellStyle name="Comma 69" xfId="166"/>
    <cellStyle name="Comma 7" xfId="167"/>
    <cellStyle name="Comma 70" xfId="168"/>
    <cellStyle name="Comma 71" xfId="169"/>
    <cellStyle name="Comma 72" xfId="170"/>
    <cellStyle name="Comma 73" xfId="171"/>
    <cellStyle name="Comma 74" xfId="172"/>
    <cellStyle name="Comma 75" xfId="173"/>
    <cellStyle name="Comma 76" xfId="174"/>
    <cellStyle name="Comma 77" xfId="175"/>
    <cellStyle name="Comma 78" xfId="176"/>
    <cellStyle name="Comma 79" xfId="177"/>
    <cellStyle name="Comma 8" xfId="178"/>
    <cellStyle name="Comma 80" xfId="179"/>
    <cellStyle name="Comma 81" xfId="180"/>
    <cellStyle name="Comma 82" xfId="181"/>
    <cellStyle name="Comma 83" xfId="182"/>
    <cellStyle name="Comma 84" xfId="183"/>
    <cellStyle name="Comma 85" xfId="184"/>
    <cellStyle name="Comma 86" xfId="185"/>
    <cellStyle name="Comma 87" xfId="216"/>
    <cellStyle name="Comma 87 2" xfId="246"/>
    <cellStyle name="Comma 88" xfId="253"/>
    <cellStyle name="Comma 89" xfId="257"/>
    <cellStyle name="Comma 9" xfId="186"/>
    <cellStyle name="Comma 90" xfId="228"/>
    <cellStyle name="Comma 91" xfId="238"/>
    <cellStyle name="Comma 92" xfId="274"/>
    <cellStyle name="Comma 93" xfId="306"/>
    <cellStyle name="Comma 94" xfId="319"/>
    <cellStyle name="Comma 95" xfId="298"/>
    <cellStyle name="Comma 96" xfId="291"/>
    <cellStyle name="Comma 97" xfId="293"/>
    <cellStyle name="Comma 98" xfId="324"/>
    <cellStyle name="Comma 99" xfId="325"/>
    <cellStyle name="Comma0" xfId="38"/>
    <cellStyle name="Currency" xfId="92" builtinId="4"/>
    <cellStyle name="Currency [2]" xfId="187"/>
    <cellStyle name="Currency 10" xfId="254"/>
    <cellStyle name="Currency 11" xfId="256"/>
    <cellStyle name="Currency 12" xfId="229"/>
    <cellStyle name="Currency 13" xfId="237"/>
    <cellStyle name="Currency 14" xfId="275"/>
    <cellStyle name="Currency 15" xfId="305"/>
    <cellStyle name="Currency 16" xfId="308"/>
    <cellStyle name="Currency 17" xfId="297"/>
    <cellStyle name="Currency 18" xfId="292"/>
    <cellStyle name="Currency 19" xfId="303"/>
    <cellStyle name="Currency 2" xfId="3"/>
    <cellStyle name="Currency 2 2" xfId="251"/>
    <cellStyle name="Currency 20" xfId="287"/>
    <cellStyle name="Currency 21" xfId="313"/>
    <cellStyle name="Currency 22" xfId="302"/>
    <cellStyle name="Currency 23" xfId="329"/>
    <cellStyle name="Currency 24" xfId="335"/>
    <cellStyle name="Currency 3" xfId="94"/>
    <cellStyle name="Currency 3 2" xfId="188"/>
    <cellStyle name="Currency 3 3" xfId="217"/>
    <cellStyle name="Currency 4" xfId="189"/>
    <cellStyle name="Currency 4 2" xfId="190"/>
    <cellStyle name="Currency 5" xfId="191"/>
    <cellStyle name="Currency 6" xfId="192"/>
    <cellStyle name="Currency 7" xfId="193"/>
    <cellStyle name="Currency 7 2" xfId="218"/>
    <cellStyle name="Currency 7 2 2" xfId="268"/>
    <cellStyle name="Currency 7 2 3" xfId="245"/>
    <cellStyle name="Currency 7 2 4" xfId="318"/>
    <cellStyle name="Currency 7 2 5" xfId="345"/>
    <cellStyle name="Currency 8" xfId="219"/>
    <cellStyle name="Currency 8 2" xfId="266"/>
    <cellStyle name="Currency 8 3" xfId="241"/>
    <cellStyle name="Currency 9" xfId="220"/>
    <cellStyle name="Currency 9 2" xfId="243"/>
    <cellStyle name="Currency0" xfId="39"/>
    <cellStyle name="Date" xfId="40"/>
    <cellStyle name="Fixed" xfId="41"/>
    <cellStyle name="FRxAmtStyle" xfId="194"/>
    <cellStyle name="Grey" xfId="42"/>
    <cellStyle name="Heading1" xfId="43"/>
    <cellStyle name="Heading2" xfId="44"/>
    <cellStyle name="Input [yellow]" xfId="45"/>
    <cellStyle name="Normal" xfId="0" builtinId="0"/>
    <cellStyle name="Normal - Style1" xfId="46"/>
    <cellStyle name="Normal 10" xfId="98"/>
    <cellStyle name="Normal 10 2" xfId="221"/>
    <cellStyle name="Normal 10 2 2" xfId="267"/>
    <cellStyle name="Normal 10 2 3" xfId="244"/>
    <cellStyle name="Normal 10 2 4" xfId="317"/>
    <cellStyle name="Normal 10 2 5" xfId="344"/>
    <cellStyle name="Normal 11" xfId="195"/>
    <cellStyle name="Normal 12" xfId="222"/>
    <cellStyle name="Normal 12 2" xfId="315"/>
    <cellStyle name="Normal 12 3" xfId="342"/>
    <cellStyle name="Normal 13" xfId="223"/>
    <cellStyle name="Normal 13 2" xfId="265"/>
    <cellStyle name="Normal 13 3" xfId="240"/>
    <cellStyle name="Normal 13 4" xfId="316"/>
    <cellStyle name="Normal 13 5" xfId="343"/>
    <cellStyle name="Normal 14" xfId="224"/>
    <cellStyle name="Normal 14 2" xfId="242"/>
    <cellStyle name="Normal 15" xfId="248"/>
    <cellStyle name="Normal 16" xfId="249"/>
    <cellStyle name="Normal 17" xfId="250"/>
    <cellStyle name="Normal 18" xfId="264"/>
    <cellStyle name="Normal 19" xfId="227"/>
    <cellStyle name="Normal 2" xfId="1"/>
    <cellStyle name="Normal 2 2" xfId="196"/>
    <cellStyle name="Normal 2 2 2" xfId="215"/>
    <cellStyle name="Normal 2 2 2 2" xfId="258"/>
    <cellStyle name="Normal 2 3" xfId="225"/>
    <cellStyle name="Normal 20" xfId="239"/>
    <cellStyle name="Normal 21" xfId="273"/>
    <cellStyle name="Normal 22" xfId="307"/>
    <cellStyle name="Normal 23" xfId="320"/>
    <cellStyle name="Normal 24" xfId="299"/>
    <cellStyle name="Normal 25" xfId="290"/>
    <cellStyle name="Normal 26" xfId="309"/>
    <cellStyle name="Normal 27" xfId="304"/>
    <cellStyle name="Normal 28" xfId="286"/>
    <cellStyle name="Normal 29" xfId="296"/>
    <cellStyle name="Normal 3" xfId="5"/>
    <cellStyle name="Normal 3 2" xfId="95"/>
    <cellStyle name="Normal 3 2 2" xfId="255"/>
    <cellStyle name="Normal 3 2 3" xfId="231"/>
    <cellStyle name="Normal 3 2 4" xfId="310"/>
    <cellStyle name="Normal 3 2 5" xfId="338"/>
    <cellStyle name="Normal 3 3" xfId="197"/>
    <cellStyle name="Normal 3 3 2" xfId="259"/>
    <cellStyle name="Normal 3 3 3" xfId="232"/>
    <cellStyle name="Normal 3 3 4" xfId="311"/>
    <cellStyle name="Normal 3 3 5" xfId="339"/>
    <cellStyle name="Normal 3 4" xfId="252"/>
    <cellStyle name="Normal 3 5" xfId="230"/>
    <cellStyle name="Normal 3 6" xfId="279"/>
    <cellStyle name="Normal 30" xfId="327"/>
    <cellStyle name="Normal 31" xfId="337"/>
    <cellStyle name="Normal 33" xfId="198"/>
    <cellStyle name="Normal 34" xfId="199"/>
    <cellStyle name="Normal 4" xfId="96"/>
    <cellStyle name="Normal 4 2" xfId="200"/>
    <cellStyle name="Normal 4 3" xfId="201"/>
    <cellStyle name="Normal 4 4" xfId="202"/>
    <cellStyle name="Normal 4 5" xfId="280"/>
    <cellStyle name="Normal 5" xfId="97"/>
    <cellStyle name="Normal 5 2" xfId="281"/>
    <cellStyle name="Normal 5 3" xfId="330"/>
    <cellStyle name="Normal 6" xfId="203"/>
    <cellStyle name="Normal 6 2" xfId="204"/>
    <cellStyle name="Normal 6 2 2" xfId="261"/>
    <cellStyle name="Normal 6 2 3" xfId="234"/>
    <cellStyle name="Normal 6 2 4" xfId="294"/>
    <cellStyle name="Normal 6 2 5" xfId="333"/>
    <cellStyle name="Normal 6 3" xfId="205"/>
    <cellStyle name="Normal 6 3 2" xfId="262"/>
    <cellStyle name="Normal 6 3 3" xfId="235"/>
    <cellStyle name="Normal 6 3 4" xfId="312"/>
    <cellStyle name="Normal 6 3 5" xfId="340"/>
    <cellStyle name="Normal 6 4" xfId="260"/>
    <cellStyle name="Normal 6 5" xfId="233"/>
    <cellStyle name="Normal 6 6" xfId="285"/>
    <cellStyle name="Normal 6 7" xfId="332"/>
    <cellStyle name="Normal 7" xfId="206"/>
    <cellStyle name="Normal 7 2" xfId="263"/>
    <cellStyle name="Normal 7 3" xfId="236"/>
    <cellStyle name="Normal 7 4" xfId="295"/>
    <cellStyle name="Normal 7 5" xfId="334"/>
    <cellStyle name="Normal 8" xfId="207"/>
    <cellStyle name="Normal 9" xfId="208"/>
    <cellStyle name="Normal_Sheet3" xfId="4"/>
    <cellStyle name="Percent [2]" xfId="47"/>
    <cellStyle name="Percent 10" xfId="271"/>
    <cellStyle name="Percent 11" xfId="272"/>
    <cellStyle name="Percent 12" xfId="314"/>
    <cellStyle name="Percent 13" xfId="323"/>
    <cellStyle name="Percent 14" xfId="321"/>
    <cellStyle name="Percent 15" xfId="300"/>
    <cellStyle name="Percent 16" xfId="289"/>
    <cellStyle name="Percent 17" xfId="278"/>
    <cellStyle name="Percent 18" xfId="322"/>
    <cellStyle name="Percent 19" xfId="301"/>
    <cellStyle name="Percent 2" xfId="6"/>
    <cellStyle name="Percent 2 2" xfId="209"/>
    <cellStyle name="Percent 20" xfId="288"/>
    <cellStyle name="Percent 21" xfId="341"/>
    <cellStyle name="Percent 22" xfId="346"/>
    <cellStyle name="Percent 3" xfId="210"/>
    <cellStyle name="Percent 3 2" xfId="211"/>
    <cellStyle name="Percent 3 3" xfId="282"/>
    <cellStyle name="Percent 4" xfId="212"/>
    <cellStyle name="Percent 4 2" xfId="283"/>
    <cellStyle name="Percent 4 3" xfId="331"/>
    <cellStyle name="Percent 5" xfId="213"/>
    <cellStyle name="Percent 5 2" xfId="284"/>
    <cellStyle name="Percent 6" xfId="214"/>
    <cellStyle name="Percent 7" xfId="226"/>
    <cellStyle name="Percent 7 2" xfId="247"/>
    <cellStyle name="Percent 8" xfId="269"/>
    <cellStyle name="Percent 9" xfId="270"/>
    <cellStyle name="PSChar" xfId="48"/>
    <cellStyle name="PSDate" xfId="49"/>
    <cellStyle name="PSDec" xfId="50"/>
    <cellStyle name="PSdesc" xfId="51"/>
    <cellStyle name="PSHeading" xfId="52"/>
    <cellStyle name="PSInt" xfId="53"/>
    <cellStyle name="PSSpacer" xfId="54"/>
    <cellStyle name="PStest" xfId="55"/>
    <cellStyle name="R00A" xfId="56"/>
    <cellStyle name="R00B" xfId="57"/>
    <cellStyle name="R00L" xfId="58"/>
    <cellStyle name="R01A" xfId="59"/>
    <cellStyle name="R01B" xfId="60"/>
    <cellStyle name="R01H" xfId="61"/>
    <cellStyle name="R01L" xfId="62"/>
    <cellStyle name="R02A" xfId="63"/>
    <cellStyle name="R02B" xfId="64"/>
    <cellStyle name="R02H" xfId="65"/>
    <cellStyle name="R02L" xfId="66"/>
    <cellStyle name="R03A" xfId="67"/>
    <cellStyle name="R03B" xfId="68"/>
    <cellStyle name="R03H" xfId="69"/>
    <cellStyle name="R03L" xfId="70"/>
    <cellStyle name="R04A" xfId="71"/>
    <cellStyle name="R04B" xfId="72"/>
    <cellStyle name="R04H" xfId="73"/>
    <cellStyle name="R04L" xfId="74"/>
    <cellStyle name="R05A" xfId="75"/>
    <cellStyle name="R05B" xfId="76"/>
    <cellStyle name="R05H" xfId="77"/>
    <cellStyle name="R05L" xfId="78"/>
    <cellStyle name="R06A" xfId="79"/>
    <cellStyle name="R06B" xfId="80"/>
    <cellStyle name="R06H" xfId="81"/>
    <cellStyle name="R06L" xfId="82"/>
    <cellStyle name="R07A" xfId="83"/>
    <cellStyle name="R07B" xfId="84"/>
    <cellStyle name="R07H" xfId="85"/>
    <cellStyle name="R07L" xfId="86"/>
    <cellStyle name="STYLE1" xfId="87"/>
    <cellStyle name="STYLE2" xfId="88"/>
    <cellStyle name="STYLE3" xfId="89"/>
    <cellStyle name="STYLE4" xfId="9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FFCCFF"/>
      <color rgb="FFFFFF9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ATE%20STUDY_1\Dande%202_6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ATE%20STUDY_1\dande%202_5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pkettles\Local%20Settings\Temporary%20Internet%20Files\OLKE\GF%20200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ATE%20STUDY_1\Worthington%20-%202013%20Electric\Wgton%20File\Brewster\Brewster%202013%2006_includes%202012%20wapa%20mres%20split%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ATE%20STUDY_1\Worthington%20-%202013%20Electric\Excel\Wgton_Study_Approved%20Rates%202013-1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inancing%20Plan\2009\Capital%20Financing%20Model%20Slower%20Pace03-03-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ATE%20STUDY_1\Plato%20Billing6_205%20Dec%201%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002_001"/>
      <sheetName val="M002_002"/>
      <sheetName val="M002_003"/>
      <sheetName val="M002_004"/>
      <sheetName val="M003_001"/>
      <sheetName val="M002_005"/>
      <sheetName val="M002_007"/>
      <sheetName val="M002_006"/>
      <sheetName val="M002_008"/>
      <sheetName val="M003_002"/>
      <sheetName val="M003_004b tg"/>
      <sheetName val="M003_003"/>
      <sheetName val="M003_004"/>
      <sheetName val="M002_009"/>
      <sheetName val="M002_010"/>
      <sheetName val="DANDE"/>
      <sheetName val="Sheet1"/>
      <sheetName val="M003_005"/>
      <sheetName val="M003_006 (2)"/>
      <sheetName val="M001_058"/>
      <sheetName val="M001_057"/>
      <sheetName val="M001_056"/>
      <sheetName val="M001_055"/>
      <sheetName val="M001_054"/>
      <sheetName val="M001_053"/>
      <sheetName val="M001_052"/>
      <sheetName val="M001_051"/>
      <sheetName val="M001_050"/>
      <sheetName val="M001_049"/>
      <sheetName val="M001_048"/>
      <sheetName val="M001_047"/>
      <sheetName val="M001_046"/>
      <sheetName val="M001_045"/>
      <sheetName val="M001_044"/>
      <sheetName val="M001_043"/>
      <sheetName val="M001_042"/>
      <sheetName val="M001_041"/>
      <sheetName val="M001_040"/>
      <sheetName val="M001_039"/>
      <sheetName val="M001_038"/>
      <sheetName val="M001_037"/>
      <sheetName val="M001_036"/>
      <sheetName val="M001_035"/>
      <sheetName val="M001_034"/>
      <sheetName val="M001_033"/>
      <sheetName val="M001_032"/>
      <sheetName val="M001_031"/>
      <sheetName val="M001_030"/>
      <sheetName val="M001_029"/>
      <sheetName val="M001_028"/>
      <sheetName val="M001_027"/>
      <sheetName val="M001_026"/>
      <sheetName val="M001_025"/>
      <sheetName val="M001_024"/>
      <sheetName val="M001_023"/>
      <sheetName val="M001_022"/>
      <sheetName val="M001_021"/>
      <sheetName val="M001_020"/>
      <sheetName val="M001_019"/>
      <sheetName val="M001_018"/>
      <sheetName val="M001_016"/>
      <sheetName val="M001_015"/>
      <sheetName val="M001_014"/>
      <sheetName val="M001_013"/>
      <sheetName val="M001_012"/>
      <sheetName val="M001_011"/>
      <sheetName val="M001_010"/>
      <sheetName val="M001_009"/>
      <sheetName val="M001_008"/>
      <sheetName val="M001_007"/>
      <sheetName val="M001_006"/>
      <sheetName val="M001_005"/>
      <sheetName val="M001_004"/>
      <sheetName val="M001_003"/>
      <sheetName val="M001_002"/>
      <sheetName val="M001_001"/>
      <sheetName val="M002_011"/>
      <sheetName val="Sales Nov"/>
      <sheetName val="Towngate Nov"/>
    </sheetNames>
    <sheetDataSet>
      <sheetData sheetId="0"/>
      <sheetData sheetId="1"/>
      <sheetData sheetId="2"/>
      <sheetData sheetId="3" refreshError="1"/>
      <sheetData sheetId="4"/>
      <sheetData sheetId="5" refreshError="1"/>
      <sheetData sheetId="6" refreshError="1"/>
      <sheetData sheetId="7" refreshError="1"/>
      <sheetData sheetId="8" refreshError="1"/>
      <sheetData sheetId="9"/>
      <sheetData sheetId="10" refreshError="1"/>
      <sheetData sheetId="1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 val="TG 9-21"/>
      <sheetName val="lmu"/>
      <sheetName val="M002_010"/>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ow r="8">
          <cell r="C8">
            <v>41456</v>
          </cell>
        </row>
        <row r="11">
          <cell r="C11">
            <v>744</v>
          </cell>
        </row>
        <row r="16">
          <cell r="C16">
            <v>91234</v>
          </cell>
        </row>
        <row r="19">
          <cell r="C19">
            <v>326400</v>
          </cell>
        </row>
        <row r="21">
          <cell r="C21">
            <v>329664</v>
          </cell>
        </row>
        <row r="29">
          <cell r="C29">
            <v>1044</v>
          </cell>
        </row>
        <row r="32">
          <cell r="C32">
            <v>179107</v>
          </cell>
        </row>
        <row r="33">
          <cell r="C33">
            <v>392</v>
          </cell>
        </row>
        <row r="38">
          <cell r="C38">
            <v>652</v>
          </cell>
          <cell r="E38">
            <v>150557</v>
          </cell>
        </row>
        <row r="40">
          <cell r="B40">
            <v>3.3000000000000002E-2</v>
          </cell>
          <cell r="C40">
            <v>22</v>
          </cell>
          <cell r="E40">
            <v>4968</v>
          </cell>
        </row>
        <row r="41">
          <cell r="C41">
            <v>674</v>
          </cell>
          <cell r="E41">
            <v>155525</v>
          </cell>
        </row>
      </sheetData>
      <sheetData sheetId="1">
        <row r="15">
          <cell r="C15">
            <v>1202</v>
          </cell>
        </row>
      </sheetData>
      <sheetData sheetId="2" refreshError="1"/>
      <sheetData sheetId="3" refreshError="1"/>
      <sheetData sheetId="4">
        <row r="1">
          <cell r="F1">
            <v>600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Rates aug 2013"/>
      <sheetName val="Power Cost Detail"/>
      <sheetName val="Proposed PCA 2014"/>
      <sheetName val="PCA 2015"/>
      <sheetName val="PCA 2016"/>
      <sheetName val="PCA 2017"/>
      <sheetName val="2013 PCA Proj &amp; Brewster"/>
      <sheetName val="Load forecast towngate"/>
      <sheetName val="Power rates"/>
      <sheetName val="DCP"/>
      <sheetName val="Financials"/>
      <sheetName val="reserves rec (2)"/>
      <sheetName val="Op_Results"/>
      <sheetName val="Op_Results Proposed"/>
      <sheetName val="Requirements"/>
      <sheetName val="kWhs_Losses"/>
      <sheetName val="Rev_Proj"/>
      <sheetName val="Rates for Report"/>
      <sheetName val="Dave's rates"/>
      <sheetName val="Brewster Purchases"/>
      <sheetName val="Monthly Transfer"/>
      <sheetName val="2011 Transfers"/>
      <sheetName val="Transfers"/>
      <sheetName val="Reserves comp"/>
      <sheetName val="Industrial"/>
      <sheetName val="Residential"/>
      <sheetName val="Seasonal"/>
      <sheetName val="Loss com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4">
          <cell r="Q44">
            <v>3234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250TotCost_001"/>
      <sheetName val="000250Billing_001"/>
      <sheetName val="000256TotCost_001"/>
      <sheetName val="000256Billing_001"/>
      <sheetName val="000257TotCost_001"/>
      <sheetName val="000257TotCost_002"/>
      <sheetName val="000258TotCost_001"/>
      <sheetName val="000258Billing_001"/>
      <sheetName val="000257TotCost_003"/>
      <sheetName val="000257Billing_001"/>
      <sheetName val="000258TotCost_002"/>
      <sheetName val="000257TotCost_004"/>
      <sheetName val="000257Billing_002"/>
      <sheetName val="000258TotCost_003"/>
      <sheetName val="000258Billing_002"/>
      <sheetName val="000260TotCost_001"/>
      <sheetName val="000260Billing_001"/>
      <sheetName val="000261EM_001"/>
      <sheetName val="RateEdit"/>
      <sheetName val="000261TotCost_001"/>
      <sheetName val="000261Billing_001"/>
      <sheetName val="000261TotCost_002"/>
      <sheetName val="000261Billing_002"/>
      <sheetName val="Billing"/>
      <sheetName val="FibroQueries"/>
      <sheetName val="RelNotes"/>
      <sheetName val="Bill Tbls"/>
      <sheetName val="Pl Tbls"/>
      <sheetName val="Sheet25"/>
      <sheetName val="Sheet1"/>
      <sheetName val="Plato Billing6_205 Dec 1 20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9"/>
  <sheetViews>
    <sheetView tabSelected="1" zoomScale="80" zoomScaleNormal="80" zoomScaleSheetLayoutView="85" workbookViewId="0">
      <selection activeCell="D15" sqref="D15"/>
    </sheetView>
  </sheetViews>
  <sheetFormatPr defaultColWidth="8.90625" defaultRowHeight="15.6"/>
  <cols>
    <col min="1" max="1" width="6" style="115" customWidth="1"/>
    <col min="2" max="2" width="28.453125" style="115" customWidth="1"/>
    <col min="3" max="3" width="32.54296875" style="115" customWidth="1"/>
    <col min="4" max="4" width="11.90625" style="115" customWidth="1"/>
    <col min="5" max="5" width="4.90625" style="115" customWidth="1"/>
    <col min="6" max="6" width="4.6328125" style="115" customWidth="1"/>
    <col min="7" max="7" width="8" style="115" customWidth="1"/>
    <col min="8" max="8" width="3.90625" style="115" customWidth="1"/>
    <col min="9" max="9" width="10.90625" style="115" customWidth="1"/>
    <col min="10" max="10" width="2.08984375" style="115" customWidth="1"/>
    <col min="11" max="11" width="9.1796875" style="115" customWidth="1"/>
    <col min="12" max="12" width="28.36328125" style="115" customWidth="1"/>
    <col min="13" max="16384" width="8.90625" style="115"/>
  </cols>
  <sheetData>
    <row r="1" spans="1:12">
      <c r="K1" s="116" t="s">
        <v>474</v>
      </c>
    </row>
    <row r="2" spans="1:12">
      <c r="B2" s="117"/>
      <c r="C2" s="117"/>
      <c r="D2" s="118"/>
      <c r="E2" s="117"/>
      <c r="F2" s="117"/>
      <c r="G2" s="117"/>
      <c r="H2" s="119"/>
      <c r="I2" s="120"/>
      <c r="K2" s="121" t="s">
        <v>184</v>
      </c>
      <c r="L2" s="120"/>
    </row>
    <row r="3" spans="1:12">
      <c r="B3" s="117"/>
      <c r="C3" s="117"/>
      <c r="D3" s="118"/>
      <c r="E3" s="117"/>
      <c r="F3" s="117"/>
      <c r="G3" s="117"/>
      <c r="H3" s="119"/>
      <c r="I3" s="119"/>
      <c r="J3" s="120"/>
      <c r="K3" s="122"/>
      <c r="L3" s="120"/>
    </row>
    <row r="4" spans="1:12">
      <c r="B4" s="117" t="s">
        <v>0</v>
      </c>
      <c r="C4" s="117"/>
      <c r="D4" s="118" t="s">
        <v>1</v>
      </c>
      <c r="E4" s="117"/>
      <c r="F4" s="117"/>
      <c r="G4" s="117"/>
      <c r="H4" s="123"/>
      <c r="I4" s="124"/>
      <c r="J4" s="125"/>
      <c r="K4" s="126" t="s">
        <v>688</v>
      </c>
      <c r="L4" s="120"/>
    </row>
    <row r="5" spans="1:12">
      <c r="B5" s="117"/>
      <c r="C5" s="127" t="s">
        <v>2</v>
      </c>
      <c r="D5" s="127" t="s">
        <v>3</v>
      </c>
      <c r="E5" s="127"/>
      <c r="F5" s="127"/>
      <c r="G5" s="127"/>
      <c r="H5" s="119"/>
      <c r="I5" s="119"/>
      <c r="J5" s="120"/>
      <c r="K5" s="120"/>
      <c r="L5" s="120"/>
    </row>
    <row r="6" spans="1:12">
      <c r="B6" s="120"/>
      <c r="C6" s="120"/>
      <c r="D6" s="120"/>
      <c r="E6" s="120"/>
      <c r="F6" s="120"/>
      <c r="G6" s="120"/>
      <c r="H6" s="120"/>
      <c r="I6" s="120"/>
      <c r="J6" s="120"/>
      <c r="K6" s="120"/>
      <c r="L6" s="120"/>
    </row>
    <row r="7" spans="1:12">
      <c r="A7" s="128"/>
      <c r="B7" s="120"/>
      <c r="C7" s="120"/>
      <c r="D7" s="129" t="s">
        <v>503</v>
      </c>
      <c r="E7" s="125"/>
      <c r="F7" s="285"/>
      <c r="G7" s="285"/>
      <c r="H7" s="120"/>
      <c r="I7" s="120"/>
      <c r="J7" s="120"/>
      <c r="K7" s="120"/>
      <c r="L7" s="120"/>
    </row>
    <row r="8" spans="1:12">
      <c r="A8" s="128"/>
      <c r="B8" s="120"/>
      <c r="C8" s="120"/>
      <c r="D8" s="130"/>
      <c r="E8" s="120"/>
      <c r="F8" s="120"/>
      <c r="G8" s="120"/>
      <c r="H8" s="120"/>
      <c r="I8" s="120"/>
      <c r="J8" s="120"/>
      <c r="K8" s="120"/>
      <c r="L8" s="120"/>
    </row>
    <row r="9" spans="1:12">
      <c r="A9" s="128" t="s">
        <v>4</v>
      </c>
      <c r="B9" s="120"/>
      <c r="C9" s="120"/>
      <c r="D9" s="130"/>
      <c r="E9" s="120"/>
      <c r="F9" s="120"/>
      <c r="G9" s="120"/>
      <c r="H9" s="120"/>
      <c r="I9" s="128" t="s">
        <v>5</v>
      </c>
      <c r="J9" s="120"/>
      <c r="K9" s="120"/>
      <c r="L9" s="120"/>
    </row>
    <row r="10" spans="1:12" ht="16.2" thickBot="1">
      <c r="A10" s="131" t="s">
        <v>6</v>
      </c>
      <c r="B10" s="120"/>
      <c r="C10" s="120"/>
      <c r="D10" s="120"/>
      <c r="E10" s="120"/>
      <c r="F10" s="120"/>
      <c r="G10" s="120"/>
      <c r="H10" s="120"/>
      <c r="I10" s="131" t="s">
        <v>7</v>
      </c>
      <c r="J10" s="120"/>
      <c r="K10" s="120"/>
      <c r="L10" s="120"/>
    </row>
    <row r="11" spans="1:12">
      <c r="A11" s="128">
        <v>1</v>
      </c>
      <c r="B11" s="306" t="s">
        <v>250</v>
      </c>
      <c r="C11" s="306"/>
      <c r="D11" s="132"/>
      <c r="E11" s="120"/>
      <c r="F11" s="120"/>
      <c r="G11" s="120"/>
      <c r="H11" s="120"/>
      <c r="I11" s="133">
        <f>+I201</f>
        <v>307483.66749810218</v>
      </c>
      <c r="J11" s="120"/>
      <c r="K11" s="120"/>
      <c r="L11" s="120"/>
    </row>
    <row r="12" spans="1:12">
      <c r="A12" s="128"/>
      <c r="B12" s="306"/>
      <c r="C12" s="306"/>
      <c r="D12" s="120"/>
      <c r="E12" s="120"/>
      <c r="F12" s="120"/>
      <c r="G12" s="120"/>
      <c r="H12" s="120"/>
      <c r="I12" s="132"/>
      <c r="J12" s="120"/>
      <c r="K12" s="120"/>
      <c r="L12" s="120"/>
    </row>
    <row r="13" spans="1:12" ht="16.2" thickBot="1">
      <c r="A13" s="128" t="s">
        <v>2</v>
      </c>
      <c r="B13" s="308" t="s">
        <v>8</v>
      </c>
      <c r="C13" s="307" t="s">
        <v>175</v>
      </c>
      <c r="D13" s="131" t="s">
        <v>9</v>
      </c>
      <c r="E13" s="127"/>
      <c r="F13" s="135" t="s">
        <v>10</v>
      </c>
      <c r="G13" s="135"/>
      <c r="H13" s="120"/>
      <c r="I13" s="132"/>
      <c r="J13" s="120"/>
      <c r="K13" s="120"/>
      <c r="L13" s="120"/>
    </row>
    <row r="14" spans="1:12">
      <c r="A14" s="128">
        <v>2</v>
      </c>
      <c r="B14" s="308" t="s">
        <v>11</v>
      </c>
      <c r="C14" s="307" t="s">
        <v>168</v>
      </c>
      <c r="D14" s="127">
        <f>I261</f>
        <v>52251</v>
      </c>
      <c r="E14" s="127"/>
      <c r="F14" s="127" t="s">
        <v>12</v>
      </c>
      <c r="G14" s="136">
        <f>I220</f>
        <v>1</v>
      </c>
      <c r="H14" s="127"/>
      <c r="I14" s="127">
        <f>+G14*D14</f>
        <v>52251</v>
      </c>
      <c r="J14" s="120"/>
      <c r="K14" s="120"/>
      <c r="L14" s="120"/>
    </row>
    <row r="15" spans="1:12">
      <c r="A15" s="128">
        <v>3</v>
      </c>
      <c r="B15" s="308" t="s">
        <v>193</v>
      </c>
      <c r="C15" s="307" t="s">
        <v>169</v>
      </c>
      <c r="D15" s="127">
        <f>+I268</f>
        <v>9219.2999999999993</v>
      </c>
      <c r="E15" s="127"/>
      <c r="F15" s="127" t="str">
        <f>+F14</f>
        <v>TP</v>
      </c>
      <c r="G15" s="136">
        <f>+G14</f>
        <v>1</v>
      </c>
      <c r="H15" s="127"/>
      <c r="I15" s="127">
        <f>+G15*D15</f>
        <v>9219.2999999999993</v>
      </c>
      <c r="J15" s="120"/>
      <c r="K15" s="120"/>
    </row>
    <row r="16" spans="1:12">
      <c r="A16" s="128">
        <v>4</v>
      </c>
      <c r="B16" s="308" t="s">
        <v>13</v>
      </c>
      <c r="C16" s="307"/>
      <c r="D16" s="137">
        <v>0</v>
      </c>
      <c r="E16" s="127"/>
      <c r="F16" s="127" t="s">
        <v>12</v>
      </c>
      <c r="G16" s="136">
        <f>+G14</f>
        <v>1</v>
      </c>
      <c r="H16" s="127"/>
      <c r="I16" s="127">
        <f>+G16*D16</f>
        <v>0</v>
      </c>
      <c r="J16" s="120"/>
      <c r="K16" s="120"/>
      <c r="L16" s="138"/>
    </row>
    <row r="17" spans="1:12" ht="16.2" thickBot="1">
      <c r="A17" s="128">
        <v>5</v>
      </c>
      <c r="B17" s="308" t="s">
        <v>14</v>
      </c>
      <c r="C17" s="307"/>
      <c r="D17" s="137">
        <v>0</v>
      </c>
      <c r="E17" s="127"/>
      <c r="F17" s="127" t="s">
        <v>12</v>
      </c>
      <c r="G17" s="136">
        <f>+G14</f>
        <v>1</v>
      </c>
      <c r="H17" s="127"/>
      <c r="I17" s="139">
        <f>+G17*D17</f>
        <v>0</v>
      </c>
      <c r="J17" s="120"/>
      <c r="K17" s="120"/>
      <c r="L17" s="138"/>
    </row>
    <row r="18" spans="1:12">
      <c r="A18" s="128">
        <v>6</v>
      </c>
      <c r="B18" s="308" t="s">
        <v>15</v>
      </c>
      <c r="C18" s="306"/>
      <c r="D18" s="140" t="s">
        <v>2</v>
      </c>
      <c r="E18" s="127"/>
      <c r="F18" s="127"/>
      <c r="G18" s="136"/>
      <c r="H18" s="127"/>
      <c r="I18" s="127">
        <f>SUM(I14:I17)</f>
        <v>61470.3</v>
      </c>
      <c r="J18" s="120"/>
      <c r="K18" s="120"/>
      <c r="L18" s="120"/>
    </row>
    <row r="19" spans="1:12">
      <c r="A19" s="128"/>
      <c r="B19" s="308"/>
      <c r="C19" s="306"/>
      <c r="D19" s="140"/>
      <c r="E19" s="127"/>
      <c r="F19" s="127"/>
      <c r="G19" s="136"/>
      <c r="H19" s="127"/>
      <c r="I19" s="127"/>
      <c r="J19" s="120"/>
      <c r="K19" s="120"/>
      <c r="L19" s="120"/>
    </row>
    <row r="20" spans="1:12">
      <c r="A20" s="298" t="s">
        <v>682</v>
      </c>
      <c r="B20" s="308" t="s">
        <v>683</v>
      </c>
      <c r="C20" s="305"/>
      <c r="D20" s="297"/>
      <c r="E20" s="297"/>
      <c r="F20" s="297"/>
      <c r="G20" s="297"/>
      <c r="H20" s="297"/>
      <c r="I20" s="299">
        <v>0</v>
      </c>
      <c r="J20" s="120"/>
      <c r="K20" s="120"/>
      <c r="L20" s="120"/>
    </row>
    <row r="21" spans="1:12" ht="16.2" thickBot="1">
      <c r="A21" s="298" t="s">
        <v>684</v>
      </c>
      <c r="B21" s="308" t="s">
        <v>685</v>
      </c>
      <c r="C21" s="305"/>
      <c r="D21" s="297"/>
      <c r="E21" s="297"/>
      <c r="F21" s="297"/>
      <c r="G21" s="297"/>
      <c r="H21" s="297"/>
      <c r="I21" s="301">
        <v>0</v>
      </c>
      <c r="J21" s="120"/>
      <c r="K21" s="120"/>
      <c r="L21" s="120"/>
    </row>
    <row r="22" spans="1:12">
      <c r="A22" s="298" t="s">
        <v>686</v>
      </c>
      <c r="B22" s="308" t="s">
        <v>687</v>
      </c>
      <c r="C22" s="305"/>
      <c r="D22" s="297"/>
      <c r="E22" s="297"/>
      <c r="F22" s="297"/>
      <c r="G22" s="297"/>
      <c r="H22" s="297"/>
      <c r="I22" s="300">
        <v>0</v>
      </c>
      <c r="J22" s="120"/>
      <c r="K22" s="120"/>
      <c r="L22" s="120"/>
    </row>
    <row r="23" spans="1:12">
      <c r="A23" s="128"/>
      <c r="B23" s="308"/>
      <c r="C23" s="306"/>
      <c r="D23" s="140"/>
      <c r="E23" s="127"/>
      <c r="F23" s="127"/>
      <c r="G23" s="136"/>
      <c r="H23" s="127"/>
      <c r="I23" s="127"/>
      <c r="J23" s="120"/>
      <c r="K23" s="120"/>
      <c r="L23" s="120"/>
    </row>
    <row r="24" spans="1:12" ht="16.2" thickBot="1">
      <c r="A24" s="128">
        <v>7</v>
      </c>
      <c r="B24" s="308" t="s">
        <v>16</v>
      </c>
      <c r="C24" s="306" t="s">
        <v>695</v>
      </c>
      <c r="D24" s="140" t="s">
        <v>2</v>
      </c>
      <c r="E24" s="127"/>
      <c r="F24" s="127"/>
      <c r="G24" s="127"/>
      <c r="H24" s="127"/>
      <c r="I24" s="141">
        <f>+I11-I18+I22</f>
        <v>246013.36749810219</v>
      </c>
      <c r="J24" s="120"/>
      <c r="K24" s="120"/>
      <c r="L24" s="120"/>
    </row>
    <row r="25" spans="1:12" ht="16.2" thickTop="1">
      <c r="A25" s="128"/>
      <c r="B25" s="134"/>
      <c r="C25" s="127"/>
      <c r="I25" s="127"/>
      <c r="J25" s="120"/>
      <c r="K25" s="120"/>
      <c r="L25" s="120"/>
    </row>
    <row r="26" spans="1:12">
      <c r="A26" s="128" t="s">
        <v>2</v>
      </c>
      <c r="B26" s="313" t="s">
        <v>17</v>
      </c>
      <c r="C26" s="310"/>
      <c r="D26" s="314"/>
      <c r="E26" s="120"/>
      <c r="F26" s="120"/>
      <c r="G26" s="120"/>
      <c r="H26" s="120"/>
      <c r="I26" s="132"/>
      <c r="J26" s="120"/>
      <c r="K26" s="120"/>
      <c r="L26" s="120"/>
    </row>
    <row r="27" spans="1:12">
      <c r="A27" s="128">
        <v>8</v>
      </c>
      <c r="B27" s="313" t="s">
        <v>18</v>
      </c>
      <c r="C27" s="309"/>
      <c r="D27" s="314"/>
      <c r="E27" s="120"/>
      <c r="F27" s="120"/>
      <c r="G27" s="119" t="s">
        <v>19</v>
      </c>
      <c r="H27" s="120"/>
      <c r="I27" s="137">
        <v>0</v>
      </c>
      <c r="J27" s="120"/>
      <c r="K27" s="120"/>
      <c r="L27" s="304" t="s">
        <v>702</v>
      </c>
    </row>
    <row r="28" spans="1:12">
      <c r="A28" s="128">
        <v>9</v>
      </c>
      <c r="B28" s="313" t="s">
        <v>20</v>
      </c>
      <c r="C28" s="311"/>
      <c r="D28" s="311"/>
      <c r="E28" s="127"/>
      <c r="F28" s="127"/>
      <c r="G28" s="127" t="s">
        <v>21</v>
      </c>
      <c r="H28" s="127"/>
      <c r="I28" s="137">
        <v>0</v>
      </c>
      <c r="J28" s="120"/>
      <c r="K28" s="120"/>
      <c r="L28" s="120"/>
    </row>
    <row r="29" spans="1:12">
      <c r="A29" s="128">
        <v>10</v>
      </c>
      <c r="B29" s="313" t="s">
        <v>22</v>
      </c>
      <c r="C29" s="310"/>
      <c r="D29" s="310"/>
      <c r="E29" s="120"/>
      <c r="F29" s="120"/>
      <c r="G29" s="119" t="s">
        <v>23</v>
      </c>
      <c r="H29" s="120"/>
      <c r="I29" s="137">
        <v>0</v>
      </c>
      <c r="J29" s="120"/>
      <c r="K29" s="120"/>
      <c r="L29" s="120"/>
    </row>
    <row r="30" spans="1:12">
      <c r="A30" s="128">
        <v>11</v>
      </c>
      <c r="B30" s="315" t="s">
        <v>24</v>
      </c>
      <c r="C30" s="310"/>
      <c r="D30" s="310"/>
      <c r="E30" s="120"/>
      <c r="F30" s="120"/>
      <c r="G30" s="119" t="s">
        <v>25</v>
      </c>
      <c r="H30" s="120"/>
      <c r="I30" s="137">
        <v>0</v>
      </c>
      <c r="J30" s="120"/>
      <c r="K30" s="120"/>
      <c r="L30" s="120"/>
    </row>
    <row r="31" spans="1:12">
      <c r="A31" s="128">
        <v>12</v>
      </c>
      <c r="B31" s="315" t="s">
        <v>26</v>
      </c>
      <c r="C31" s="310"/>
      <c r="D31" s="310"/>
      <c r="E31" s="120"/>
      <c r="F31" s="120"/>
      <c r="G31" s="119"/>
      <c r="H31" s="120"/>
      <c r="I31" s="137">
        <v>0</v>
      </c>
      <c r="J31" s="120"/>
      <c r="K31" s="120"/>
      <c r="L31" s="120"/>
    </row>
    <row r="32" spans="1:12">
      <c r="A32" s="128">
        <v>13</v>
      </c>
      <c r="B32" s="315" t="s">
        <v>176</v>
      </c>
      <c r="C32" s="310"/>
      <c r="D32" s="310"/>
      <c r="E32" s="120"/>
      <c r="F32" s="120"/>
      <c r="G32" s="119"/>
      <c r="H32" s="120"/>
      <c r="I32" s="142">
        <v>0</v>
      </c>
      <c r="J32" s="120"/>
      <c r="K32" s="120"/>
      <c r="L32" s="120"/>
    </row>
    <row r="33" spans="1:12" ht="16.2" thickBot="1">
      <c r="A33" s="128">
        <v>14</v>
      </c>
      <c r="B33" s="312" t="s">
        <v>170</v>
      </c>
      <c r="C33" s="310"/>
      <c r="D33" s="310"/>
      <c r="E33" s="120"/>
      <c r="F33" s="120"/>
      <c r="G33" s="120"/>
      <c r="H33" s="120"/>
      <c r="I33" s="143">
        <v>0</v>
      </c>
      <c r="J33" s="120"/>
      <c r="K33" s="120"/>
      <c r="L33" s="120"/>
    </row>
    <row r="34" spans="1:12">
      <c r="A34" s="128">
        <v>15</v>
      </c>
      <c r="B34" s="313" t="s">
        <v>210</v>
      </c>
      <c r="C34" s="310"/>
      <c r="D34" s="310"/>
      <c r="E34" s="120"/>
      <c r="F34" s="120"/>
      <c r="G34" s="120"/>
      <c r="H34" s="120"/>
      <c r="I34" s="132">
        <f>SUM(I27:I33)</f>
        <v>0</v>
      </c>
      <c r="J34" s="120"/>
      <c r="K34" s="120"/>
      <c r="L34" s="120"/>
    </row>
    <row r="35" spans="1:12">
      <c r="A35" s="128"/>
      <c r="B35" s="134"/>
      <c r="C35" s="120"/>
      <c r="D35" s="120"/>
      <c r="E35" s="120"/>
      <c r="F35" s="120"/>
      <c r="G35" s="120"/>
      <c r="H35" s="120"/>
      <c r="I35" s="132"/>
      <c r="J35" s="120"/>
      <c r="K35" s="120"/>
      <c r="L35" s="120"/>
    </row>
    <row r="36" spans="1:12">
      <c r="A36" s="128">
        <v>16</v>
      </c>
      <c r="B36" s="317" t="s">
        <v>27</v>
      </c>
      <c r="C36" s="316" t="s">
        <v>209</v>
      </c>
      <c r="D36" s="144">
        <f>IF(I34&gt;0,I24/I34,0)</f>
        <v>0</v>
      </c>
      <c r="E36" s="120"/>
      <c r="F36" s="120"/>
      <c r="G36" s="120"/>
      <c r="H36" s="120"/>
      <c r="J36" s="120"/>
      <c r="K36" s="120"/>
      <c r="L36" s="120"/>
    </row>
    <row r="37" spans="1:12">
      <c r="A37" s="128">
        <v>17</v>
      </c>
      <c r="B37" s="317" t="s">
        <v>211</v>
      </c>
      <c r="C37" s="316"/>
      <c r="D37" s="144">
        <f>+D36/12</f>
        <v>0</v>
      </c>
      <c r="E37" s="120"/>
      <c r="F37" s="120"/>
      <c r="G37" s="120"/>
      <c r="H37" s="120"/>
      <c r="J37" s="120"/>
      <c r="K37" s="120"/>
      <c r="L37" s="120"/>
    </row>
    <row r="38" spans="1:12">
      <c r="A38" s="128"/>
      <c r="B38" s="317"/>
      <c r="C38" s="316"/>
      <c r="D38" s="144"/>
      <c r="E38" s="120"/>
      <c r="F38" s="120"/>
      <c r="G38" s="120"/>
      <c r="H38" s="120"/>
      <c r="J38" s="120"/>
      <c r="K38" s="120"/>
      <c r="L38" s="120"/>
    </row>
    <row r="39" spans="1:12">
      <c r="A39" s="128"/>
      <c r="B39" s="317"/>
      <c r="C39" s="316"/>
      <c r="D39" s="145" t="s">
        <v>28</v>
      </c>
      <c r="E39" s="120"/>
      <c r="F39" s="120"/>
      <c r="G39" s="120"/>
      <c r="H39" s="120"/>
      <c r="I39" s="146" t="s">
        <v>29</v>
      </c>
      <c r="J39" s="120"/>
      <c r="K39" s="120"/>
      <c r="L39" s="120"/>
    </row>
    <row r="40" spans="1:12">
      <c r="A40" s="128">
        <v>18</v>
      </c>
      <c r="B40" s="317" t="s">
        <v>30</v>
      </c>
      <c r="C40" s="316" t="s">
        <v>212</v>
      </c>
      <c r="D40" s="144">
        <f>+D36/52</f>
        <v>0</v>
      </c>
      <c r="E40" s="120"/>
      <c r="F40" s="120"/>
      <c r="G40" s="120"/>
      <c r="H40" s="120"/>
      <c r="I40" s="147">
        <f>+D36/52</f>
        <v>0</v>
      </c>
      <c r="J40" s="120"/>
      <c r="K40" s="120"/>
      <c r="L40" s="120"/>
    </row>
    <row r="41" spans="1:12">
      <c r="A41" s="128">
        <v>19</v>
      </c>
      <c r="B41" s="317" t="s">
        <v>31</v>
      </c>
      <c r="C41" s="316" t="s">
        <v>251</v>
      </c>
      <c r="D41" s="144">
        <f>+D36/260</f>
        <v>0</v>
      </c>
      <c r="E41" s="120" t="s">
        <v>32</v>
      </c>
      <c r="G41" s="120"/>
      <c r="H41" s="120"/>
      <c r="I41" s="147">
        <f>+D36/365</f>
        <v>0</v>
      </c>
      <c r="J41" s="120"/>
      <c r="K41" s="120"/>
      <c r="L41" s="120"/>
    </row>
    <row r="42" spans="1:12">
      <c r="A42" s="128">
        <v>20</v>
      </c>
      <c r="B42" s="317" t="s">
        <v>33</v>
      </c>
      <c r="C42" s="316" t="s">
        <v>252</v>
      </c>
      <c r="D42" s="144">
        <f>+D36/4160*1000</f>
        <v>0</v>
      </c>
      <c r="E42" s="120" t="s">
        <v>34</v>
      </c>
      <c r="G42" s="120"/>
      <c r="H42" s="120"/>
      <c r="I42" s="147">
        <f>+D36/8760*1000</f>
        <v>0</v>
      </c>
      <c r="J42" s="120"/>
      <c r="K42" s="120" t="s">
        <v>2</v>
      </c>
      <c r="L42" s="120"/>
    </row>
    <row r="43" spans="1:12">
      <c r="A43" s="128"/>
      <c r="B43" s="317"/>
      <c r="C43" s="316" t="s">
        <v>35</v>
      </c>
      <c r="D43" s="120"/>
      <c r="E43" s="120" t="s">
        <v>36</v>
      </c>
      <c r="G43" s="120"/>
      <c r="H43" s="120"/>
      <c r="J43" s="120"/>
      <c r="K43" s="120" t="s">
        <v>2</v>
      </c>
      <c r="L43" s="120"/>
    </row>
    <row r="44" spans="1:12">
      <c r="A44" s="128"/>
      <c r="B44" s="317"/>
      <c r="C44" s="316"/>
      <c r="D44" s="120"/>
      <c r="E44" s="120"/>
      <c r="G44" s="120"/>
      <c r="H44" s="120"/>
      <c r="J44" s="120"/>
      <c r="K44" s="120" t="s">
        <v>2</v>
      </c>
      <c r="L44" s="120"/>
    </row>
    <row r="45" spans="1:12">
      <c r="A45" s="128">
        <v>21</v>
      </c>
      <c r="B45" s="317" t="s">
        <v>213</v>
      </c>
      <c r="C45" s="316" t="s">
        <v>204</v>
      </c>
      <c r="D45" s="148">
        <v>0</v>
      </c>
      <c r="E45" s="149" t="s">
        <v>37</v>
      </c>
      <c r="F45" s="149"/>
      <c r="G45" s="149"/>
      <c r="H45" s="149"/>
      <c r="I45" s="149">
        <f>D45</f>
        <v>0</v>
      </c>
      <c r="J45" s="149" t="s">
        <v>37</v>
      </c>
      <c r="K45" s="120"/>
      <c r="L45" s="120"/>
    </row>
    <row r="46" spans="1:12">
      <c r="A46" s="128">
        <v>22</v>
      </c>
      <c r="B46" s="134"/>
      <c r="C46" s="120"/>
      <c r="D46" s="148">
        <v>0</v>
      </c>
      <c r="E46" s="149" t="s">
        <v>38</v>
      </c>
      <c r="F46" s="149"/>
      <c r="G46" s="149"/>
      <c r="H46" s="149"/>
      <c r="I46" s="149">
        <f>D46</f>
        <v>0</v>
      </c>
      <c r="J46" s="149" t="s">
        <v>38</v>
      </c>
      <c r="K46" s="120"/>
      <c r="L46" s="120"/>
    </row>
    <row r="47" spans="1:12">
      <c r="J47" s="119"/>
      <c r="K47" s="120"/>
      <c r="L47" s="120"/>
    </row>
    <row r="48" spans="1:12">
      <c r="J48" s="119"/>
      <c r="K48" s="120"/>
      <c r="L48" s="120"/>
    </row>
    <row r="49" spans="10:12">
      <c r="J49" s="119"/>
      <c r="K49" s="120"/>
      <c r="L49" s="120"/>
    </row>
    <row r="50" spans="10:12">
      <c r="J50" s="119"/>
      <c r="K50" s="120"/>
      <c r="L50" s="120"/>
    </row>
    <row r="51" spans="10:12">
      <c r="J51" s="119"/>
      <c r="K51" s="120"/>
      <c r="L51" s="120"/>
    </row>
    <row r="52" spans="10:12">
      <c r="J52" s="119"/>
      <c r="K52" s="120"/>
      <c r="L52" s="120"/>
    </row>
    <row r="53" spans="10:12">
      <c r="J53" s="119"/>
      <c r="K53" s="120"/>
      <c r="L53" s="120"/>
    </row>
    <row r="54" spans="10:12">
      <c r="J54" s="119"/>
      <c r="K54" s="120"/>
      <c r="L54" s="120"/>
    </row>
    <row r="55" spans="10:12">
      <c r="J55" s="119"/>
      <c r="K55" s="120"/>
      <c r="L55" s="120"/>
    </row>
    <row r="56" spans="10:12">
      <c r="J56" s="119"/>
      <c r="K56" s="120"/>
      <c r="L56" s="120"/>
    </row>
    <row r="57" spans="10:12">
      <c r="J57" s="119"/>
      <c r="K57" s="120"/>
      <c r="L57" s="120"/>
    </row>
    <row r="58" spans="10:12">
      <c r="J58" s="119"/>
      <c r="K58" s="120"/>
      <c r="L58" s="120"/>
    </row>
    <row r="59" spans="10:12">
      <c r="J59" s="119"/>
      <c r="K59" s="120"/>
      <c r="L59" s="120"/>
    </row>
    <row r="60" spans="10:12">
      <c r="J60" s="119"/>
      <c r="K60" s="120"/>
      <c r="L60" s="120"/>
    </row>
    <row r="61" spans="10:12">
      <c r="J61" s="119"/>
      <c r="K61" s="120"/>
      <c r="L61" s="120"/>
    </row>
    <row r="62" spans="10:12">
      <c r="J62" s="119"/>
      <c r="K62" s="120"/>
      <c r="L62" s="120"/>
    </row>
    <row r="63" spans="10:12">
      <c r="J63" s="119"/>
      <c r="K63" s="120"/>
      <c r="L63" s="120"/>
    </row>
    <row r="64" spans="10:12">
      <c r="J64" s="119"/>
      <c r="K64" s="120"/>
      <c r="L64" s="120"/>
    </row>
    <row r="65" spans="1:12">
      <c r="J65" s="119"/>
      <c r="K65" s="120"/>
      <c r="L65" s="120"/>
    </row>
    <row r="66" spans="1:12">
      <c r="J66" s="119"/>
      <c r="K66" s="120"/>
      <c r="L66" s="120"/>
    </row>
    <row r="67" spans="1:12">
      <c r="J67" s="119"/>
      <c r="K67" s="120"/>
      <c r="L67" s="120"/>
    </row>
    <row r="68" spans="1:12">
      <c r="J68" s="119"/>
      <c r="K68" s="120"/>
      <c r="L68" s="120"/>
    </row>
    <row r="69" spans="1:12">
      <c r="J69" s="119"/>
      <c r="K69" s="120"/>
      <c r="L69" s="120"/>
    </row>
    <row r="70" spans="1:12">
      <c r="J70" s="119"/>
      <c r="K70" s="120"/>
      <c r="L70" s="120"/>
    </row>
    <row r="71" spans="1:12">
      <c r="J71" s="119"/>
      <c r="K71" s="120"/>
      <c r="L71" s="120"/>
    </row>
    <row r="72" spans="1:12">
      <c r="J72" s="119"/>
      <c r="K72" s="116" t="s">
        <v>474</v>
      </c>
      <c r="L72" s="120"/>
    </row>
    <row r="73" spans="1:12">
      <c r="B73" s="117"/>
      <c r="C73" s="117"/>
      <c r="D73" s="118"/>
      <c r="E73" s="117"/>
      <c r="F73" s="117"/>
      <c r="G73" s="117"/>
      <c r="H73" s="119"/>
      <c r="I73" s="119"/>
      <c r="K73" s="121" t="s">
        <v>185</v>
      </c>
      <c r="L73" s="121"/>
    </row>
    <row r="74" spans="1:12">
      <c r="B74" s="120"/>
      <c r="C74" s="120"/>
      <c r="D74" s="120"/>
      <c r="E74" s="120"/>
      <c r="F74" s="120"/>
      <c r="G74" s="120"/>
      <c r="H74" s="120"/>
      <c r="I74" s="120"/>
      <c r="J74" s="120"/>
      <c r="K74" s="120"/>
      <c r="L74" s="120"/>
    </row>
    <row r="75" spans="1:12">
      <c r="B75" s="134" t="str">
        <f>B4</f>
        <v xml:space="preserve">Formula Rate - Non-Levelized </v>
      </c>
      <c r="C75" s="134"/>
      <c r="D75" s="150" t="str">
        <f>D4</f>
        <v xml:space="preserve">   Rate Formula Template</v>
      </c>
      <c r="E75" s="134"/>
      <c r="F75" s="134"/>
      <c r="G75" s="134"/>
      <c r="H75" s="134"/>
      <c r="J75" s="134"/>
      <c r="K75" s="121" t="str">
        <f>K4</f>
        <v>For the 12 months ended 12/31/2015</v>
      </c>
      <c r="L75" s="120"/>
    </row>
    <row r="76" spans="1:12">
      <c r="B76" s="134"/>
      <c r="C76" s="127" t="s">
        <v>2</v>
      </c>
      <c r="D76" s="127" t="str">
        <f>D5</f>
        <v>Utilizing EIA Form 412 Data</v>
      </c>
      <c r="E76" s="127"/>
      <c r="F76" s="127"/>
      <c r="G76" s="127"/>
      <c r="H76" s="127"/>
      <c r="I76" s="127"/>
      <c r="J76" s="127"/>
      <c r="K76" s="127"/>
      <c r="L76" s="120"/>
    </row>
    <row r="77" spans="1:12">
      <c r="B77" s="134"/>
      <c r="C77" s="127" t="s">
        <v>2</v>
      </c>
      <c r="D77" s="127" t="s">
        <v>2</v>
      </c>
      <c r="E77" s="127"/>
      <c r="F77" s="127"/>
      <c r="G77" s="127" t="s">
        <v>2</v>
      </c>
      <c r="H77" s="127"/>
      <c r="I77" s="127"/>
      <c r="J77" s="127"/>
      <c r="K77" s="127"/>
      <c r="L77" s="134"/>
    </row>
    <row r="78" spans="1:12">
      <c r="B78" s="134"/>
      <c r="C78" s="120"/>
      <c r="D78" s="127" t="str">
        <f>D7</f>
        <v>ALP Utilities (Alexandria, Minnesota)</v>
      </c>
      <c r="E78" s="127"/>
      <c r="F78" s="127"/>
      <c r="G78" s="127"/>
      <c r="H78" s="127"/>
      <c r="I78" s="127"/>
      <c r="J78" s="127"/>
      <c r="K78" s="127"/>
      <c r="L78" s="134"/>
    </row>
    <row r="79" spans="1:12">
      <c r="B79" s="122" t="s">
        <v>39</v>
      </c>
      <c r="C79" s="122" t="s">
        <v>40</v>
      </c>
      <c r="D79" s="122" t="s">
        <v>41</v>
      </c>
      <c r="E79" s="127" t="s">
        <v>2</v>
      </c>
      <c r="F79" s="127"/>
      <c r="G79" s="151" t="s">
        <v>42</v>
      </c>
      <c r="H79" s="127"/>
      <c r="I79" s="152" t="s">
        <v>43</v>
      </c>
      <c r="J79" s="127"/>
      <c r="K79" s="122"/>
      <c r="L79" s="134"/>
    </row>
    <row r="80" spans="1:12">
      <c r="A80" s="128" t="s">
        <v>4</v>
      </c>
      <c r="B80" s="134"/>
      <c r="C80" s="153" t="s">
        <v>44</v>
      </c>
      <c r="D80" s="127"/>
      <c r="E80" s="127"/>
      <c r="F80" s="127"/>
      <c r="G80" s="128"/>
      <c r="H80" s="127"/>
      <c r="I80" s="154" t="s">
        <v>45</v>
      </c>
      <c r="J80" s="127"/>
      <c r="K80" s="122"/>
      <c r="L80" s="134"/>
    </row>
    <row r="81" spans="1:12" ht="16.2" thickBot="1">
      <c r="A81" s="131" t="s">
        <v>6</v>
      </c>
      <c r="B81" s="155" t="s">
        <v>50</v>
      </c>
      <c r="C81" s="156" t="s">
        <v>46</v>
      </c>
      <c r="D81" s="154" t="s">
        <v>47</v>
      </c>
      <c r="E81" s="157"/>
      <c r="F81" s="154" t="s">
        <v>48</v>
      </c>
      <c r="H81" s="157"/>
      <c r="I81" s="128" t="s">
        <v>49</v>
      </c>
      <c r="J81" s="127"/>
      <c r="K81" s="122"/>
      <c r="L81" s="134"/>
    </row>
    <row r="82" spans="1:12">
      <c r="A82" s="128"/>
      <c r="B82" s="323" t="s">
        <v>464</v>
      </c>
      <c r="C82" s="321"/>
      <c r="D82" s="127"/>
      <c r="E82" s="127"/>
      <c r="F82" s="127"/>
      <c r="G82" s="127"/>
      <c r="H82" s="127"/>
      <c r="I82" s="127"/>
      <c r="J82" s="127"/>
      <c r="K82" s="127"/>
      <c r="L82" s="134"/>
    </row>
    <row r="83" spans="1:12">
      <c r="A83" s="128">
        <v>1</v>
      </c>
      <c r="B83" s="323" t="s">
        <v>51</v>
      </c>
      <c r="C83" s="321" t="s">
        <v>253</v>
      </c>
      <c r="D83" s="158">
        <f>+'Electric Plant Sched 4'!F15</f>
        <v>2889051.71</v>
      </c>
      <c r="E83" s="127"/>
      <c r="F83" s="127" t="s">
        <v>52</v>
      </c>
      <c r="G83" s="159" t="s">
        <v>2</v>
      </c>
      <c r="H83" s="127"/>
      <c r="I83" s="127" t="s">
        <v>2</v>
      </c>
      <c r="J83" s="127"/>
      <c r="K83" s="127"/>
      <c r="L83" s="160" t="s">
        <v>395</v>
      </c>
    </row>
    <row r="84" spans="1:12">
      <c r="A84" s="128">
        <v>2</v>
      </c>
      <c r="B84" s="323" t="s">
        <v>53</v>
      </c>
      <c r="C84" s="321" t="s">
        <v>254</v>
      </c>
      <c r="D84" s="158">
        <f>+'Electric Plant Sched 4'!F17</f>
        <v>2753134.02</v>
      </c>
      <c r="E84" s="127"/>
      <c r="F84" s="127" t="s">
        <v>12</v>
      </c>
      <c r="G84" s="159">
        <f>I220</f>
        <v>1</v>
      </c>
      <c r="H84" s="127"/>
      <c r="I84" s="127">
        <f>+G84*D84</f>
        <v>2753134.02</v>
      </c>
      <c r="J84" s="127"/>
      <c r="K84" s="127"/>
      <c r="L84" s="160" t="s">
        <v>395</v>
      </c>
    </row>
    <row r="85" spans="1:12">
      <c r="A85" s="128">
        <v>3</v>
      </c>
      <c r="B85" s="323" t="s">
        <v>54</v>
      </c>
      <c r="C85" s="321" t="s">
        <v>255</v>
      </c>
      <c r="D85" s="158">
        <f>+'Electric Plant Sched 4'!F18</f>
        <v>37102715.529999994</v>
      </c>
      <c r="E85" s="127"/>
      <c r="F85" s="127" t="s">
        <v>52</v>
      </c>
      <c r="G85" s="159" t="s">
        <v>2</v>
      </c>
      <c r="H85" s="127"/>
      <c r="I85" s="127" t="s">
        <v>2</v>
      </c>
      <c r="J85" s="127"/>
      <c r="K85" s="127"/>
      <c r="L85" s="160" t="s">
        <v>395</v>
      </c>
    </row>
    <row r="86" spans="1:12">
      <c r="A86" s="128">
        <v>4</v>
      </c>
      <c r="B86" s="323" t="s">
        <v>55</v>
      </c>
      <c r="C86" s="321" t="s">
        <v>465</v>
      </c>
      <c r="D86" s="158">
        <f>+'Electric Plant Sched 4'!F19</f>
        <v>4160811.6700000004</v>
      </c>
      <c r="E86" s="127"/>
      <c r="F86" s="127" t="s">
        <v>56</v>
      </c>
      <c r="G86" s="159">
        <f>I236</f>
        <v>0</v>
      </c>
      <c r="H86" s="127"/>
      <c r="I86" s="127">
        <f>+G86*D86</f>
        <v>0</v>
      </c>
      <c r="J86" s="127"/>
      <c r="K86" s="127"/>
      <c r="L86" s="160" t="s">
        <v>395</v>
      </c>
    </row>
    <row r="87" spans="1:12" ht="16.2" thickBot="1">
      <c r="A87" s="128">
        <v>5</v>
      </c>
      <c r="B87" s="323" t="s">
        <v>57</v>
      </c>
      <c r="C87" s="321"/>
      <c r="D87" s="161">
        <v>0</v>
      </c>
      <c r="E87" s="127"/>
      <c r="F87" s="127" t="s">
        <v>58</v>
      </c>
      <c r="G87" s="159">
        <f>K240</f>
        <v>0</v>
      </c>
      <c r="H87" s="127"/>
      <c r="I87" s="139">
        <f>+G87*D87</f>
        <v>0</v>
      </c>
      <c r="J87" s="127"/>
      <c r="K87" s="127"/>
      <c r="L87" s="134"/>
    </row>
    <row r="88" spans="1:12">
      <c r="A88" s="128">
        <v>6</v>
      </c>
      <c r="B88" s="322" t="s">
        <v>214</v>
      </c>
      <c r="C88" s="321"/>
      <c r="D88" s="127">
        <f>SUM(D83:D87)</f>
        <v>46905712.929999992</v>
      </c>
      <c r="E88" s="127"/>
      <c r="F88" s="127" t="s">
        <v>59</v>
      </c>
      <c r="G88" s="162">
        <f>IF(I88&gt;0,I88/D88,0)</f>
        <v>5.869506821287751E-2</v>
      </c>
      <c r="H88" s="127"/>
      <c r="I88" s="127">
        <f>SUM(I83:I87)</f>
        <v>2753134.02</v>
      </c>
      <c r="J88" s="127"/>
      <c r="K88" s="162"/>
      <c r="L88" s="134"/>
    </row>
    <row r="89" spans="1:12">
      <c r="B89" s="323"/>
      <c r="C89" s="321"/>
      <c r="D89" s="127"/>
      <c r="E89" s="127"/>
      <c r="F89" s="127"/>
      <c r="G89" s="162"/>
      <c r="H89" s="127"/>
      <c r="I89" s="127"/>
      <c r="J89" s="127"/>
      <c r="K89" s="162"/>
      <c r="L89" s="134"/>
    </row>
    <row r="90" spans="1:12">
      <c r="B90" s="323" t="s">
        <v>466</v>
      </c>
      <c r="C90" s="321"/>
      <c r="D90" s="127"/>
      <c r="E90" s="127"/>
      <c r="F90" s="127"/>
      <c r="G90" s="127"/>
      <c r="H90" s="127"/>
      <c r="I90" s="127"/>
      <c r="J90" s="127"/>
      <c r="K90" s="127"/>
      <c r="L90" s="134"/>
    </row>
    <row r="91" spans="1:12">
      <c r="A91" s="128">
        <v>7</v>
      </c>
      <c r="B91" s="323" t="s">
        <v>51</v>
      </c>
      <c r="C91" s="318"/>
      <c r="D91" s="163">
        <f>+'Electric Plant Sched 4'!H15</f>
        <v>2561191.7800000003</v>
      </c>
      <c r="E91" s="127"/>
      <c r="F91" s="127" t="str">
        <f t="shared" ref="F91:G95" si="0">+F83</f>
        <v>NA</v>
      </c>
      <c r="G91" s="159" t="str">
        <f t="shared" si="0"/>
        <v xml:space="preserve"> </v>
      </c>
      <c r="H91" s="127"/>
      <c r="I91" s="127" t="s">
        <v>2</v>
      </c>
      <c r="J91" s="127"/>
      <c r="K91" s="127"/>
      <c r="L91" s="160" t="s">
        <v>395</v>
      </c>
    </row>
    <row r="92" spans="1:12">
      <c r="A92" s="128">
        <v>8</v>
      </c>
      <c r="B92" s="323" t="s">
        <v>53</v>
      </c>
      <c r="C92" s="318"/>
      <c r="D92" s="163">
        <f>+'Electric Plant Sched 4'!H17</f>
        <v>958685.36</v>
      </c>
      <c r="E92" s="127"/>
      <c r="F92" s="127" t="str">
        <f t="shared" si="0"/>
        <v>TP</v>
      </c>
      <c r="G92" s="159">
        <f t="shared" si="0"/>
        <v>1</v>
      </c>
      <c r="H92" s="127"/>
      <c r="I92" s="127">
        <f>+G92*D92</f>
        <v>958685.36</v>
      </c>
      <c r="J92" s="127"/>
      <c r="K92" s="127"/>
      <c r="L92" s="160" t="s">
        <v>395</v>
      </c>
    </row>
    <row r="93" spans="1:12">
      <c r="A93" s="128">
        <v>9</v>
      </c>
      <c r="B93" s="323" t="s">
        <v>54</v>
      </c>
      <c r="C93" s="318"/>
      <c r="D93" s="163">
        <f>+'Electric Plant Sched 4'!H18</f>
        <v>17786650.440000001</v>
      </c>
      <c r="E93" s="127"/>
      <c r="F93" s="127" t="str">
        <f t="shared" si="0"/>
        <v>NA</v>
      </c>
      <c r="G93" s="159" t="str">
        <f t="shared" si="0"/>
        <v xml:space="preserve"> </v>
      </c>
      <c r="H93" s="127"/>
      <c r="I93" s="127" t="s">
        <v>2</v>
      </c>
      <c r="J93" s="127"/>
      <c r="K93" s="127"/>
      <c r="L93" s="160" t="s">
        <v>395</v>
      </c>
    </row>
    <row r="94" spans="1:12">
      <c r="A94" s="128">
        <v>10</v>
      </c>
      <c r="B94" s="323" t="s">
        <v>55</v>
      </c>
      <c r="C94" s="318"/>
      <c r="D94" s="163">
        <f>+'Electric Plant Sched 4'!H19</f>
        <v>3287920.69</v>
      </c>
      <c r="E94" s="127"/>
      <c r="F94" s="127" t="str">
        <f t="shared" si="0"/>
        <v>W/S</v>
      </c>
      <c r="G94" s="159">
        <f t="shared" si="0"/>
        <v>0</v>
      </c>
      <c r="H94" s="127"/>
      <c r="I94" s="127">
        <f>+G94*D94</f>
        <v>0</v>
      </c>
      <c r="J94" s="127"/>
      <c r="K94" s="127"/>
      <c r="L94" s="160" t="s">
        <v>395</v>
      </c>
    </row>
    <row r="95" spans="1:12" ht="16.2" thickBot="1">
      <c r="A95" s="128">
        <v>11</v>
      </c>
      <c r="B95" s="323" t="s">
        <v>57</v>
      </c>
      <c r="C95" s="321"/>
      <c r="D95" s="161">
        <v>0</v>
      </c>
      <c r="E95" s="127"/>
      <c r="F95" s="127" t="str">
        <f t="shared" si="0"/>
        <v>CE</v>
      </c>
      <c r="G95" s="159">
        <f t="shared" si="0"/>
        <v>0</v>
      </c>
      <c r="H95" s="127"/>
      <c r="I95" s="139">
        <f>+G95*D95</f>
        <v>0</v>
      </c>
      <c r="J95" s="127"/>
      <c r="K95" s="127"/>
      <c r="L95" s="134"/>
    </row>
    <row r="96" spans="1:12">
      <c r="A96" s="128">
        <v>12</v>
      </c>
      <c r="B96" s="323" t="s">
        <v>215</v>
      </c>
      <c r="C96" s="321"/>
      <c r="D96" s="127">
        <f>SUM(D91:D95)</f>
        <v>24594448.270000003</v>
      </c>
      <c r="E96" s="127"/>
      <c r="F96" s="127"/>
      <c r="G96" s="127"/>
      <c r="H96" s="127"/>
      <c r="I96" s="127">
        <f>SUM(I91:I95)</f>
        <v>958685.36</v>
      </c>
      <c r="J96" s="127"/>
      <c r="K96" s="127"/>
      <c r="L96" s="134"/>
    </row>
    <row r="97" spans="1:12">
      <c r="A97" s="128"/>
      <c r="B97" s="318"/>
      <c r="C97" s="321" t="s">
        <v>2</v>
      </c>
      <c r="E97" s="127"/>
      <c r="F97" s="127"/>
      <c r="G97" s="162"/>
      <c r="H97" s="127"/>
      <c r="J97" s="127"/>
      <c r="K97" s="162"/>
      <c r="L97" s="134"/>
    </row>
    <row r="98" spans="1:12">
      <c r="A98" s="128"/>
      <c r="B98" s="323" t="s">
        <v>60</v>
      </c>
      <c r="C98" s="321"/>
      <c r="D98" s="127"/>
      <c r="E98" s="127"/>
      <c r="F98" s="127"/>
      <c r="G98" s="127"/>
      <c r="H98" s="127"/>
      <c r="I98" s="127"/>
      <c r="J98" s="127"/>
      <c r="K98" s="127"/>
      <c r="L98" s="134"/>
    </row>
    <row r="99" spans="1:12">
      <c r="A99" s="128">
        <v>13</v>
      </c>
      <c r="B99" s="323" t="s">
        <v>51</v>
      </c>
      <c r="C99" s="321" t="s">
        <v>216</v>
      </c>
      <c r="D99" s="127">
        <f>D83-D91</f>
        <v>327859.9299999997</v>
      </c>
      <c r="E99" s="127"/>
      <c r="F99" s="127"/>
      <c r="G99" s="162"/>
      <c r="H99" s="127"/>
      <c r="I99" s="127" t="s">
        <v>2</v>
      </c>
      <c r="J99" s="127"/>
      <c r="K99" s="162"/>
      <c r="L99" s="134"/>
    </row>
    <row r="100" spans="1:12">
      <c r="A100" s="128">
        <v>14</v>
      </c>
      <c r="B100" s="323" t="s">
        <v>53</v>
      </c>
      <c r="C100" s="321" t="s">
        <v>217</v>
      </c>
      <c r="D100" s="127">
        <f>D84-D92</f>
        <v>1794448.6600000001</v>
      </c>
      <c r="E100" s="127"/>
      <c r="F100" s="127"/>
      <c r="G100" s="159"/>
      <c r="H100" s="127"/>
      <c r="I100" s="127">
        <f>I84-I92</f>
        <v>1794448.6600000001</v>
      </c>
      <c r="J100" s="127"/>
      <c r="K100" s="162"/>
      <c r="L100" s="134"/>
    </row>
    <row r="101" spans="1:12">
      <c r="A101" s="128">
        <v>15</v>
      </c>
      <c r="B101" s="323" t="s">
        <v>54</v>
      </c>
      <c r="C101" s="321" t="s">
        <v>218</v>
      </c>
      <c r="D101" s="127">
        <f>D85-D93</f>
        <v>19316065.089999992</v>
      </c>
      <c r="E101" s="127"/>
      <c r="F101" s="127"/>
      <c r="G101" s="162"/>
      <c r="H101" s="127"/>
      <c r="I101" s="127" t="s">
        <v>2</v>
      </c>
      <c r="J101" s="127"/>
      <c r="K101" s="162"/>
      <c r="L101" s="134"/>
    </row>
    <row r="102" spans="1:12">
      <c r="A102" s="128">
        <v>16</v>
      </c>
      <c r="B102" s="323" t="s">
        <v>55</v>
      </c>
      <c r="C102" s="321" t="s">
        <v>219</v>
      </c>
      <c r="D102" s="127">
        <f>D86-D94</f>
        <v>872890.98000000045</v>
      </c>
      <c r="E102" s="127"/>
      <c r="F102" s="127"/>
      <c r="G102" s="162"/>
      <c r="H102" s="127"/>
      <c r="I102" s="127">
        <f>I86-I94</f>
        <v>0</v>
      </c>
      <c r="J102" s="127"/>
      <c r="K102" s="162"/>
      <c r="L102" s="134"/>
    </row>
    <row r="103" spans="1:12" ht="16.2" thickBot="1">
      <c r="A103" s="128">
        <v>17</v>
      </c>
      <c r="B103" s="323" t="s">
        <v>57</v>
      </c>
      <c r="C103" s="321" t="s">
        <v>220</v>
      </c>
      <c r="D103" s="139">
        <f>D87-D95</f>
        <v>0</v>
      </c>
      <c r="E103" s="127"/>
      <c r="F103" s="127"/>
      <c r="G103" s="162"/>
      <c r="H103" s="127"/>
      <c r="I103" s="139">
        <f>I87-I95</f>
        <v>0</v>
      </c>
      <c r="J103" s="127"/>
      <c r="K103" s="162"/>
      <c r="L103" s="134"/>
    </row>
    <row r="104" spans="1:12">
      <c r="A104" s="128">
        <v>18</v>
      </c>
      <c r="B104" s="323" t="s">
        <v>221</v>
      </c>
      <c r="C104" s="321"/>
      <c r="D104" s="127">
        <f>SUM(D99:D103)</f>
        <v>22311264.659999993</v>
      </c>
      <c r="E104" s="127"/>
      <c r="F104" s="127" t="s">
        <v>61</v>
      </c>
      <c r="G104" s="162">
        <f>IF(I104&gt;0,I104/D104,0)</f>
        <v>8.0427922278073175E-2</v>
      </c>
      <c r="H104" s="127"/>
      <c r="I104" s="127">
        <f>SUM(I99:I103)</f>
        <v>1794448.6600000001</v>
      </c>
      <c r="J104" s="127"/>
      <c r="K104" s="127"/>
      <c r="L104" s="134"/>
    </row>
    <row r="105" spans="1:12">
      <c r="A105" s="128"/>
      <c r="B105" s="318"/>
      <c r="C105" s="321"/>
      <c r="E105" s="127"/>
      <c r="H105" s="127"/>
      <c r="J105" s="127"/>
      <c r="K105" s="162"/>
      <c r="L105" s="134"/>
    </row>
    <row r="106" spans="1:12">
      <c r="A106" s="128"/>
      <c r="B106" s="322" t="s">
        <v>222</v>
      </c>
      <c r="C106" s="321"/>
      <c r="D106" s="127"/>
      <c r="E106" s="127"/>
      <c r="F106" s="127"/>
      <c r="G106" s="127"/>
      <c r="H106" s="127"/>
      <c r="I106" s="127"/>
      <c r="J106" s="127"/>
      <c r="K106" s="127"/>
      <c r="L106" s="134"/>
    </row>
    <row r="107" spans="1:12">
      <c r="A107" s="128">
        <v>19</v>
      </c>
      <c r="B107" s="323" t="s">
        <v>62</v>
      </c>
      <c r="C107" s="321"/>
      <c r="D107" s="163">
        <v>0</v>
      </c>
      <c r="E107" s="127"/>
      <c r="F107" s="127"/>
      <c r="G107" s="164" t="s">
        <v>177</v>
      </c>
      <c r="H107" s="127"/>
      <c r="I107" s="127">
        <v>0</v>
      </c>
      <c r="J107" s="127"/>
      <c r="K107" s="162"/>
      <c r="L107" s="134"/>
    </row>
    <row r="108" spans="1:12">
      <c r="A108" s="128">
        <v>20</v>
      </c>
      <c r="B108" s="323" t="s">
        <v>64</v>
      </c>
      <c r="C108" s="321"/>
      <c r="D108" s="163">
        <v>0</v>
      </c>
      <c r="E108" s="127"/>
      <c r="F108" s="127" t="s">
        <v>63</v>
      </c>
      <c r="G108" s="159">
        <f>+G104</f>
        <v>8.0427922278073175E-2</v>
      </c>
      <c r="H108" s="127"/>
      <c r="I108" s="127">
        <f>D108*G108</f>
        <v>0</v>
      </c>
      <c r="J108" s="127"/>
      <c r="K108" s="162"/>
      <c r="L108" s="134"/>
    </row>
    <row r="109" spans="1:12">
      <c r="A109" s="128">
        <v>21</v>
      </c>
      <c r="B109" s="323" t="s">
        <v>65</v>
      </c>
      <c r="C109" s="321"/>
      <c r="D109" s="158">
        <v>0</v>
      </c>
      <c r="E109" s="127"/>
      <c r="F109" s="127" t="s">
        <v>63</v>
      </c>
      <c r="G109" s="159">
        <f>+G108</f>
        <v>8.0427922278073175E-2</v>
      </c>
      <c r="H109" s="127"/>
      <c r="I109" s="127">
        <f>D109*G109</f>
        <v>0</v>
      </c>
      <c r="J109" s="127"/>
      <c r="K109" s="162"/>
      <c r="L109" s="134"/>
    </row>
    <row r="110" spans="1:12">
      <c r="A110" s="128">
        <v>22</v>
      </c>
      <c r="B110" s="323" t="s">
        <v>66</v>
      </c>
      <c r="C110" s="321"/>
      <c r="D110" s="158">
        <v>0</v>
      </c>
      <c r="E110" s="127"/>
      <c r="F110" s="127" t="str">
        <f>+F109</f>
        <v>NP</v>
      </c>
      <c r="G110" s="159">
        <f>+G109</f>
        <v>8.0427922278073175E-2</v>
      </c>
      <c r="H110" s="127"/>
      <c r="I110" s="127">
        <f>D110*G110</f>
        <v>0</v>
      </c>
      <c r="J110" s="127"/>
      <c r="K110" s="162"/>
      <c r="L110" s="134"/>
    </row>
    <row r="111" spans="1:12" ht="16.2" thickBot="1">
      <c r="A111" s="128">
        <v>23</v>
      </c>
      <c r="B111" s="319" t="s">
        <v>67</v>
      </c>
      <c r="C111" s="318"/>
      <c r="D111" s="161">
        <v>0</v>
      </c>
      <c r="E111" s="127"/>
      <c r="F111" s="127" t="s">
        <v>63</v>
      </c>
      <c r="G111" s="159">
        <f>+G109</f>
        <v>8.0427922278073175E-2</v>
      </c>
      <c r="H111" s="127"/>
      <c r="I111" s="139">
        <f>D111*G111</f>
        <v>0</v>
      </c>
      <c r="J111" s="127"/>
      <c r="K111" s="127"/>
      <c r="L111" s="134"/>
    </row>
    <row r="112" spans="1:12">
      <c r="A112" s="128">
        <v>24</v>
      </c>
      <c r="B112" s="323" t="s">
        <v>68</v>
      </c>
      <c r="C112" s="321"/>
      <c r="D112" s="127">
        <f>SUM(D107:D111)</f>
        <v>0</v>
      </c>
      <c r="E112" s="127"/>
      <c r="F112" s="127"/>
      <c r="G112" s="127"/>
      <c r="H112" s="127"/>
      <c r="I112" s="127">
        <f>SUM(I107:I111)</f>
        <v>0</v>
      </c>
      <c r="J112" s="127"/>
      <c r="K112" s="162"/>
      <c r="L112" s="134"/>
    </row>
    <row r="113" spans="1:13">
      <c r="A113" s="128"/>
      <c r="B113" s="323"/>
      <c r="C113" s="321"/>
      <c r="D113" s="127"/>
      <c r="E113" s="127"/>
      <c r="F113" s="127"/>
      <c r="G113" s="127"/>
      <c r="H113" s="127"/>
      <c r="I113" s="127"/>
      <c r="J113" s="127"/>
      <c r="K113" s="162"/>
      <c r="L113" s="134"/>
    </row>
    <row r="114" spans="1:13">
      <c r="A114" s="128">
        <v>25</v>
      </c>
      <c r="B114" s="322" t="s">
        <v>69</v>
      </c>
      <c r="C114" s="321" t="s">
        <v>256</v>
      </c>
      <c r="D114" s="163">
        <v>0</v>
      </c>
      <c r="E114" s="127"/>
      <c r="F114" s="127" t="str">
        <f>+F92</f>
        <v>TP</v>
      </c>
      <c r="G114" s="159">
        <f>+G92</f>
        <v>1</v>
      </c>
      <c r="H114" s="127"/>
      <c r="I114" s="127">
        <f>+G114*D114</f>
        <v>0</v>
      </c>
      <c r="J114" s="127"/>
      <c r="K114" s="127"/>
      <c r="L114" s="134"/>
    </row>
    <row r="115" spans="1:13">
      <c r="A115" s="128"/>
      <c r="B115" s="323"/>
      <c r="C115" s="321"/>
      <c r="D115" s="127"/>
      <c r="E115" s="127"/>
      <c r="F115" s="127"/>
      <c r="G115" s="127"/>
      <c r="H115" s="127"/>
      <c r="I115" s="127"/>
      <c r="J115" s="127"/>
      <c r="K115" s="127"/>
      <c r="L115" s="134"/>
    </row>
    <row r="116" spans="1:13">
      <c r="A116" s="128"/>
      <c r="B116" s="323" t="s">
        <v>70</v>
      </c>
      <c r="C116" s="321" t="s">
        <v>72</v>
      </c>
      <c r="D116" s="127"/>
      <c r="E116" s="127"/>
      <c r="F116" s="127"/>
      <c r="G116" s="127"/>
      <c r="H116" s="127"/>
      <c r="I116" s="127"/>
      <c r="J116" s="127"/>
      <c r="K116" s="127"/>
      <c r="L116" s="134"/>
    </row>
    <row r="117" spans="1:13">
      <c r="A117" s="128">
        <v>26</v>
      </c>
      <c r="B117" s="323" t="s">
        <v>71</v>
      </c>
      <c r="C117" s="318"/>
      <c r="D117" s="127">
        <f>D158/8</f>
        <v>155603.92749999999</v>
      </c>
      <c r="E117" s="127"/>
      <c r="F117" s="127"/>
      <c r="G117" s="162"/>
      <c r="H117" s="127"/>
      <c r="I117" s="329">
        <f>I158/8</f>
        <v>0</v>
      </c>
      <c r="J117" s="383"/>
      <c r="K117" s="411"/>
      <c r="L117" s="341"/>
      <c r="M117" s="382"/>
    </row>
    <row r="118" spans="1:13">
      <c r="A118" s="128">
        <v>27</v>
      </c>
      <c r="B118" s="323" t="s">
        <v>73</v>
      </c>
      <c r="C118" s="319" t="s">
        <v>223</v>
      </c>
      <c r="D118" s="163">
        <v>0</v>
      </c>
      <c r="E118" s="127"/>
      <c r="F118" s="127" t="s">
        <v>74</v>
      </c>
      <c r="G118" s="159">
        <f>I229</f>
        <v>1</v>
      </c>
      <c r="H118" s="127"/>
      <c r="I118" s="127">
        <f>G118*D118</f>
        <v>0</v>
      </c>
      <c r="J118" s="127" t="s">
        <v>2</v>
      </c>
      <c r="K118" s="162"/>
      <c r="L118" s="287" t="s">
        <v>473</v>
      </c>
    </row>
    <row r="119" spans="1:13" ht="16.2" thickBot="1">
      <c r="A119" s="128">
        <v>28</v>
      </c>
      <c r="B119" s="323" t="s">
        <v>75</v>
      </c>
      <c r="C119" s="319" t="s">
        <v>257</v>
      </c>
      <c r="D119" s="161">
        <f>+'Balance sheet Sched 2'!C43</f>
        <v>154307.81</v>
      </c>
      <c r="E119" s="127"/>
      <c r="F119" s="127" t="s">
        <v>76</v>
      </c>
      <c r="G119" s="159">
        <f>+G88</f>
        <v>5.869506821287751E-2</v>
      </c>
      <c r="H119" s="127"/>
      <c r="I119" s="139">
        <f>+G119*D119</f>
        <v>9057.1074337297414</v>
      </c>
      <c r="J119" s="127"/>
      <c r="K119" s="162"/>
      <c r="L119" s="287" t="s">
        <v>283</v>
      </c>
    </row>
    <row r="120" spans="1:13">
      <c r="A120" s="128">
        <v>29</v>
      </c>
      <c r="B120" s="323" t="s">
        <v>224</v>
      </c>
      <c r="C120" s="320"/>
      <c r="D120" s="127">
        <f>D117+D118+D119</f>
        <v>309911.73749999999</v>
      </c>
      <c r="E120" s="120"/>
      <c r="F120" s="120"/>
      <c r="G120" s="120"/>
      <c r="H120" s="120"/>
      <c r="I120" s="127">
        <f>I117+I118+I119</f>
        <v>9057.1074337297414</v>
      </c>
      <c r="J120" s="120"/>
      <c r="K120" s="120"/>
      <c r="L120" s="134"/>
    </row>
    <row r="121" spans="1:13" ht="16.2" thickBot="1">
      <c r="B121" s="318"/>
      <c r="C121" s="321"/>
      <c r="D121" s="167"/>
      <c r="E121" s="127"/>
      <c r="F121" s="127"/>
      <c r="G121" s="127"/>
      <c r="H121" s="127"/>
      <c r="I121" s="167"/>
      <c r="J121" s="127"/>
      <c r="K121" s="127"/>
      <c r="L121" s="134"/>
    </row>
    <row r="122" spans="1:13" ht="16.2" thickBot="1">
      <c r="A122" s="128">
        <v>30</v>
      </c>
      <c r="B122" s="323" t="s">
        <v>77</v>
      </c>
      <c r="C122" s="321"/>
      <c r="D122" s="168">
        <f>+D120+D114+D112+D104</f>
        <v>22621176.397499993</v>
      </c>
      <c r="E122" s="127"/>
      <c r="F122" s="127"/>
      <c r="G122" s="162"/>
      <c r="H122" s="127"/>
      <c r="I122" s="168">
        <f>+I120+I114+I112+I104</f>
        <v>1803505.76743373</v>
      </c>
      <c r="J122" s="127"/>
      <c r="K122" s="162"/>
      <c r="L122" s="134"/>
    </row>
    <row r="123" spans="1:13" ht="16.2" thickTop="1">
      <c r="A123" s="128"/>
      <c r="B123" s="134"/>
      <c r="C123" s="127"/>
      <c r="D123" s="127"/>
      <c r="E123" s="127"/>
      <c r="F123" s="127"/>
      <c r="G123" s="127"/>
      <c r="H123" s="127"/>
      <c r="I123" s="127"/>
      <c r="J123" s="127"/>
      <c r="K123" s="127"/>
      <c r="L123" s="120"/>
    </row>
    <row r="124" spans="1:13">
      <c r="A124" s="128"/>
      <c r="B124" s="134"/>
      <c r="C124" s="127"/>
      <c r="D124" s="127"/>
      <c r="E124" s="127"/>
      <c r="F124" s="127"/>
      <c r="G124" s="127"/>
      <c r="H124" s="127"/>
      <c r="I124" s="127"/>
      <c r="J124" s="127"/>
      <c r="K124" s="127"/>
      <c r="L124" s="120"/>
    </row>
    <row r="125" spans="1:13">
      <c r="A125" s="128"/>
      <c r="B125" s="134"/>
      <c r="C125" s="127"/>
      <c r="D125" s="127"/>
      <c r="E125" s="127"/>
      <c r="F125" s="127"/>
      <c r="G125" s="127"/>
      <c r="H125" s="127"/>
      <c r="I125" s="127"/>
      <c r="J125" s="127"/>
      <c r="K125" s="127"/>
      <c r="L125" s="120"/>
    </row>
    <row r="126" spans="1:13">
      <c r="A126" s="128"/>
      <c r="B126" s="134"/>
      <c r="C126" s="127"/>
      <c r="D126" s="127"/>
      <c r="E126" s="127"/>
      <c r="F126" s="127"/>
      <c r="G126" s="127"/>
      <c r="H126" s="127"/>
      <c r="I126" s="127"/>
      <c r="J126" s="127"/>
      <c r="K126" s="127"/>
      <c r="L126" s="120"/>
    </row>
    <row r="127" spans="1:13">
      <c r="A127" s="128"/>
      <c r="B127" s="134"/>
      <c r="C127" s="127"/>
      <c r="D127" s="127"/>
      <c r="E127" s="127"/>
      <c r="F127" s="127"/>
      <c r="G127" s="127"/>
      <c r="H127" s="127"/>
      <c r="I127" s="127"/>
      <c r="J127" s="127"/>
      <c r="K127" s="127"/>
      <c r="L127" s="120"/>
    </row>
    <row r="128" spans="1:13">
      <c r="A128" s="128"/>
      <c r="B128" s="134"/>
      <c r="C128" s="127"/>
      <c r="D128" s="127"/>
      <c r="E128" s="127"/>
      <c r="F128" s="127"/>
      <c r="G128" s="127"/>
      <c r="H128" s="127"/>
      <c r="I128" s="127"/>
      <c r="J128" s="127"/>
      <c r="K128" s="127"/>
      <c r="L128" s="120"/>
    </row>
    <row r="129" spans="1:12">
      <c r="A129" s="128"/>
      <c r="B129" s="134"/>
      <c r="C129" s="127"/>
      <c r="D129" s="127"/>
      <c r="E129" s="127"/>
      <c r="F129" s="127"/>
      <c r="G129" s="127"/>
      <c r="H129" s="127"/>
      <c r="I129" s="127"/>
      <c r="J129" s="127"/>
      <c r="K129" s="127"/>
      <c r="L129" s="120"/>
    </row>
    <row r="130" spans="1:12">
      <c r="A130" s="128"/>
      <c r="B130" s="134"/>
      <c r="C130" s="127"/>
      <c r="D130" s="127"/>
      <c r="E130" s="127"/>
      <c r="F130" s="127"/>
      <c r="G130" s="127"/>
      <c r="H130" s="127"/>
      <c r="I130" s="127"/>
      <c r="J130" s="127"/>
      <c r="K130" s="127"/>
      <c r="L130" s="120"/>
    </row>
    <row r="131" spans="1:12">
      <c r="A131" s="128"/>
      <c r="B131" s="134"/>
      <c r="C131" s="127"/>
      <c r="D131" s="127"/>
      <c r="E131" s="127"/>
      <c r="F131" s="127"/>
      <c r="G131" s="127"/>
      <c r="H131" s="127"/>
      <c r="I131" s="127"/>
      <c r="J131" s="127"/>
      <c r="K131" s="127"/>
      <c r="L131" s="120"/>
    </row>
    <row r="132" spans="1:12">
      <c r="A132" s="128"/>
      <c r="B132" s="134"/>
      <c r="C132" s="127"/>
      <c r="D132" s="127"/>
      <c r="E132" s="127"/>
      <c r="F132" s="127"/>
      <c r="G132" s="127"/>
      <c r="H132" s="127"/>
      <c r="I132" s="127"/>
      <c r="J132" s="127"/>
      <c r="K132" s="127"/>
      <c r="L132" s="120"/>
    </row>
    <row r="133" spans="1:12">
      <c r="A133" s="128"/>
      <c r="B133" s="134"/>
      <c r="C133" s="127"/>
      <c r="D133" s="127"/>
      <c r="E133" s="127"/>
      <c r="F133" s="127"/>
      <c r="G133" s="127"/>
      <c r="H133" s="127"/>
      <c r="I133" s="127"/>
      <c r="J133" s="127"/>
      <c r="K133" s="127"/>
      <c r="L133" s="120"/>
    </row>
    <row r="134" spans="1:12">
      <c r="A134" s="128"/>
      <c r="B134" s="134"/>
      <c r="C134" s="127"/>
      <c r="D134" s="127"/>
      <c r="E134" s="127"/>
      <c r="F134" s="127"/>
      <c r="G134" s="127"/>
      <c r="H134" s="127"/>
      <c r="I134" s="127"/>
      <c r="J134" s="127"/>
      <c r="K134" s="127"/>
      <c r="L134" s="120"/>
    </row>
    <row r="135" spans="1:12">
      <c r="A135" s="128"/>
      <c r="B135" s="134"/>
      <c r="C135" s="127"/>
      <c r="D135" s="127"/>
      <c r="E135" s="127"/>
      <c r="F135" s="127"/>
      <c r="G135" s="127"/>
      <c r="H135" s="127"/>
      <c r="I135" s="127"/>
      <c r="J135" s="127"/>
      <c r="K135" s="127"/>
      <c r="L135" s="120"/>
    </row>
    <row r="136" spans="1:12">
      <c r="A136" s="128"/>
      <c r="B136" s="134"/>
      <c r="C136" s="127"/>
      <c r="D136" s="127"/>
      <c r="E136" s="127"/>
      <c r="F136" s="127"/>
      <c r="G136" s="127"/>
      <c r="H136" s="127"/>
      <c r="I136" s="127"/>
      <c r="J136" s="127"/>
      <c r="K136" s="127"/>
      <c r="L136" s="120"/>
    </row>
    <row r="137" spans="1:12">
      <c r="A137" s="128"/>
      <c r="B137" s="134"/>
      <c r="C137" s="127"/>
      <c r="D137" s="127"/>
      <c r="E137" s="127"/>
      <c r="F137" s="127"/>
      <c r="G137" s="127"/>
      <c r="H137" s="127"/>
      <c r="I137" s="127"/>
      <c r="J137" s="127"/>
      <c r="K137" s="127"/>
      <c r="L137" s="120"/>
    </row>
    <row r="138" spans="1:12">
      <c r="A138" s="128"/>
      <c r="B138" s="134"/>
      <c r="C138" s="127"/>
      <c r="D138" s="127"/>
      <c r="E138" s="127"/>
      <c r="F138" s="127"/>
      <c r="G138" s="127"/>
      <c r="H138" s="127"/>
      <c r="I138" s="127"/>
      <c r="J138" s="127"/>
      <c r="K138" s="116" t="s">
        <v>474</v>
      </c>
      <c r="L138" s="120"/>
    </row>
    <row r="139" spans="1:12">
      <c r="B139" s="117"/>
      <c r="C139" s="117"/>
      <c r="D139" s="118"/>
      <c r="E139" s="117"/>
      <c r="F139" s="117"/>
      <c r="G139" s="117"/>
      <c r="H139" s="119"/>
      <c r="I139" s="120"/>
      <c r="K139" s="121" t="s">
        <v>186</v>
      </c>
      <c r="L139" s="120"/>
    </row>
    <row r="140" spans="1:12">
      <c r="A140" s="128"/>
      <c r="B140" s="134"/>
      <c r="C140" s="127"/>
      <c r="D140" s="127"/>
      <c r="E140" s="127"/>
      <c r="F140" s="127"/>
      <c r="G140" s="127"/>
      <c r="H140" s="127"/>
      <c r="I140" s="127"/>
      <c r="J140" s="127"/>
      <c r="K140" s="127"/>
      <c r="L140" s="120"/>
    </row>
    <row r="141" spans="1:12">
      <c r="A141" s="128"/>
      <c r="B141" s="134" t="str">
        <f>B4</f>
        <v xml:space="preserve">Formula Rate - Non-Levelized </v>
      </c>
      <c r="C141" s="127"/>
      <c r="D141" s="127" t="str">
        <f>D4</f>
        <v xml:space="preserve">   Rate Formula Template</v>
      </c>
      <c r="E141" s="127"/>
      <c r="F141" s="127"/>
      <c r="G141" s="127"/>
      <c r="H141" s="127"/>
      <c r="J141" s="127"/>
      <c r="K141" s="169" t="str">
        <f>K4</f>
        <v>For the 12 months ended 12/31/2015</v>
      </c>
      <c r="L141" s="134"/>
    </row>
    <row r="142" spans="1:12">
      <c r="A142" s="128"/>
      <c r="B142" s="134"/>
      <c r="C142" s="127"/>
      <c r="D142" s="127" t="str">
        <f>D5</f>
        <v>Utilizing EIA Form 412 Data</v>
      </c>
      <c r="E142" s="127"/>
      <c r="F142" s="127"/>
      <c r="G142" s="127"/>
      <c r="H142" s="127"/>
      <c r="I142" s="127"/>
      <c r="J142" s="127"/>
      <c r="K142" s="127"/>
      <c r="L142" s="134"/>
    </row>
    <row r="143" spans="1:12">
      <c r="A143" s="128"/>
      <c r="C143" s="127"/>
      <c r="D143" s="127"/>
      <c r="E143" s="127"/>
      <c r="F143" s="127"/>
      <c r="G143" s="127"/>
      <c r="H143" s="127"/>
      <c r="I143" s="127"/>
      <c r="J143" s="127"/>
      <c r="K143" s="127"/>
      <c r="L143" s="134"/>
    </row>
    <row r="144" spans="1:12">
      <c r="A144" s="128"/>
      <c r="D144" s="115" t="str">
        <f>D7</f>
        <v>ALP Utilities (Alexandria, Minnesota)</v>
      </c>
      <c r="J144" s="127"/>
      <c r="K144" s="127"/>
      <c r="L144" s="134"/>
    </row>
    <row r="145" spans="1:13">
      <c r="A145" s="128"/>
      <c r="B145" s="122" t="s">
        <v>39</v>
      </c>
      <c r="C145" s="122" t="s">
        <v>40</v>
      </c>
      <c r="D145" s="122" t="s">
        <v>41</v>
      </c>
      <c r="E145" s="127" t="s">
        <v>2</v>
      </c>
      <c r="F145" s="127"/>
      <c r="G145" s="151" t="s">
        <v>42</v>
      </c>
      <c r="H145" s="127"/>
      <c r="I145" s="152" t="s">
        <v>43</v>
      </c>
      <c r="J145" s="127"/>
      <c r="K145" s="127"/>
      <c r="L145" s="134"/>
    </row>
    <row r="146" spans="1:13">
      <c r="A146" s="128" t="s">
        <v>4</v>
      </c>
      <c r="B146" s="134"/>
      <c r="C146" s="153" t="s">
        <v>44</v>
      </c>
      <c r="D146" s="127"/>
      <c r="E146" s="127"/>
      <c r="F146" s="127"/>
      <c r="G146" s="128"/>
      <c r="H146" s="127"/>
      <c r="I146" s="154" t="s">
        <v>45</v>
      </c>
      <c r="J146" s="127"/>
      <c r="K146" s="154"/>
      <c r="L146" s="134"/>
    </row>
    <row r="147" spans="1:13" ht="16.2" thickBot="1">
      <c r="A147" s="131" t="s">
        <v>6</v>
      </c>
      <c r="B147" s="134"/>
      <c r="C147" s="156" t="s">
        <v>46</v>
      </c>
      <c r="D147" s="154" t="s">
        <v>47</v>
      </c>
      <c r="E147" s="157"/>
      <c r="F147" s="154" t="s">
        <v>48</v>
      </c>
      <c r="H147" s="157"/>
      <c r="I147" s="128" t="s">
        <v>49</v>
      </c>
      <c r="J147" s="127"/>
      <c r="K147" s="154"/>
      <c r="L147" s="127" t="s">
        <v>2</v>
      </c>
    </row>
    <row r="148" spans="1:13">
      <c r="A148" s="128"/>
      <c r="B148" s="328" t="s">
        <v>467</v>
      </c>
      <c r="C148" s="327"/>
      <c r="D148" s="127"/>
      <c r="E148" s="127"/>
      <c r="F148" s="127"/>
      <c r="G148" s="127"/>
      <c r="H148" s="127"/>
      <c r="I148" s="127"/>
      <c r="J148" s="127"/>
      <c r="K148" s="127"/>
      <c r="L148" s="134"/>
    </row>
    <row r="149" spans="1:13">
      <c r="A149" s="128">
        <v>1</v>
      </c>
      <c r="B149" s="328" t="s">
        <v>78</v>
      </c>
      <c r="C149" s="325" t="s">
        <v>258</v>
      </c>
      <c r="D149" s="163">
        <f>+'Op &amp; Maint Sched 7'!F21</f>
        <v>3367657.76</v>
      </c>
      <c r="E149" s="127"/>
      <c r="F149" s="127" t="s">
        <v>74</v>
      </c>
      <c r="G149" s="159">
        <f>I229</f>
        <v>1</v>
      </c>
      <c r="H149" s="127"/>
      <c r="I149" s="127">
        <f t="shared" ref="I149:I157" si="1">+G149*D149</f>
        <v>3367657.76</v>
      </c>
      <c r="J149" s="120"/>
      <c r="K149" s="127"/>
      <c r="L149" s="134" t="s">
        <v>419</v>
      </c>
    </row>
    <row r="150" spans="1:13">
      <c r="A150" s="170" t="s">
        <v>191</v>
      </c>
      <c r="B150" s="330" t="s">
        <v>225</v>
      </c>
      <c r="C150" s="326"/>
      <c r="D150" s="163">
        <v>0</v>
      </c>
      <c r="E150" s="127"/>
      <c r="F150" s="173"/>
      <c r="G150" s="159">
        <v>1</v>
      </c>
      <c r="H150" s="127"/>
      <c r="I150" s="127">
        <f>+G150*D150</f>
        <v>0</v>
      </c>
      <c r="J150" s="120"/>
      <c r="K150" s="127"/>
      <c r="L150" s="134"/>
    </row>
    <row r="151" spans="1:13">
      <c r="A151" s="128">
        <v>2</v>
      </c>
      <c r="B151" s="328" t="s">
        <v>79</v>
      </c>
      <c r="C151" s="325" t="s">
        <v>2</v>
      </c>
      <c r="D151" s="163">
        <f>+'Op &amp; Maint Sched 7'!D21</f>
        <v>3367657.76</v>
      </c>
      <c r="E151" s="127"/>
      <c r="F151" s="127" t="s">
        <v>74</v>
      </c>
      <c r="G151" s="159">
        <f>+G149</f>
        <v>1</v>
      </c>
      <c r="H151" s="127"/>
      <c r="I151" s="127">
        <f t="shared" si="1"/>
        <v>3367657.76</v>
      </c>
      <c r="J151" s="120"/>
      <c r="K151" s="127"/>
      <c r="L151" s="134" t="s">
        <v>419</v>
      </c>
    </row>
    <row r="152" spans="1:13">
      <c r="A152" s="128">
        <v>3</v>
      </c>
      <c r="B152" s="328" t="s">
        <v>80</v>
      </c>
      <c r="C152" s="325" t="s">
        <v>259</v>
      </c>
      <c r="D152" s="163">
        <f>+'Op &amp; Maint Sched 7'!D29-'Nonlevelized-EIA 412'!D168</f>
        <v>1274614.42</v>
      </c>
      <c r="E152" s="127"/>
      <c r="F152" s="127" t="s">
        <v>56</v>
      </c>
      <c r="G152" s="159">
        <f>I236</f>
        <v>0</v>
      </c>
      <c r="H152" s="127"/>
      <c r="I152" s="127">
        <f t="shared" si="1"/>
        <v>0</v>
      </c>
      <c r="J152" s="127"/>
      <c r="K152" s="127" t="s">
        <v>2</v>
      </c>
      <c r="L152" s="171" t="s">
        <v>655</v>
      </c>
    </row>
    <row r="153" spans="1:13">
      <c r="A153" s="128">
        <v>4</v>
      </c>
      <c r="B153" s="328" t="s">
        <v>81</v>
      </c>
      <c r="C153" s="327"/>
      <c r="D153" s="163">
        <v>0</v>
      </c>
      <c r="E153" s="127"/>
      <c r="F153" s="127" t="str">
        <f>+F152</f>
        <v>W/S</v>
      </c>
      <c r="G153" s="159">
        <f>I236</f>
        <v>0</v>
      </c>
      <c r="H153" s="127"/>
      <c r="I153" s="127">
        <f t="shared" si="1"/>
        <v>0</v>
      </c>
      <c r="J153" s="127"/>
      <c r="K153" s="127"/>
      <c r="L153" s="171" t="s">
        <v>473</v>
      </c>
    </row>
    <row r="154" spans="1:13">
      <c r="A154" s="128">
        <v>5</v>
      </c>
      <c r="B154" s="328" t="s">
        <v>226</v>
      </c>
      <c r="C154" s="327"/>
      <c r="D154" s="163">
        <f>+'Other Data'!D17</f>
        <v>29783</v>
      </c>
      <c r="E154" s="127"/>
      <c r="F154" s="127" t="str">
        <f>+F153</f>
        <v>W/S</v>
      </c>
      <c r="G154" s="159">
        <f>I236</f>
        <v>0</v>
      </c>
      <c r="H154" s="127"/>
      <c r="I154" s="127">
        <f t="shared" si="1"/>
        <v>0</v>
      </c>
      <c r="J154" s="127"/>
      <c r="K154" s="127"/>
      <c r="L154" s="171" t="s">
        <v>644</v>
      </c>
    </row>
    <row r="155" spans="1:13">
      <c r="A155" s="128" t="s">
        <v>178</v>
      </c>
      <c r="B155" s="328" t="s">
        <v>227</v>
      </c>
      <c r="C155" s="327"/>
      <c r="D155" s="163">
        <v>0</v>
      </c>
      <c r="E155" s="127"/>
      <c r="F155" s="127" t="str">
        <f>+F149</f>
        <v>TE</v>
      </c>
      <c r="G155" s="159">
        <f>+G149</f>
        <v>1</v>
      </c>
      <c r="H155" s="127"/>
      <c r="I155" s="127">
        <f t="shared" si="1"/>
        <v>0</v>
      </c>
      <c r="J155" s="127"/>
      <c r="K155" s="127"/>
      <c r="L155" s="171" t="s">
        <v>473</v>
      </c>
    </row>
    <row r="156" spans="1:13">
      <c r="A156" s="128">
        <v>6</v>
      </c>
      <c r="B156" s="328" t="s">
        <v>57</v>
      </c>
      <c r="C156" s="327"/>
      <c r="D156" s="163">
        <v>0</v>
      </c>
      <c r="E156" s="127"/>
      <c r="F156" s="127" t="s">
        <v>58</v>
      </c>
      <c r="G156" s="159">
        <f>K240</f>
        <v>0</v>
      </c>
      <c r="H156" s="127"/>
      <c r="I156" s="127">
        <f t="shared" si="1"/>
        <v>0</v>
      </c>
      <c r="J156" s="127"/>
      <c r="K156" s="127"/>
      <c r="L156" s="171"/>
    </row>
    <row r="157" spans="1:13" ht="16.2" thickBot="1">
      <c r="A157" s="128">
        <v>7</v>
      </c>
      <c r="B157" s="328" t="s">
        <v>82</v>
      </c>
      <c r="C157" s="327"/>
      <c r="D157" s="161">
        <v>0</v>
      </c>
      <c r="E157" s="127"/>
      <c r="F157" s="127" t="s">
        <v>52</v>
      </c>
      <c r="G157" s="159">
        <v>1</v>
      </c>
      <c r="H157" s="127"/>
      <c r="I157" s="139">
        <f t="shared" si="1"/>
        <v>0</v>
      </c>
      <c r="J157" s="127"/>
      <c r="K157" s="127"/>
      <c r="L157" s="171"/>
    </row>
    <row r="158" spans="1:13">
      <c r="A158" s="170">
        <v>8</v>
      </c>
      <c r="B158" s="330" t="s">
        <v>260</v>
      </c>
      <c r="C158" s="329"/>
      <c r="D158" s="174">
        <f>+D149-D151+D152-D153-D154+D155+D156+D157-D150</f>
        <v>1244831.42</v>
      </c>
      <c r="E158" s="174"/>
      <c r="F158" s="174"/>
      <c r="G158" s="174"/>
      <c r="H158" s="174"/>
      <c r="I158" s="174">
        <f>+I149-I151+I152-I153-I154+I155+I156+I157-I150</f>
        <v>0</v>
      </c>
      <c r="J158" s="174"/>
      <c r="K158" s="174"/>
      <c r="L158" s="174"/>
      <c r="M158" s="172"/>
    </row>
    <row r="159" spans="1:13">
      <c r="A159" s="128"/>
      <c r="B159" s="324"/>
      <c r="C159" s="327"/>
      <c r="E159" s="127"/>
      <c r="F159" s="127"/>
      <c r="G159" s="127"/>
      <c r="H159" s="127"/>
      <c r="J159" s="127"/>
      <c r="K159" s="127"/>
      <c r="L159" s="174" t="s">
        <v>2</v>
      </c>
    </row>
    <row r="160" spans="1:13">
      <c r="A160" s="128"/>
      <c r="B160" s="328" t="s">
        <v>468</v>
      </c>
      <c r="C160" s="327"/>
      <c r="D160" s="127"/>
      <c r="E160" s="127"/>
      <c r="F160" s="127"/>
      <c r="G160" s="127"/>
      <c r="H160" s="127"/>
      <c r="I160" s="127"/>
      <c r="J160" s="127"/>
      <c r="K160" s="127"/>
      <c r="L160" s="174" t="s">
        <v>2</v>
      </c>
    </row>
    <row r="161" spans="1:13">
      <c r="A161" s="128">
        <v>9</v>
      </c>
      <c r="B161" s="328" t="s">
        <v>78</v>
      </c>
      <c r="C161" s="325" t="s">
        <v>2</v>
      </c>
      <c r="D161" s="163">
        <f>+'Electric Plant Sched 4'!J17</f>
        <v>75847.75</v>
      </c>
      <c r="E161" s="127"/>
      <c r="F161" s="127" t="s">
        <v>12</v>
      </c>
      <c r="G161" s="159">
        <f>+G114</f>
        <v>1</v>
      </c>
      <c r="H161" s="127"/>
      <c r="I161" s="127">
        <f>+G161*D161</f>
        <v>75847.75</v>
      </c>
      <c r="J161" s="127"/>
      <c r="K161" s="162"/>
      <c r="L161" s="171" t="s">
        <v>395</v>
      </c>
    </row>
    <row r="162" spans="1:13">
      <c r="A162" s="128">
        <v>10</v>
      </c>
      <c r="B162" s="328" t="s">
        <v>469</v>
      </c>
      <c r="C162" s="325" t="s">
        <v>2</v>
      </c>
      <c r="D162" s="163">
        <f>+'Electric Plant Sched 4'!J19</f>
        <v>259354.62</v>
      </c>
      <c r="E162" s="127"/>
      <c r="F162" s="127" t="s">
        <v>56</v>
      </c>
      <c r="G162" s="159">
        <f>+G152</f>
        <v>0</v>
      </c>
      <c r="H162" s="127"/>
      <c r="I162" s="127">
        <f>+G162*D162</f>
        <v>0</v>
      </c>
      <c r="J162" s="127"/>
      <c r="K162" s="162"/>
      <c r="L162" s="287" t="s">
        <v>395</v>
      </c>
    </row>
    <row r="163" spans="1:13" ht="16.2" thickBot="1">
      <c r="A163" s="128">
        <v>11</v>
      </c>
      <c r="B163" s="328" t="s">
        <v>57</v>
      </c>
      <c r="C163" s="327"/>
      <c r="D163" s="161">
        <v>0</v>
      </c>
      <c r="E163" s="127"/>
      <c r="F163" s="127" t="s">
        <v>58</v>
      </c>
      <c r="G163" s="159">
        <f>+G156</f>
        <v>0</v>
      </c>
      <c r="H163" s="127"/>
      <c r="I163" s="139">
        <f>+G163*D163</f>
        <v>0</v>
      </c>
      <c r="J163" s="127"/>
      <c r="K163" s="162"/>
      <c r="L163" s="171"/>
    </row>
    <row r="164" spans="1:13">
      <c r="A164" s="128">
        <v>12</v>
      </c>
      <c r="B164" s="328" t="s">
        <v>228</v>
      </c>
      <c r="C164" s="327"/>
      <c r="D164" s="127">
        <f>SUM(D161:D163)</f>
        <v>335202.37</v>
      </c>
      <c r="E164" s="127"/>
      <c r="F164" s="127"/>
      <c r="G164" s="127"/>
      <c r="H164" s="127"/>
      <c r="I164" s="127">
        <f>SUM(I161:I163)</f>
        <v>75847.75</v>
      </c>
      <c r="J164" s="127"/>
      <c r="K164" s="127"/>
      <c r="L164" s="171"/>
    </row>
    <row r="165" spans="1:13">
      <c r="A165" s="128"/>
      <c r="B165" s="328"/>
      <c r="C165" s="327"/>
      <c r="D165" s="127"/>
      <c r="E165" s="127"/>
      <c r="F165" s="127"/>
      <c r="G165" s="127"/>
      <c r="H165" s="127"/>
      <c r="I165" s="127"/>
      <c r="J165" s="127"/>
      <c r="K165" s="127"/>
      <c r="L165" s="171"/>
    </row>
    <row r="166" spans="1:13">
      <c r="A166" s="128" t="s">
        <v>2</v>
      </c>
      <c r="B166" s="328" t="s">
        <v>229</v>
      </c>
      <c r="C166" s="324"/>
      <c r="D166" s="127"/>
      <c r="E166" s="127"/>
      <c r="F166" s="127"/>
      <c r="G166" s="127"/>
      <c r="H166" s="127"/>
      <c r="I166" s="127"/>
      <c r="J166" s="127"/>
      <c r="K166" s="127"/>
      <c r="L166" s="171"/>
    </row>
    <row r="167" spans="1:13">
      <c r="A167" s="128"/>
      <c r="B167" s="328" t="s">
        <v>83</v>
      </c>
      <c r="C167" s="324"/>
      <c r="E167" s="127"/>
      <c r="F167" s="127"/>
      <c r="H167" s="127"/>
      <c r="J167" s="127"/>
      <c r="K167" s="162"/>
      <c r="L167" s="171"/>
    </row>
    <row r="168" spans="1:13">
      <c r="A168" s="128">
        <v>13</v>
      </c>
      <c r="B168" s="328" t="s">
        <v>84</v>
      </c>
      <c r="C168" s="327"/>
      <c r="D168" s="163">
        <f>+'Taxes Sched 5'!C8</f>
        <v>178109.58</v>
      </c>
      <c r="E168" s="127"/>
      <c r="F168" s="127" t="s">
        <v>56</v>
      </c>
      <c r="G168" s="136">
        <f>+G162</f>
        <v>0</v>
      </c>
      <c r="H168" s="127"/>
      <c r="I168" s="127">
        <f>+G168*D168</f>
        <v>0</v>
      </c>
      <c r="J168" s="127"/>
      <c r="K168" s="162"/>
      <c r="L168" s="171" t="s">
        <v>457</v>
      </c>
      <c r="M168" s="165"/>
    </row>
    <row r="169" spans="1:13">
      <c r="A169" s="128">
        <v>14</v>
      </c>
      <c r="B169" s="328" t="s">
        <v>85</v>
      </c>
      <c r="C169" s="327"/>
      <c r="D169" s="163">
        <v>0</v>
      </c>
      <c r="E169" s="127"/>
      <c r="F169" s="127" t="str">
        <f>+F168</f>
        <v>W/S</v>
      </c>
      <c r="G169" s="136">
        <f>+G168</f>
        <v>0</v>
      </c>
      <c r="H169" s="127"/>
      <c r="I169" s="127">
        <f>+G169*D169</f>
        <v>0</v>
      </c>
      <c r="J169" s="127"/>
      <c r="K169" s="162"/>
      <c r="L169" s="134"/>
    </row>
    <row r="170" spans="1:13">
      <c r="A170" s="128">
        <v>15</v>
      </c>
      <c r="B170" s="328" t="s">
        <v>86</v>
      </c>
      <c r="C170" s="327"/>
      <c r="E170" s="127"/>
      <c r="F170" s="127"/>
      <c r="H170" s="127"/>
      <c r="J170" s="127"/>
      <c r="K170" s="162"/>
      <c r="L170" s="134"/>
    </row>
    <row r="171" spans="1:13">
      <c r="A171" s="128">
        <v>16</v>
      </c>
      <c r="B171" s="328" t="s">
        <v>87</v>
      </c>
      <c r="C171" s="327"/>
      <c r="D171" s="163">
        <v>0</v>
      </c>
      <c r="E171" s="127"/>
      <c r="F171" s="127" t="s">
        <v>76</v>
      </c>
      <c r="G171" s="136">
        <f>+G88</f>
        <v>5.869506821287751E-2</v>
      </c>
      <c r="H171" s="127"/>
      <c r="I171" s="127">
        <f>+G171*D171</f>
        <v>0</v>
      </c>
      <c r="J171" s="127"/>
      <c r="K171" s="162"/>
      <c r="L171" s="134"/>
    </row>
    <row r="172" spans="1:13">
      <c r="A172" s="128">
        <v>17</v>
      </c>
      <c r="B172" s="328" t="s">
        <v>88</v>
      </c>
      <c r="C172" s="327"/>
      <c r="D172" s="163">
        <v>0</v>
      </c>
      <c r="E172" s="127"/>
      <c r="F172" s="127" t="s">
        <v>52</v>
      </c>
      <c r="G172" s="175" t="s">
        <v>177</v>
      </c>
      <c r="H172" s="127"/>
      <c r="I172" s="127">
        <v>0</v>
      </c>
      <c r="J172" s="127"/>
      <c r="K172" s="162"/>
      <c r="L172" s="134"/>
    </row>
    <row r="173" spans="1:13">
      <c r="A173" s="128">
        <v>18</v>
      </c>
      <c r="B173" s="328" t="s">
        <v>89</v>
      </c>
      <c r="C173" s="327"/>
      <c r="D173" s="163">
        <v>0</v>
      </c>
      <c r="E173" s="127"/>
      <c r="F173" s="127" t="str">
        <f>+F171</f>
        <v>GP</v>
      </c>
      <c r="G173" s="136">
        <f>+G171</f>
        <v>5.869506821287751E-2</v>
      </c>
      <c r="H173" s="127"/>
      <c r="I173" s="127">
        <f>+G173*D173</f>
        <v>0</v>
      </c>
      <c r="J173" s="127"/>
      <c r="K173" s="162"/>
      <c r="L173" s="134"/>
    </row>
    <row r="174" spans="1:13" ht="16.2" thickBot="1">
      <c r="A174" s="128">
        <v>19</v>
      </c>
      <c r="B174" s="328" t="s">
        <v>90</v>
      </c>
      <c r="C174" s="327"/>
      <c r="D174" s="161">
        <f>+'Taxes Sched 5'!C13</f>
        <v>1069557.69</v>
      </c>
      <c r="E174" s="127"/>
      <c r="F174" s="127" t="s">
        <v>76</v>
      </c>
      <c r="G174" s="136">
        <f>+G173</f>
        <v>5.869506821287751E-2</v>
      </c>
      <c r="H174" s="127"/>
      <c r="I174" s="139">
        <f>+G174*D174</f>
        <v>62777.761572157695</v>
      </c>
      <c r="J174" s="127"/>
      <c r="K174" s="162"/>
      <c r="L174" s="166" t="s">
        <v>370</v>
      </c>
    </row>
    <row r="175" spans="1:13">
      <c r="A175" s="128">
        <v>20</v>
      </c>
      <c r="B175" s="328" t="s">
        <v>91</v>
      </c>
      <c r="C175" s="327"/>
      <c r="D175" s="127">
        <f>SUM(D168:D174)</f>
        <v>1247667.27</v>
      </c>
      <c r="E175" s="127"/>
      <c r="F175" s="127"/>
      <c r="G175" s="136"/>
      <c r="H175" s="127"/>
      <c r="I175" s="127">
        <f>SUM(I168:I174)</f>
        <v>62777.761572157695</v>
      </c>
      <c r="J175" s="127"/>
      <c r="K175" s="127"/>
      <c r="L175" s="127" t="s">
        <v>2</v>
      </c>
    </row>
    <row r="176" spans="1:13">
      <c r="A176" s="128" t="s">
        <v>92</v>
      </c>
      <c r="B176" s="134"/>
      <c r="C176" s="127"/>
      <c r="D176" s="127"/>
      <c r="E176" s="127"/>
      <c r="F176" s="127"/>
      <c r="G176" s="136"/>
      <c r="H176" s="127"/>
      <c r="I176" s="127"/>
      <c r="J176" s="127"/>
      <c r="K176" s="127"/>
      <c r="L176" s="127"/>
    </row>
    <row r="177" spans="1:12">
      <c r="A177" s="128" t="s">
        <v>2</v>
      </c>
      <c r="B177" s="335" t="s">
        <v>93</v>
      </c>
      <c r="C177" s="339" t="s">
        <v>205</v>
      </c>
      <c r="D177" s="127"/>
      <c r="E177" s="127"/>
      <c r="F177" s="127" t="s">
        <v>52</v>
      </c>
      <c r="G177" s="176"/>
      <c r="H177" s="127"/>
      <c r="I177" s="127"/>
      <c r="J177" s="127"/>
      <c r="L177" s="127"/>
    </row>
    <row r="178" spans="1:12">
      <c r="A178" s="128">
        <v>21</v>
      </c>
      <c r="B178" s="340" t="s">
        <v>94</v>
      </c>
      <c r="C178" s="334"/>
      <c r="D178" s="177">
        <f>IF(D293&gt;0,1-(((1-D294)*(1-D293))/(1-D294*D293*D295)),0)</f>
        <v>0</v>
      </c>
      <c r="E178" s="127"/>
      <c r="G178" s="176"/>
      <c r="H178" s="127"/>
      <c r="J178" s="127"/>
      <c r="L178" s="127"/>
    </row>
    <row r="179" spans="1:12">
      <c r="A179" s="128">
        <v>22</v>
      </c>
      <c r="B179" s="332" t="s">
        <v>95</v>
      </c>
      <c r="C179" s="334"/>
      <c r="D179" s="177">
        <f>IF(I250&gt;0,(D178/(1-D178))*(1-I248/I250),0)</f>
        <v>0</v>
      </c>
      <c r="E179" s="127"/>
      <c r="G179" s="176"/>
      <c r="H179" s="127"/>
      <c r="J179" s="127"/>
      <c r="L179" s="127"/>
    </row>
    <row r="180" spans="1:12">
      <c r="A180" s="128"/>
      <c r="B180" s="335" t="s">
        <v>470</v>
      </c>
      <c r="C180" s="334"/>
      <c r="D180" s="127"/>
      <c r="E180" s="127"/>
      <c r="G180" s="176"/>
      <c r="H180" s="127"/>
      <c r="J180" s="127"/>
      <c r="L180" s="127"/>
    </row>
    <row r="181" spans="1:12">
      <c r="A181" s="128"/>
      <c r="B181" s="335" t="s">
        <v>96</v>
      </c>
      <c r="C181" s="334"/>
      <c r="D181" s="127"/>
      <c r="E181" s="127"/>
      <c r="G181" s="176"/>
      <c r="H181" s="127"/>
      <c r="J181" s="127"/>
      <c r="L181" s="127"/>
    </row>
    <row r="182" spans="1:12">
      <c r="A182" s="128">
        <v>23</v>
      </c>
      <c r="B182" s="340" t="s">
        <v>97</v>
      </c>
      <c r="C182" s="334"/>
      <c r="D182" s="178">
        <f>IF(D178&gt;0,1/(1-D178),0)</f>
        <v>0</v>
      </c>
      <c r="E182" s="127"/>
      <c r="G182" s="176"/>
      <c r="H182" s="127"/>
      <c r="J182" s="127"/>
      <c r="L182" s="134"/>
    </row>
    <row r="183" spans="1:12">
      <c r="A183" s="128">
        <v>24</v>
      </c>
      <c r="B183" s="341" t="s">
        <v>632</v>
      </c>
      <c r="C183" s="334"/>
      <c r="D183" s="163">
        <v>0</v>
      </c>
      <c r="E183" s="127"/>
      <c r="G183" s="176"/>
      <c r="H183" s="127"/>
      <c r="J183" s="127"/>
      <c r="L183" s="134"/>
    </row>
    <row r="184" spans="1:12">
      <c r="A184" s="128"/>
      <c r="B184" s="335"/>
      <c r="C184" s="334"/>
      <c r="D184" s="127"/>
      <c r="E184" s="127"/>
      <c r="G184" s="176"/>
      <c r="H184" s="127"/>
      <c r="J184" s="127"/>
      <c r="L184" s="134"/>
    </row>
    <row r="185" spans="1:12">
      <c r="A185" s="128">
        <v>25</v>
      </c>
      <c r="B185" s="340" t="s">
        <v>98</v>
      </c>
      <c r="C185" s="339"/>
      <c r="D185" s="127">
        <f>D179*D189</f>
        <v>0</v>
      </c>
      <c r="E185" s="127"/>
      <c r="F185" s="127" t="s">
        <v>52</v>
      </c>
      <c r="G185" s="136"/>
      <c r="H185" s="127"/>
      <c r="I185" s="127">
        <f>D179*I189</f>
        <v>0</v>
      </c>
      <c r="J185" s="127"/>
      <c r="L185" s="134"/>
    </row>
    <row r="186" spans="1:12" ht="16.2" thickBot="1">
      <c r="A186" s="128">
        <v>26</v>
      </c>
      <c r="B186" s="332" t="s">
        <v>99</v>
      </c>
      <c r="C186" s="339"/>
      <c r="D186" s="139">
        <f>D182*D183</f>
        <v>0</v>
      </c>
      <c r="E186" s="127"/>
      <c r="F186" s="115" t="s">
        <v>63</v>
      </c>
      <c r="G186" s="136">
        <f>G104</f>
        <v>8.0427922278073175E-2</v>
      </c>
      <c r="H186" s="127"/>
      <c r="I186" s="139">
        <f>G186*D186</f>
        <v>0</v>
      </c>
      <c r="J186" s="127"/>
      <c r="L186" s="127" t="s">
        <v>2</v>
      </c>
    </row>
    <row r="187" spans="1:12">
      <c r="A187" s="128">
        <v>27</v>
      </c>
      <c r="B187" s="337" t="s">
        <v>100</v>
      </c>
      <c r="C187" s="332" t="s">
        <v>101</v>
      </c>
      <c r="D187" s="179">
        <f>+D185+D186</f>
        <v>0</v>
      </c>
      <c r="E187" s="127"/>
      <c r="F187" s="127" t="s">
        <v>2</v>
      </c>
      <c r="G187" s="136" t="s">
        <v>2</v>
      </c>
      <c r="H187" s="127"/>
      <c r="I187" s="179">
        <f>+I185+I186</f>
        <v>0</v>
      </c>
      <c r="J187" s="127"/>
      <c r="L187" s="127"/>
    </row>
    <row r="188" spans="1:12">
      <c r="A188" s="128" t="s">
        <v>2</v>
      </c>
      <c r="B188" s="331"/>
      <c r="C188" s="338"/>
      <c r="D188" s="127"/>
      <c r="E188" s="127"/>
      <c r="F188" s="127"/>
      <c r="G188" s="136"/>
      <c r="H188" s="127"/>
      <c r="I188" s="127"/>
      <c r="J188" s="127"/>
      <c r="K188" s="127"/>
      <c r="L188" s="127"/>
    </row>
    <row r="189" spans="1:12">
      <c r="A189" s="128">
        <v>28</v>
      </c>
      <c r="B189" s="335" t="s">
        <v>102</v>
      </c>
      <c r="C189" s="336"/>
      <c r="D189" s="127">
        <f>+$I250*D122</f>
        <v>2117969.4572269819</v>
      </c>
      <c r="E189" s="127"/>
      <c r="F189" s="127" t="s">
        <v>52</v>
      </c>
      <c r="G189" s="176"/>
      <c r="H189" s="127"/>
      <c r="I189" s="127">
        <f>+$I250*I122</f>
        <v>168858.15592594445</v>
      </c>
      <c r="J189" s="127"/>
      <c r="L189" s="134"/>
    </row>
    <row r="190" spans="1:12">
      <c r="A190" s="128"/>
      <c r="B190" s="337" t="s">
        <v>103</v>
      </c>
      <c r="C190" s="331"/>
      <c r="D190" s="127"/>
      <c r="E190" s="127"/>
      <c r="F190" s="127"/>
      <c r="G190" s="176"/>
      <c r="H190" s="127"/>
      <c r="I190" s="127"/>
      <c r="J190" s="127"/>
      <c r="K190" s="162"/>
      <c r="L190" s="120"/>
    </row>
    <row r="191" spans="1:12">
      <c r="A191" s="128"/>
      <c r="B191" s="335"/>
      <c r="C191" s="331"/>
      <c r="D191" s="180"/>
      <c r="E191" s="127"/>
      <c r="F191" s="127"/>
      <c r="G191" s="176"/>
      <c r="H191" s="127"/>
      <c r="I191" s="180"/>
      <c r="J191" s="127"/>
      <c r="K191" s="162"/>
      <c r="L191" s="120"/>
    </row>
    <row r="192" spans="1:12">
      <c r="A192" s="128">
        <v>29</v>
      </c>
      <c r="B192" s="335" t="s">
        <v>230</v>
      </c>
      <c r="C192" s="334"/>
      <c r="D192" s="180">
        <f>+D189+D187+D175+D164+D158</f>
        <v>4945670.5172269819</v>
      </c>
      <c r="E192" s="127"/>
      <c r="F192" s="127"/>
      <c r="G192" s="127"/>
      <c r="H192" s="127"/>
      <c r="I192" s="180">
        <f>+I189+I187+I175+I164+I158</f>
        <v>307483.66749810218</v>
      </c>
      <c r="J192" s="120"/>
      <c r="K192" s="120"/>
      <c r="L192" s="120"/>
    </row>
    <row r="193" spans="1:13">
      <c r="A193" s="128"/>
      <c r="B193" s="335"/>
      <c r="C193" s="334"/>
      <c r="D193" s="180"/>
      <c r="E193" s="127"/>
      <c r="F193" s="127"/>
      <c r="G193" s="127"/>
      <c r="H193" s="127"/>
      <c r="I193" s="180"/>
      <c r="J193" s="120"/>
      <c r="K193" s="120"/>
      <c r="L193" s="120"/>
    </row>
    <row r="194" spans="1:13">
      <c r="A194" s="128">
        <v>30</v>
      </c>
      <c r="B194" s="332" t="s">
        <v>266</v>
      </c>
      <c r="C194" s="331"/>
      <c r="J194" s="120"/>
      <c r="K194" s="120"/>
      <c r="L194" s="120"/>
    </row>
    <row r="195" spans="1:13">
      <c r="A195" s="128"/>
      <c r="B195" s="332" t="s">
        <v>200</v>
      </c>
      <c r="C195" s="331"/>
      <c r="J195" s="120"/>
      <c r="K195" s="120"/>
      <c r="L195" s="120"/>
    </row>
    <row r="196" spans="1:13">
      <c r="A196" s="128"/>
      <c r="B196" s="332" t="s">
        <v>201</v>
      </c>
      <c r="C196" s="331"/>
      <c r="D196" s="181">
        <v>0</v>
      </c>
      <c r="E196" s="134"/>
      <c r="F196" s="134"/>
      <c r="G196" s="134"/>
      <c r="H196" s="134"/>
      <c r="I196" s="181">
        <v>0</v>
      </c>
      <c r="J196" s="120"/>
      <c r="K196" s="120"/>
      <c r="L196" s="120"/>
    </row>
    <row r="197" spans="1:13">
      <c r="A197" s="128"/>
      <c r="B197" s="335"/>
      <c r="C197" s="334"/>
      <c r="D197" s="180"/>
      <c r="E197" s="127"/>
      <c r="F197" s="127"/>
      <c r="G197" s="127"/>
      <c r="H197" s="127"/>
      <c r="I197" s="180"/>
      <c r="J197" s="120"/>
      <c r="K197" s="120"/>
      <c r="L197" s="120"/>
    </row>
    <row r="198" spans="1:13">
      <c r="A198" s="128" t="s">
        <v>270</v>
      </c>
      <c r="B198" s="333" t="s">
        <v>633</v>
      </c>
      <c r="C198" s="333"/>
      <c r="D198" s="172"/>
      <c r="J198" s="127"/>
      <c r="K198" s="127"/>
      <c r="L198" s="120"/>
    </row>
    <row r="199" spans="1:13">
      <c r="A199" s="128"/>
      <c r="B199" s="332" t="s">
        <v>200</v>
      </c>
      <c r="C199" s="331"/>
      <c r="J199" s="127"/>
      <c r="K199" s="127"/>
      <c r="L199" s="120"/>
    </row>
    <row r="200" spans="1:13" ht="16.2" thickBot="1">
      <c r="A200" s="128"/>
      <c r="B200" s="332" t="s">
        <v>271</v>
      </c>
      <c r="C200" s="331"/>
      <c r="D200" s="182">
        <v>0</v>
      </c>
      <c r="E200" s="134"/>
      <c r="F200" s="134"/>
      <c r="G200" s="134"/>
      <c r="H200" s="134"/>
      <c r="I200" s="182">
        <v>0</v>
      </c>
      <c r="J200" s="127"/>
      <c r="K200" s="127"/>
      <c r="L200" s="120"/>
    </row>
    <row r="201" spans="1:13" ht="16.2" thickBot="1">
      <c r="A201" s="170">
        <v>31</v>
      </c>
      <c r="B201" s="333" t="s">
        <v>199</v>
      </c>
      <c r="C201" s="333"/>
      <c r="D201" s="183">
        <f>+D192-D196-D200</f>
        <v>4945670.5172269819</v>
      </c>
      <c r="E201" s="172"/>
      <c r="F201" s="172"/>
      <c r="G201" s="172"/>
      <c r="H201" s="172"/>
      <c r="I201" s="183">
        <f>+I192-I196-I200</f>
        <v>307483.66749810218</v>
      </c>
      <c r="J201" s="174"/>
      <c r="K201" s="174"/>
      <c r="L201" s="184"/>
      <c r="M201" s="172"/>
    </row>
    <row r="202" spans="1:13" ht="16.2" thickTop="1">
      <c r="A202" s="128"/>
      <c r="B202" s="332" t="s">
        <v>272</v>
      </c>
      <c r="C202" s="331"/>
      <c r="J202" s="127"/>
      <c r="K202" s="127"/>
      <c r="L202" s="120"/>
    </row>
    <row r="203" spans="1:13" s="186" customFormat="1">
      <c r="A203" s="185"/>
      <c r="J203" s="187"/>
      <c r="K203" s="187"/>
      <c r="L203" s="188"/>
    </row>
    <row r="204" spans="1:13" s="186" customFormat="1">
      <c r="A204" s="185"/>
      <c r="J204" s="187"/>
      <c r="K204" s="187"/>
      <c r="L204" s="188"/>
    </row>
    <row r="205" spans="1:13" s="186" customFormat="1">
      <c r="A205" s="185"/>
      <c r="J205" s="187"/>
      <c r="K205" s="116" t="s">
        <v>474</v>
      </c>
      <c r="L205" s="188"/>
    </row>
    <row r="206" spans="1:13">
      <c r="B206" s="117"/>
      <c r="C206" s="117"/>
      <c r="D206" s="118"/>
      <c r="E206" s="117"/>
      <c r="F206" s="117"/>
      <c r="G206" s="117"/>
      <c r="H206" s="119"/>
      <c r="I206" s="119"/>
      <c r="J206" s="120"/>
      <c r="K206" s="121" t="s">
        <v>187</v>
      </c>
      <c r="L206" s="134"/>
    </row>
    <row r="207" spans="1:13">
      <c r="A207" s="128"/>
      <c r="J207" s="127"/>
      <c r="K207" s="127"/>
      <c r="L207" s="134"/>
    </row>
    <row r="208" spans="1:13">
      <c r="A208" s="128"/>
      <c r="B208" s="134" t="str">
        <f>B4</f>
        <v xml:space="preserve">Formula Rate - Non-Levelized </v>
      </c>
      <c r="D208" s="115" t="str">
        <f>D4</f>
        <v xml:space="preserve">   Rate Formula Template</v>
      </c>
      <c r="J208" s="127"/>
      <c r="K208" s="116" t="str">
        <f>K4</f>
        <v>For the 12 months ended 12/31/2015</v>
      </c>
      <c r="L208" s="134"/>
    </row>
    <row r="209" spans="1:14">
      <c r="A209" s="128"/>
      <c r="B209" s="134"/>
      <c r="D209" s="115" t="str">
        <f>D5</f>
        <v>Utilizing EIA Form 412 Data</v>
      </c>
      <c r="J209" s="127"/>
      <c r="K209" s="127"/>
      <c r="L209" s="134"/>
    </row>
    <row r="210" spans="1:14" ht="9" customHeight="1">
      <c r="A210" s="128"/>
      <c r="J210" s="127"/>
      <c r="K210" s="127"/>
      <c r="L210" s="134"/>
    </row>
    <row r="211" spans="1:14">
      <c r="A211" s="128"/>
      <c r="D211" s="115" t="str">
        <f>D7</f>
        <v>ALP Utilities (Alexandria, Minnesota)</v>
      </c>
      <c r="J211" s="127"/>
      <c r="K211" s="127"/>
      <c r="L211" s="134"/>
    </row>
    <row r="212" spans="1:14">
      <c r="A212" s="128" t="s">
        <v>4</v>
      </c>
      <c r="C212" s="134"/>
      <c r="D212" s="134"/>
      <c r="E212" s="134"/>
      <c r="F212" s="134"/>
      <c r="G212" s="134"/>
      <c r="H212" s="134"/>
      <c r="I212" s="134"/>
      <c r="J212" s="134"/>
      <c r="K212" s="134"/>
      <c r="L212" s="189"/>
    </row>
    <row r="213" spans="1:14" ht="16.2" thickBot="1">
      <c r="A213" s="131" t="s">
        <v>6</v>
      </c>
      <c r="C213" s="155" t="s">
        <v>104</v>
      </c>
      <c r="E213" s="120"/>
      <c r="F213" s="120"/>
      <c r="G213" s="120"/>
      <c r="H213" s="120"/>
      <c r="I213" s="120"/>
      <c r="J213" s="127"/>
      <c r="K213" s="127"/>
      <c r="L213" s="189"/>
    </row>
    <row r="214" spans="1:14">
      <c r="A214" s="128"/>
      <c r="B214" s="347" t="s">
        <v>107</v>
      </c>
      <c r="C214" s="344"/>
      <c r="D214" s="120"/>
      <c r="E214" s="120"/>
      <c r="F214" s="120"/>
      <c r="G214" s="120"/>
      <c r="H214" s="120"/>
      <c r="I214" s="120"/>
      <c r="J214" s="127"/>
      <c r="K214" s="127"/>
      <c r="L214" s="134"/>
    </row>
    <row r="215" spans="1:14">
      <c r="A215" s="128">
        <v>1</v>
      </c>
      <c r="B215" s="345" t="s">
        <v>231</v>
      </c>
      <c r="C215" s="344"/>
      <c r="D215" s="127"/>
      <c r="E215" s="127"/>
      <c r="F215" s="127"/>
      <c r="G215" s="127"/>
      <c r="H215" s="127"/>
      <c r="I215" s="127">
        <f>D84</f>
        <v>2753134.02</v>
      </c>
      <c r="J215" s="127"/>
      <c r="K215" s="127"/>
      <c r="L215" s="134"/>
    </row>
    <row r="216" spans="1:14">
      <c r="A216" s="128">
        <v>2</v>
      </c>
      <c r="B216" s="345" t="s">
        <v>232</v>
      </c>
      <c r="C216" s="342"/>
      <c r="I216" s="163">
        <v>0</v>
      </c>
      <c r="J216" s="127"/>
      <c r="K216" s="127"/>
      <c r="L216" s="134"/>
    </row>
    <row r="217" spans="1:14" ht="16.2" thickBot="1">
      <c r="A217" s="128">
        <v>3</v>
      </c>
      <c r="B217" s="353" t="s">
        <v>233</v>
      </c>
      <c r="C217" s="349"/>
      <c r="D217" s="180"/>
      <c r="E217" s="127"/>
      <c r="F217" s="127"/>
      <c r="G217" s="165"/>
      <c r="H217" s="127"/>
      <c r="I217" s="161">
        <v>0</v>
      </c>
      <c r="J217" s="127"/>
      <c r="K217" s="127"/>
      <c r="L217" s="134"/>
    </row>
    <row r="218" spans="1:14">
      <c r="A218" s="128">
        <v>4</v>
      </c>
      <c r="B218" s="345" t="s">
        <v>179</v>
      </c>
      <c r="C218" s="344"/>
      <c r="D218" s="127"/>
      <c r="E218" s="127"/>
      <c r="F218" s="127"/>
      <c r="G218" s="165"/>
      <c r="H218" s="127"/>
      <c r="I218" s="127">
        <f>I215-I216-I217</f>
        <v>2753134.02</v>
      </c>
      <c r="J218" s="127"/>
      <c r="K218" s="127"/>
      <c r="L218" s="134"/>
    </row>
    <row r="219" spans="1:14">
      <c r="A219" s="128"/>
      <c r="B219" s="342"/>
      <c r="C219" s="344"/>
      <c r="D219" s="127"/>
      <c r="E219" s="127"/>
      <c r="F219" s="127"/>
      <c r="G219" s="165"/>
      <c r="H219" s="127"/>
      <c r="J219" s="127"/>
      <c r="K219" s="127"/>
    </row>
    <row r="220" spans="1:14">
      <c r="A220" s="128">
        <v>5</v>
      </c>
      <c r="B220" s="345" t="s">
        <v>234</v>
      </c>
      <c r="C220" s="352"/>
      <c r="D220" s="190"/>
      <c r="E220" s="190"/>
      <c r="F220" s="190"/>
      <c r="G220" s="152"/>
      <c r="H220" s="127" t="s">
        <v>108</v>
      </c>
      <c r="I220" s="164">
        <f>IF(I215&gt;0,I218/I215,0)</f>
        <v>1</v>
      </c>
      <c r="J220" s="127"/>
      <c r="K220" s="127"/>
    </row>
    <row r="221" spans="1:14">
      <c r="B221" s="342"/>
      <c r="C221" s="342"/>
      <c r="J221" s="127"/>
      <c r="K221" s="127"/>
      <c r="M221" s="191"/>
    </row>
    <row r="222" spans="1:14">
      <c r="B222" s="348" t="s">
        <v>105</v>
      </c>
      <c r="C222" s="342"/>
      <c r="J222" s="127"/>
      <c r="K222" s="127"/>
      <c r="L222" s="413"/>
      <c r="M222" s="413"/>
      <c r="N222" s="413"/>
    </row>
    <row r="223" spans="1:14">
      <c r="A223" s="128">
        <v>6</v>
      </c>
      <c r="B223" s="343" t="s">
        <v>235</v>
      </c>
      <c r="C223" s="342"/>
      <c r="D223" s="120"/>
      <c r="E223" s="120"/>
      <c r="F223" s="120"/>
      <c r="G223" s="122"/>
      <c r="H223" s="120"/>
      <c r="I223" s="127">
        <f>D149</f>
        <v>3367657.76</v>
      </c>
      <c r="J223" s="127"/>
      <c r="K223" s="127"/>
      <c r="L223" s="415"/>
      <c r="M223" s="415"/>
      <c r="N223" s="415"/>
    </row>
    <row r="224" spans="1:14" ht="16.2" thickBot="1">
      <c r="A224" s="128">
        <v>7</v>
      </c>
      <c r="B224" s="353" t="s">
        <v>236</v>
      </c>
      <c r="C224" s="349"/>
      <c r="D224" s="180"/>
      <c r="E224" s="180"/>
      <c r="F224" s="127"/>
      <c r="G224" s="127"/>
      <c r="H224" s="127"/>
      <c r="I224" s="161">
        <v>0</v>
      </c>
      <c r="J224" s="127"/>
      <c r="K224" s="127"/>
      <c r="L224" s="412"/>
      <c r="M224" s="414"/>
      <c r="N224" s="413"/>
    </row>
    <row r="225" spans="1:14">
      <c r="A225" s="128">
        <v>8</v>
      </c>
      <c r="B225" s="345" t="s">
        <v>261</v>
      </c>
      <c r="C225" s="352"/>
      <c r="D225" s="190"/>
      <c r="E225" s="190"/>
      <c r="F225" s="190"/>
      <c r="G225" s="152"/>
      <c r="H225" s="190"/>
      <c r="I225" s="127">
        <f>+I223-I224</f>
        <v>3367657.76</v>
      </c>
      <c r="J225" s="127"/>
      <c r="K225" s="127"/>
      <c r="L225" s="412"/>
      <c r="M225" s="416"/>
      <c r="N225" s="413"/>
    </row>
    <row r="226" spans="1:14">
      <c r="A226" s="128"/>
      <c r="B226" s="345"/>
      <c r="C226" s="344"/>
      <c r="D226" s="127"/>
      <c r="E226" s="127"/>
      <c r="F226" s="127"/>
      <c r="G226" s="127"/>
      <c r="J226" s="127"/>
      <c r="K226" s="127"/>
      <c r="L226" s="412"/>
      <c r="M226" s="416"/>
      <c r="N226" s="413"/>
    </row>
    <row r="227" spans="1:14">
      <c r="A227" s="128">
        <v>9</v>
      </c>
      <c r="B227" s="345" t="s">
        <v>237</v>
      </c>
      <c r="C227" s="344"/>
      <c r="D227" s="127"/>
      <c r="E227" s="127"/>
      <c r="F227" s="127"/>
      <c r="G227" s="127"/>
      <c r="H227" s="127"/>
      <c r="I227" s="159">
        <f>IF(I223&gt;0,I225/I223,0)</f>
        <v>1</v>
      </c>
      <c r="J227" s="127"/>
      <c r="K227" s="127"/>
      <c r="L227" s="417"/>
      <c r="M227" s="418"/>
      <c r="N227" s="417"/>
    </row>
    <row r="228" spans="1:14">
      <c r="A228" s="128">
        <v>10</v>
      </c>
      <c r="B228" s="345" t="s">
        <v>238</v>
      </c>
      <c r="C228" s="344"/>
      <c r="D228" s="127"/>
      <c r="E228" s="127"/>
      <c r="F228" s="127"/>
      <c r="G228" s="127"/>
      <c r="H228" s="120" t="s">
        <v>12</v>
      </c>
      <c r="I228" s="192">
        <f>I220</f>
        <v>1</v>
      </c>
      <c r="J228" s="127"/>
      <c r="K228" s="127"/>
      <c r="L228" s="412"/>
      <c r="M228" s="419"/>
      <c r="N228" s="413"/>
    </row>
    <row r="229" spans="1:14">
      <c r="A229" s="128">
        <v>11</v>
      </c>
      <c r="B229" s="345" t="s">
        <v>239</v>
      </c>
      <c r="C229" s="344"/>
      <c r="D229" s="120"/>
      <c r="E229" s="120"/>
      <c r="F229" s="120"/>
      <c r="G229" s="120"/>
      <c r="H229" s="120" t="s">
        <v>106</v>
      </c>
      <c r="I229" s="193">
        <f>+I228*I227</f>
        <v>1</v>
      </c>
      <c r="J229" s="127"/>
      <c r="K229" s="127"/>
      <c r="L229" s="412"/>
      <c r="M229" s="419"/>
      <c r="N229" s="413"/>
    </row>
    <row r="230" spans="1:14">
      <c r="A230" s="128"/>
      <c r="B230" s="342"/>
      <c r="C230" s="344"/>
      <c r="D230" s="127"/>
      <c r="E230" s="127"/>
      <c r="F230" s="127"/>
      <c r="G230" s="165"/>
      <c r="H230" s="127"/>
      <c r="L230" s="412"/>
      <c r="M230" s="419"/>
      <c r="N230" s="413"/>
    </row>
    <row r="231" spans="1:14" ht="16.2" thickBot="1">
      <c r="A231" s="128" t="s">
        <v>2</v>
      </c>
      <c r="B231" s="348" t="s">
        <v>109</v>
      </c>
      <c r="C231" s="346"/>
      <c r="D231" s="194" t="s">
        <v>110</v>
      </c>
      <c r="E231" s="194" t="s">
        <v>12</v>
      </c>
      <c r="F231" s="127"/>
      <c r="G231" s="194" t="s">
        <v>111</v>
      </c>
      <c r="H231" s="127"/>
      <c r="I231" s="127"/>
      <c r="L231" s="412"/>
      <c r="M231" s="416"/>
      <c r="N231" s="413"/>
    </row>
    <row r="232" spans="1:14">
      <c r="A232" s="128">
        <v>12</v>
      </c>
      <c r="B232" s="348" t="s">
        <v>51</v>
      </c>
      <c r="C232" s="346"/>
      <c r="D232" s="163">
        <f>+Salaries!H11</f>
        <v>10716.23</v>
      </c>
      <c r="E232" s="195">
        <v>0</v>
      </c>
      <c r="F232" s="195"/>
      <c r="G232" s="127">
        <f>D232*E232</f>
        <v>0</v>
      </c>
      <c r="H232" s="127"/>
      <c r="I232" s="127"/>
      <c r="J232" s="127"/>
      <c r="K232" s="127"/>
      <c r="L232" s="412"/>
      <c r="M232" s="416"/>
      <c r="N232" s="413"/>
    </row>
    <row r="233" spans="1:14">
      <c r="A233" s="128">
        <v>13</v>
      </c>
      <c r="B233" s="348" t="s">
        <v>53</v>
      </c>
      <c r="C233" s="346"/>
      <c r="D233" s="163">
        <f>+Salaries!H16</f>
        <v>0</v>
      </c>
      <c r="E233" s="195">
        <f>+I220</f>
        <v>1</v>
      </c>
      <c r="F233" s="195"/>
      <c r="G233" s="127">
        <f>D233*E233</f>
        <v>0</v>
      </c>
      <c r="H233" s="127"/>
      <c r="I233" s="127"/>
      <c r="J233" s="127"/>
      <c r="K233" s="127"/>
      <c r="L233" s="412"/>
      <c r="M233" s="416"/>
      <c r="N233" s="413"/>
    </row>
    <row r="234" spans="1:14">
      <c r="A234" s="128">
        <v>14</v>
      </c>
      <c r="B234" s="348" t="s">
        <v>54</v>
      </c>
      <c r="C234" s="346"/>
      <c r="D234" s="163">
        <f>+Salaries!H24+Salaries!H34</f>
        <v>748627.74000000011</v>
      </c>
      <c r="E234" s="195">
        <v>0</v>
      </c>
      <c r="F234" s="195"/>
      <c r="G234" s="127">
        <f>D234*E234</f>
        <v>0</v>
      </c>
      <c r="H234" s="127"/>
      <c r="I234" s="196" t="s">
        <v>112</v>
      </c>
      <c r="J234" s="127"/>
      <c r="K234" s="127"/>
      <c r="L234" s="415"/>
      <c r="M234" s="413"/>
      <c r="N234" s="413"/>
    </row>
    <row r="235" spans="1:14" ht="16.2" thickBot="1">
      <c r="A235" s="128">
        <v>15</v>
      </c>
      <c r="B235" s="348" t="s">
        <v>113</v>
      </c>
      <c r="C235" s="346"/>
      <c r="D235" s="161">
        <f>+Salaries!H46</f>
        <v>402633.89</v>
      </c>
      <c r="E235" s="195">
        <v>0</v>
      </c>
      <c r="F235" s="195"/>
      <c r="G235" s="139">
        <f>D235*E235</f>
        <v>0</v>
      </c>
      <c r="H235" s="127"/>
      <c r="I235" s="131" t="s">
        <v>114</v>
      </c>
      <c r="J235" s="127"/>
      <c r="K235" s="127"/>
      <c r="L235" s="134"/>
    </row>
    <row r="236" spans="1:14">
      <c r="A236" s="128">
        <v>16</v>
      </c>
      <c r="B236" s="348" t="s">
        <v>241</v>
      </c>
      <c r="C236" s="346"/>
      <c r="D236" s="127">
        <f>SUM(D232:D235)</f>
        <v>1161977.8600000001</v>
      </c>
      <c r="E236" s="127"/>
      <c r="F236" s="127"/>
      <c r="G236" s="127">
        <f>SUM(G232:G235)</f>
        <v>0</v>
      </c>
      <c r="H236" s="122" t="s">
        <v>115</v>
      </c>
      <c r="I236" s="159">
        <f>IF(G236&gt;0,G233/D236,0)</f>
        <v>0</v>
      </c>
      <c r="J236" s="127" t="s">
        <v>115</v>
      </c>
      <c r="K236" s="127" t="s">
        <v>56</v>
      </c>
      <c r="L236" s="134"/>
    </row>
    <row r="237" spans="1:14">
      <c r="A237" s="128" t="s">
        <v>2</v>
      </c>
      <c r="B237" s="348" t="s">
        <v>2</v>
      </c>
      <c r="C237" s="346" t="s">
        <v>2</v>
      </c>
      <c r="E237" s="127"/>
      <c r="F237" s="127"/>
      <c r="L237" s="134"/>
    </row>
    <row r="238" spans="1:14">
      <c r="A238" s="128"/>
      <c r="B238" s="348" t="s">
        <v>240</v>
      </c>
      <c r="C238" s="346"/>
      <c r="D238" s="153" t="s">
        <v>110</v>
      </c>
      <c r="E238" s="127"/>
      <c r="F238" s="127"/>
      <c r="G238" s="165" t="s">
        <v>116</v>
      </c>
      <c r="H238" s="176" t="s">
        <v>2</v>
      </c>
      <c r="I238" s="162" t="s">
        <v>117</v>
      </c>
      <c r="J238" s="127"/>
      <c r="K238" s="127"/>
      <c r="L238" s="134"/>
    </row>
    <row r="239" spans="1:14">
      <c r="A239" s="128">
        <v>17</v>
      </c>
      <c r="B239" s="348" t="s">
        <v>118</v>
      </c>
      <c r="C239" s="346"/>
      <c r="D239" s="163">
        <f>+D88</f>
        <v>46905712.929999992</v>
      </c>
      <c r="E239" s="127"/>
      <c r="G239" s="128" t="s">
        <v>119</v>
      </c>
      <c r="H239" s="197"/>
      <c r="I239" s="128" t="s">
        <v>120</v>
      </c>
      <c r="J239" s="127"/>
      <c r="K239" s="122" t="s">
        <v>58</v>
      </c>
      <c r="L239" s="134"/>
    </row>
    <row r="240" spans="1:14">
      <c r="A240" s="128">
        <v>18</v>
      </c>
      <c r="B240" s="348" t="s">
        <v>121</v>
      </c>
      <c r="C240" s="346"/>
      <c r="D240" s="163">
        <v>0</v>
      </c>
      <c r="E240" s="127"/>
      <c r="G240" s="136">
        <f>IF(D242&gt;0,D239/D242,0)</f>
        <v>0.53410366563292722</v>
      </c>
      <c r="H240" s="165" t="s">
        <v>122</v>
      </c>
      <c r="I240" s="136">
        <f>I236</f>
        <v>0</v>
      </c>
      <c r="J240" s="176" t="s">
        <v>115</v>
      </c>
      <c r="K240" s="136">
        <f>I240*G240</f>
        <v>0</v>
      </c>
      <c r="L240" s="134"/>
    </row>
    <row r="241" spans="1:13" ht="16.2" thickBot="1">
      <c r="A241" s="128">
        <v>19</v>
      </c>
      <c r="B241" s="351" t="s">
        <v>123</v>
      </c>
      <c r="C241" s="350"/>
      <c r="D241" s="161">
        <v>40915652</v>
      </c>
      <c r="E241" s="127"/>
      <c r="F241" s="127"/>
      <c r="G241" s="127" t="s">
        <v>2</v>
      </c>
      <c r="H241" s="127"/>
      <c r="I241" s="127"/>
      <c r="L241" s="134"/>
    </row>
    <row r="242" spans="1:13">
      <c r="A242" s="128">
        <v>20</v>
      </c>
      <c r="B242" s="348" t="s">
        <v>171</v>
      </c>
      <c r="C242" s="346"/>
      <c r="D242" s="127">
        <f>D239+D240+D241</f>
        <v>87821364.929999992</v>
      </c>
      <c r="E242" s="127"/>
      <c r="F242" s="127"/>
      <c r="G242" s="127"/>
      <c r="H242" s="127"/>
      <c r="I242" s="127"/>
      <c r="J242" s="127"/>
      <c r="K242" s="127"/>
      <c r="L242" s="134"/>
    </row>
    <row r="243" spans="1:13">
      <c r="A243" s="128"/>
      <c r="B243" s="348" t="s">
        <v>2</v>
      </c>
      <c r="C243" s="346"/>
      <c r="E243" s="127"/>
      <c r="F243" s="127"/>
      <c r="G243" s="127"/>
      <c r="H243" s="127"/>
      <c r="I243" s="127" t="s">
        <v>2</v>
      </c>
      <c r="J243" s="127"/>
      <c r="K243" s="127"/>
      <c r="L243" s="134"/>
    </row>
    <row r="244" spans="1:13" ht="16.2" thickBot="1">
      <c r="A244" s="128"/>
      <c r="B244" s="347" t="s">
        <v>124</v>
      </c>
      <c r="C244" s="346"/>
      <c r="D244" s="194" t="s">
        <v>110</v>
      </c>
      <c r="E244" s="127"/>
      <c r="F244" s="127"/>
      <c r="G244" s="127"/>
      <c r="H244" s="127"/>
      <c r="J244" s="127" t="s">
        <v>2</v>
      </c>
      <c r="K244" s="127"/>
      <c r="L244" s="134"/>
    </row>
    <row r="245" spans="1:13">
      <c r="A245" s="128">
        <v>21</v>
      </c>
      <c r="B245" s="346" t="s">
        <v>125</v>
      </c>
      <c r="C245" s="345" t="s">
        <v>263</v>
      </c>
      <c r="D245" s="198">
        <f>+'Detailed Income &amp; Exp'!D130</f>
        <v>131858.87</v>
      </c>
      <c r="E245" s="127"/>
      <c r="F245" s="127"/>
      <c r="G245" s="127"/>
      <c r="H245" s="127"/>
      <c r="I245" s="127"/>
      <c r="J245" s="127"/>
      <c r="K245" s="127"/>
      <c r="L245" s="134"/>
      <c r="M245" s="115" t="s">
        <v>656</v>
      </c>
    </row>
    <row r="246" spans="1:13">
      <c r="A246" s="128"/>
      <c r="B246" s="348"/>
      <c r="C246" s="342"/>
      <c r="D246" s="127"/>
      <c r="E246" s="127"/>
      <c r="F246" s="127"/>
      <c r="G246" s="165" t="s">
        <v>126</v>
      </c>
      <c r="H246" s="127"/>
      <c r="I246" s="127"/>
      <c r="J246" s="127"/>
      <c r="K246" s="127"/>
      <c r="L246" s="134"/>
    </row>
    <row r="247" spans="1:13" ht="16.2" thickBot="1">
      <c r="A247" s="128"/>
      <c r="B247" s="347"/>
      <c r="C247" s="345"/>
      <c r="D247" s="131" t="s">
        <v>110</v>
      </c>
      <c r="E247" s="131" t="s">
        <v>127</v>
      </c>
      <c r="F247" s="127"/>
      <c r="G247" s="131" t="s">
        <v>128</v>
      </c>
      <c r="H247" s="127"/>
      <c r="I247" s="131" t="s">
        <v>129</v>
      </c>
      <c r="J247" s="127"/>
      <c r="K247" s="127"/>
      <c r="L247" s="134"/>
    </row>
    <row r="248" spans="1:13">
      <c r="A248" s="128">
        <v>22</v>
      </c>
      <c r="B248" s="347" t="s">
        <v>130</v>
      </c>
      <c r="C248" s="345" t="s">
        <v>281</v>
      </c>
      <c r="D248" s="163">
        <f>+'Balance sheet Sched 2'!F28</f>
        <v>8215441.8499999996</v>
      </c>
      <c r="E248" s="199">
        <f>IF($D$250&gt;0,D248/$D$250,0)</f>
        <v>0.2800213674636492</v>
      </c>
      <c r="F248" s="200"/>
      <c r="G248" s="201">
        <f>IF(D248&gt;0,D245/D248,0)</f>
        <v>1.6050125167643904E-2</v>
      </c>
      <c r="I248" s="200">
        <f>G248*E248</f>
        <v>4.4943779974063779E-3</v>
      </c>
      <c r="J248" s="202" t="s">
        <v>131</v>
      </c>
      <c r="K248" s="127"/>
      <c r="L248" s="134"/>
      <c r="M248" s="115" t="s">
        <v>283</v>
      </c>
    </row>
    <row r="249" spans="1:13" ht="16.2" thickBot="1">
      <c r="A249" s="128">
        <v>23</v>
      </c>
      <c r="B249" s="347" t="s">
        <v>132</v>
      </c>
      <c r="C249" s="345" t="s">
        <v>262</v>
      </c>
      <c r="D249" s="161">
        <f>+'Balance sheet Sched 2'!F16</f>
        <v>21123183</v>
      </c>
      <c r="E249" s="203">
        <f>IF($D$250&gt;0,D249/$D$250,0)</f>
        <v>0.71997863253635075</v>
      </c>
      <c r="F249" s="200"/>
      <c r="G249" s="200">
        <f>I252</f>
        <v>0.12379999999999999</v>
      </c>
      <c r="I249" s="204">
        <f>G249*E249</f>
        <v>8.9133354708000212E-2</v>
      </c>
      <c r="L249" s="134"/>
      <c r="M249" s="115" t="s">
        <v>283</v>
      </c>
    </row>
    <row r="250" spans="1:13">
      <c r="A250" s="128">
        <v>24</v>
      </c>
      <c r="B250" s="347" t="s">
        <v>172</v>
      </c>
      <c r="C250" s="345"/>
      <c r="D250" s="127">
        <f>SUM(D248:D249)</f>
        <v>29338624.850000001</v>
      </c>
      <c r="E250" s="205">
        <f>SUM(E248+E249)</f>
        <v>1</v>
      </c>
      <c r="F250" s="200"/>
      <c r="G250" s="200"/>
      <c r="I250" s="200">
        <f>SUM(I248:I249)</f>
        <v>9.3627732705406586E-2</v>
      </c>
      <c r="J250" s="202" t="s">
        <v>133</v>
      </c>
      <c r="L250" s="134"/>
    </row>
    <row r="251" spans="1:13">
      <c r="A251" s="128" t="s">
        <v>2</v>
      </c>
      <c r="B251" s="134"/>
      <c r="D251" s="127"/>
      <c r="E251" s="127" t="s">
        <v>2</v>
      </c>
      <c r="F251" s="127"/>
      <c r="G251" s="127"/>
      <c r="H251" s="127"/>
      <c r="I251" s="200"/>
      <c r="L251" s="134"/>
    </row>
    <row r="252" spans="1:13">
      <c r="A252" s="128">
        <v>25</v>
      </c>
      <c r="E252" s="127"/>
      <c r="F252" s="127"/>
      <c r="G252" s="127"/>
      <c r="H252" s="169" t="s">
        <v>202</v>
      </c>
      <c r="I252" s="206">
        <v>0.12379999999999999</v>
      </c>
      <c r="L252" s="134"/>
    </row>
    <row r="253" spans="1:13">
      <c r="A253" s="128">
        <v>26</v>
      </c>
      <c r="H253" s="116" t="s">
        <v>203</v>
      </c>
      <c r="I253" s="195">
        <f>IF(G248&gt;0,I250/G248,0)</f>
        <v>5.8334581025046779</v>
      </c>
      <c r="L253" s="134"/>
    </row>
    <row r="254" spans="1:13">
      <c r="A254" s="128"/>
      <c r="B254" s="117" t="s">
        <v>134</v>
      </c>
      <c r="C254" s="119"/>
      <c r="D254" s="119"/>
      <c r="E254" s="119"/>
      <c r="F254" s="119"/>
      <c r="G254" s="119"/>
      <c r="H254" s="119"/>
      <c r="I254" s="119"/>
      <c r="K254" s="127"/>
      <c r="L254" s="134"/>
    </row>
    <row r="255" spans="1:13" ht="16.2" thickBot="1">
      <c r="A255" s="128"/>
      <c r="B255" s="117"/>
      <c r="C255" s="117"/>
      <c r="D255" s="117"/>
      <c r="E255" s="117"/>
      <c r="F255" s="117"/>
      <c r="G255" s="117"/>
      <c r="H255" s="117"/>
      <c r="I255" s="131" t="s">
        <v>135</v>
      </c>
      <c r="J255" s="119"/>
      <c r="K255" s="119"/>
      <c r="L255" s="134"/>
    </row>
    <row r="256" spans="1:13">
      <c r="A256" s="128"/>
      <c r="B256" s="360" t="s">
        <v>136</v>
      </c>
      <c r="C256" s="358"/>
      <c r="D256" s="358"/>
      <c r="E256" s="358"/>
      <c r="F256" s="358"/>
      <c r="G256" s="207" t="s">
        <v>2</v>
      </c>
      <c r="H256" s="186"/>
      <c r="I256" s="208"/>
      <c r="J256" s="117"/>
      <c r="K256" s="117"/>
      <c r="L256" s="134"/>
    </row>
    <row r="257" spans="1:14">
      <c r="A257" s="128">
        <v>27</v>
      </c>
      <c r="B257" s="355" t="s">
        <v>137</v>
      </c>
      <c r="C257" s="358"/>
      <c r="D257" s="358"/>
      <c r="E257" s="358" t="s">
        <v>138</v>
      </c>
      <c r="F257" s="358"/>
      <c r="H257" s="186"/>
      <c r="I257" s="163">
        <v>0</v>
      </c>
      <c r="J257" s="117"/>
      <c r="K257" s="117"/>
      <c r="L257" s="134"/>
    </row>
    <row r="258" spans="1:14" ht="16.2" thickBot="1">
      <c r="A258" s="128">
        <v>28</v>
      </c>
      <c r="B258" s="370" t="s">
        <v>173</v>
      </c>
      <c r="C258" s="369"/>
      <c r="D258" s="368"/>
      <c r="E258" s="362"/>
      <c r="F258" s="362"/>
      <c r="G258" s="209"/>
      <c r="H258" s="119"/>
      <c r="I258" s="161">
        <v>0</v>
      </c>
      <c r="J258" s="117"/>
      <c r="K258" s="117"/>
      <c r="L258" s="134"/>
    </row>
    <row r="259" spans="1:14">
      <c r="A259" s="128">
        <v>29</v>
      </c>
      <c r="B259" s="355" t="s">
        <v>139</v>
      </c>
      <c r="C259" s="356"/>
      <c r="D259" s="368"/>
      <c r="E259" s="362"/>
      <c r="F259" s="362"/>
      <c r="G259" s="209"/>
      <c r="H259" s="119"/>
      <c r="I259" s="163">
        <f>+I257-I258</f>
        <v>0</v>
      </c>
      <c r="J259" s="117"/>
      <c r="K259" s="117"/>
      <c r="L259" s="134"/>
    </row>
    <row r="260" spans="1:14">
      <c r="A260" s="128"/>
      <c r="B260" s="355" t="s">
        <v>2</v>
      </c>
      <c r="C260" s="356"/>
      <c r="D260" s="368"/>
      <c r="E260" s="362"/>
      <c r="F260" s="362"/>
      <c r="G260" s="210"/>
      <c r="H260" s="119"/>
      <c r="I260" s="211" t="s">
        <v>2</v>
      </c>
      <c r="J260" s="117"/>
      <c r="K260" s="117"/>
      <c r="L260" s="134"/>
    </row>
    <row r="261" spans="1:14">
      <c r="A261" s="128">
        <v>30</v>
      </c>
      <c r="B261" s="360" t="s">
        <v>242</v>
      </c>
      <c r="C261" s="356"/>
      <c r="D261" s="368"/>
      <c r="E261" s="362"/>
      <c r="F261" s="362"/>
      <c r="G261" s="210"/>
      <c r="H261" s="119"/>
      <c r="I261" s="212">
        <f>+'Detailed Income &amp; Exp'!D23</f>
        <v>52251</v>
      </c>
      <c r="J261" s="117"/>
      <c r="K261" s="117" t="s">
        <v>732</v>
      </c>
      <c r="M261" s="115" t="s">
        <v>652</v>
      </c>
    </row>
    <row r="262" spans="1:14">
      <c r="A262" s="128"/>
      <c r="B262" s="354"/>
      <c r="C262" s="358"/>
      <c r="D262" s="362"/>
      <c r="E262" s="362"/>
      <c r="F262" s="362"/>
      <c r="G262" s="209"/>
      <c r="H262" s="119"/>
      <c r="I262" s="211"/>
      <c r="J262" s="117"/>
      <c r="K262" s="117"/>
    </row>
    <row r="263" spans="1:14">
      <c r="B263" s="360" t="s">
        <v>194</v>
      </c>
      <c r="C263" s="358"/>
      <c r="D263" s="362"/>
      <c r="E263" s="362"/>
      <c r="F263" s="362"/>
      <c r="G263" s="209"/>
      <c r="H263" s="119"/>
      <c r="J263" s="117"/>
      <c r="K263" s="117"/>
    </row>
    <row r="264" spans="1:14">
      <c r="A264" s="128">
        <v>31</v>
      </c>
      <c r="B264" s="360" t="s">
        <v>140</v>
      </c>
      <c r="C264" s="359"/>
      <c r="D264" s="361"/>
      <c r="E264" s="361"/>
      <c r="F264" s="361"/>
      <c r="G264" s="180"/>
      <c r="H264" s="127"/>
      <c r="I264" s="213">
        <f>+'Acct 456.1'!H40</f>
        <v>10958.589999999998</v>
      </c>
      <c r="J264" s="117"/>
      <c r="K264" s="451" t="s">
        <v>731</v>
      </c>
      <c r="L264" s="214"/>
    </row>
    <row r="265" spans="1:14">
      <c r="A265" s="128">
        <v>32</v>
      </c>
      <c r="B265" s="367" t="s">
        <v>174</v>
      </c>
      <c r="C265" s="362"/>
      <c r="D265" s="362"/>
      <c r="E265" s="362"/>
      <c r="F265" s="362"/>
      <c r="G265" s="209"/>
      <c r="H265" s="119"/>
      <c r="I265" s="213">
        <f>+'Acct 456.1'!H41</f>
        <v>1739.2899999999997</v>
      </c>
      <c r="J265" s="117"/>
      <c r="K265" s="451" t="s">
        <v>731</v>
      </c>
      <c r="L265" s="165"/>
    </row>
    <row r="266" spans="1:14">
      <c r="A266" s="128" t="s">
        <v>196</v>
      </c>
      <c r="B266" s="366" t="s">
        <v>634</v>
      </c>
      <c r="C266" s="365"/>
      <c r="D266" s="362"/>
      <c r="E266" s="362"/>
      <c r="F266" s="362"/>
      <c r="G266" s="209"/>
      <c r="H266" s="119"/>
      <c r="I266" s="213">
        <v>0</v>
      </c>
      <c r="J266" s="117"/>
      <c r="K266" s="117"/>
      <c r="L266" s="165"/>
    </row>
    <row r="267" spans="1:14" ht="16.2" thickBot="1">
      <c r="A267" s="128" t="s">
        <v>273</v>
      </c>
      <c r="B267" s="364" t="s">
        <v>635</v>
      </c>
      <c r="C267" s="363"/>
      <c r="D267" s="362"/>
      <c r="E267" s="362"/>
      <c r="F267" s="362"/>
      <c r="G267" s="209"/>
      <c r="H267" s="119"/>
      <c r="I267" s="215">
        <v>0</v>
      </c>
      <c r="J267" s="117"/>
      <c r="K267" s="117"/>
      <c r="L267" s="165"/>
    </row>
    <row r="268" spans="1:14" s="186" customFormat="1">
      <c r="A268" s="128">
        <v>33</v>
      </c>
      <c r="B268" s="355" t="s">
        <v>274</v>
      </c>
      <c r="C268" s="357"/>
      <c r="D268" s="361"/>
      <c r="E268" s="361"/>
      <c r="F268" s="361"/>
      <c r="G268" s="180"/>
      <c r="H268" s="119"/>
      <c r="I268" s="216">
        <f>+I264-I265-I266-I267</f>
        <v>9219.2999999999993</v>
      </c>
      <c r="J268" s="117"/>
      <c r="K268" s="117"/>
      <c r="M268" s="115"/>
      <c r="N268" s="115"/>
    </row>
    <row r="269" spans="1:14">
      <c r="A269" s="128"/>
      <c r="B269" s="217"/>
      <c r="C269" s="128"/>
      <c r="D269" s="180"/>
      <c r="E269" s="180"/>
      <c r="F269" s="180"/>
      <c r="G269" s="180"/>
      <c r="H269" s="119"/>
      <c r="I269" s="216"/>
      <c r="J269" s="117"/>
      <c r="K269" s="117"/>
      <c r="M269" s="186"/>
      <c r="N269" s="186"/>
    </row>
    <row r="270" spans="1:14">
      <c r="A270" s="128"/>
      <c r="B270" s="217"/>
      <c r="C270" s="128"/>
      <c r="D270" s="180"/>
      <c r="E270" s="180"/>
      <c r="F270" s="180"/>
      <c r="G270" s="180"/>
      <c r="H270" s="119"/>
      <c r="I270" s="216"/>
      <c r="J270" s="117"/>
      <c r="K270" s="117"/>
      <c r="L270" s="214"/>
    </row>
    <row r="271" spans="1:14">
      <c r="A271" s="128"/>
      <c r="B271" s="217"/>
      <c r="C271" s="128"/>
      <c r="D271" s="180"/>
      <c r="E271" s="180"/>
      <c r="F271" s="180"/>
      <c r="G271" s="180"/>
      <c r="H271" s="119"/>
      <c r="I271" s="216"/>
      <c r="J271" s="117"/>
      <c r="K271" s="117"/>
      <c r="L271" s="214"/>
    </row>
    <row r="272" spans="1:14">
      <c r="A272" s="128"/>
      <c r="B272" s="217"/>
      <c r="C272" s="128"/>
      <c r="D272" s="180"/>
      <c r="E272" s="180"/>
      <c r="F272" s="180"/>
      <c r="G272" s="180"/>
      <c r="H272" s="119"/>
      <c r="I272" s="216"/>
      <c r="J272" s="117"/>
      <c r="K272" s="116" t="s">
        <v>474</v>
      </c>
      <c r="L272" s="214"/>
    </row>
    <row r="273" spans="1:16">
      <c r="B273" s="117"/>
      <c r="C273" s="117"/>
      <c r="E273" s="117"/>
      <c r="F273" s="117"/>
      <c r="G273" s="117"/>
      <c r="H273" s="119"/>
      <c r="I273" s="119"/>
      <c r="K273" s="121" t="s">
        <v>188</v>
      </c>
      <c r="L273" s="120"/>
    </row>
    <row r="274" spans="1:16">
      <c r="A274" s="128"/>
      <c r="B274" s="217" t="str">
        <f>B4</f>
        <v xml:space="preserve">Formula Rate - Non-Levelized </v>
      </c>
      <c r="C274" s="458" t="str">
        <f>D4</f>
        <v xml:space="preserve">   Rate Formula Template</v>
      </c>
      <c r="D274" s="458"/>
      <c r="E274" s="127"/>
      <c r="F274" s="127"/>
      <c r="G274" s="127"/>
      <c r="H274" s="218"/>
      <c r="J274" s="120"/>
      <c r="K274" s="219" t="str">
        <f>K4</f>
        <v>For the 12 months ended 12/31/2015</v>
      </c>
      <c r="L274" s="120"/>
    </row>
    <row r="275" spans="1:16">
      <c r="A275" s="128"/>
      <c r="B275" s="217"/>
      <c r="C275" s="128"/>
      <c r="D275" s="127" t="str">
        <f>D5</f>
        <v>Utilizing EIA Form 412 Data</v>
      </c>
      <c r="E275" s="127"/>
      <c r="F275" s="127"/>
      <c r="G275" s="127"/>
      <c r="H275" s="119"/>
      <c r="I275" s="220"/>
      <c r="J275" s="208"/>
      <c r="K275" s="221"/>
      <c r="L275" s="120"/>
    </row>
    <row r="276" spans="1:16">
      <c r="A276" s="128"/>
      <c r="B276" s="217"/>
      <c r="C276" s="128"/>
      <c r="D276" s="127" t="str">
        <f>D7</f>
        <v>ALP Utilities (Alexandria, Minnesota)</v>
      </c>
      <c r="E276" s="127"/>
      <c r="F276" s="127"/>
      <c r="G276" s="127"/>
      <c r="H276" s="119"/>
      <c r="I276" s="220"/>
      <c r="J276" s="208"/>
      <c r="K276" s="221"/>
      <c r="L276" s="120"/>
    </row>
    <row r="277" spans="1:16">
      <c r="A277" s="128"/>
      <c r="B277" s="117" t="s">
        <v>141</v>
      </c>
      <c r="C277" s="128"/>
      <c r="D277" s="127"/>
      <c r="E277" s="127"/>
      <c r="F277" s="127"/>
      <c r="G277" s="127"/>
      <c r="H277" s="119"/>
      <c r="I277" s="127"/>
      <c r="J277" s="208"/>
      <c r="K277" s="221"/>
      <c r="L277" s="120"/>
    </row>
    <row r="278" spans="1:16">
      <c r="A278" s="128"/>
      <c r="B278" s="222" t="s">
        <v>208</v>
      </c>
      <c r="C278" s="128"/>
      <c r="D278" s="127"/>
      <c r="E278" s="127"/>
      <c r="F278" s="127"/>
      <c r="G278" s="127"/>
      <c r="H278" s="119"/>
      <c r="I278" s="127"/>
      <c r="J278" s="119"/>
      <c r="K278" s="127"/>
      <c r="L278" s="120"/>
    </row>
    <row r="279" spans="1:16">
      <c r="B279" s="222" t="s">
        <v>207</v>
      </c>
      <c r="C279" s="128"/>
      <c r="D279" s="127"/>
      <c r="E279" s="127"/>
      <c r="F279" s="127"/>
      <c r="G279" s="127"/>
      <c r="H279" s="119"/>
      <c r="I279" s="127"/>
      <c r="J279" s="119"/>
      <c r="K279" s="127"/>
      <c r="L279" s="120"/>
    </row>
    <row r="280" spans="1:16">
      <c r="A280" s="128" t="s">
        <v>142</v>
      </c>
      <c r="B280" s="117" t="s">
        <v>206</v>
      </c>
      <c r="C280" s="119"/>
      <c r="D280" s="127"/>
      <c r="E280" s="127"/>
      <c r="F280" s="127"/>
      <c r="G280" s="140"/>
      <c r="H280" s="119"/>
      <c r="I280" s="127"/>
      <c r="J280" s="119"/>
      <c r="K280" s="127"/>
      <c r="L280" s="120"/>
    </row>
    <row r="281" spans="1:16" ht="16.2" thickBot="1">
      <c r="A281" s="131" t="s">
        <v>143</v>
      </c>
      <c r="C281" s="119"/>
      <c r="D281" s="127"/>
      <c r="E281" s="127"/>
      <c r="F281" s="127"/>
      <c r="G281" s="127"/>
      <c r="H281" s="119"/>
      <c r="I281" s="127"/>
      <c r="J281" s="119"/>
      <c r="K281" s="127"/>
      <c r="L281" s="120"/>
    </row>
    <row r="282" spans="1:16" ht="32.25" customHeight="1">
      <c r="A282" s="384" t="s">
        <v>144</v>
      </c>
      <c r="B282" s="456" t="s">
        <v>267</v>
      </c>
      <c r="C282" s="456"/>
      <c r="D282" s="456"/>
      <c r="E282" s="456"/>
      <c r="F282" s="456"/>
      <c r="G282" s="456"/>
      <c r="H282" s="456"/>
      <c r="I282" s="456"/>
      <c r="J282" s="456"/>
      <c r="K282" s="456"/>
      <c r="L282" s="373"/>
      <c r="M282" s="371"/>
      <c r="N282" s="355"/>
      <c r="O282" s="355"/>
      <c r="P282" s="355"/>
    </row>
    <row r="283" spans="1:16" ht="63" customHeight="1">
      <c r="A283" s="384" t="s">
        <v>145</v>
      </c>
      <c r="B283" s="456" t="s">
        <v>268</v>
      </c>
      <c r="C283" s="456"/>
      <c r="D283" s="456"/>
      <c r="E283" s="456"/>
      <c r="F283" s="456"/>
      <c r="G283" s="456"/>
      <c r="H283" s="456"/>
      <c r="I283" s="456"/>
      <c r="J283" s="456"/>
      <c r="K283" s="456"/>
      <c r="L283" s="373"/>
      <c r="M283" s="371"/>
      <c r="N283" s="355"/>
      <c r="O283" s="355"/>
      <c r="P283" s="355"/>
    </row>
    <row r="284" spans="1:16" ht="15.6" customHeight="1">
      <c r="A284" s="384" t="s">
        <v>146</v>
      </c>
      <c r="B284" s="456" t="s">
        <v>269</v>
      </c>
      <c r="C284" s="456"/>
      <c r="D284" s="456"/>
      <c r="E284" s="456"/>
      <c r="F284" s="456"/>
      <c r="G284" s="456"/>
      <c r="H284" s="456"/>
      <c r="I284" s="456"/>
      <c r="J284" s="456"/>
      <c r="K284" s="456"/>
      <c r="L284" s="373"/>
      <c r="M284" s="371"/>
      <c r="N284" s="355"/>
      <c r="O284" s="355"/>
      <c r="P284" s="355"/>
    </row>
    <row r="285" spans="1:16" ht="15.6" customHeight="1">
      <c r="A285" s="384" t="s">
        <v>147</v>
      </c>
      <c r="B285" s="456" t="s">
        <v>269</v>
      </c>
      <c r="C285" s="456"/>
      <c r="D285" s="456"/>
      <c r="E285" s="456"/>
      <c r="F285" s="456"/>
      <c r="G285" s="456"/>
      <c r="H285" s="456"/>
      <c r="I285" s="456"/>
      <c r="J285" s="456"/>
      <c r="K285" s="456"/>
      <c r="L285" s="373"/>
      <c r="M285" s="371"/>
      <c r="N285" s="355"/>
      <c r="O285" s="355"/>
      <c r="P285" s="355"/>
    </row>
    <row r="286" spans="1:16" ht="15.6" customHeight="1">
      <c r="A286" s="384" t="s">
        <v>148</v>
      </c>
      <c r="B286" s="456" t="s">
        <v>636</v>
      </c>
      <c r="C286" s="456"/>
      <c r="D286" s="456"/>
      <c r="E286" s="456"/>
      <c r="F286" s="456"/>
      <c r="G286" s="456"/>
      <c r="H286" s="456"/>
      <c r="I286" s="456"/>
      <c r="J286" s="456"/>
      <c r="K286" s="456"/>
      <c r="L286" s="373"/>
      <c r="M286" s="371"/>
      <c r="N286" s="355"/>
      <c r="O286" s="355"/>
      <c r="P286" s="355"/>
    </row>
    <row r="287" spans="1:16" ht="48" customHeight="1">
      <c r="A287" s="384" t="s">
        <v>149</v>
      </c>
      <c r="B287" s="457" t="s">
        <v>244</v>
      </c>
      <c r="C287" s="457"/>
      <c r="D287" s="457"/>
      <c r="E287" s="457"/>
      <c r="F287" s="457"/>
      <c r="G287" s="457"/>
      <c r="H287" s="457"/>
      <c r="I287" s="457"/>
      <c r="J287" s="457"/>
      <c r="K287" s="457"/>
      <c r="L287" s="373"/>
      <c r="M287" s="371"/>
      <c r="N287" s="355"/>
      <c r="O287" s="355"/>
      <c r="P287" s="355"/>
    </row>
    <row r="288" spans="1:16">
      <c r="A288" s="384" t="s">
        <v>150</v>
      </c>
      <c r="B288" s="457" t="s">
        <v>180</v>
      </c>
      <c r="C288" s="457"/>
      <c r="D288" s="457"/>
      <c r="E288" s="457"/>
      <c r="F288" s="457"/>
      <c r="G288" s="457"/>
      <c r="H288" s="457"/>
      <c r="I288" s="457"/>
      <c r="J288" s="457"/>
      <c r="K288" s="457"/>
      <c r="L288" s="373"/>
      <c r="M288" s="371"/>
      <c r="N288" s="355"/>
      <c r="O288" s="355"/>
      <c r="P288" s="355"/>
    </row>
    <row r="289" spans="1:16" ht="32.25" customHeight="1">
      <c r="A289" s="384" t="s">
        <v>151</v>
      </c>
      <c r="B289" s="457" t="s">
        <v>245</v>
      </c>
      <c r="C289" s="457"/>
      <c r="D289" s="457"/>
      <c r="E289" s="457"/>
      <c r="F289" s="457"/>
      <c r="G289" s="457"/>
      <c r="H289" s="457"/>
      <c r="I289" s="457"/>
      <c r="J289" s="457"/>
      <c r="K289" s="457"/>
      <c r="L289" s="373"/>
      <c r="M289" s="371"/>
      <c r="N289" s="355"/>
      <c r="O289" s="355"/>
      <c r="P289" s="355"/>
    </row>
    <row r="290" spans="1:16" ht="32.25" customHeight="1">
      <c r="A290" s="384" t="s">
        <v>152</v>
      </c>
      <c r="B290" s="456" t="s">
        <v>246</v>
      </c>
      <c r="C290" s="456"/>
      <c r="D290" s="456"/>
      <c r="E290" s="456"/>
      <c r="F290" s="456"/>
      <c r="G290" s="456"/>
      <c r="H290" s="456"/>
      <c r="I290" s="456"/>
      <c r="J290" s="456"/>
      <c r="K290" s="456"/>
      <c r="L290" s="373"/>
      <c r="M290" s="371"/>
      <c r="N290" s="355"/>
      <c r="O290" s="355"/>
      <c r="P290" s="355"/>
    </row>
    <row r="291" spans="1:16" ht="32.25" customHeight="1">
      <c r="A291" s="384" t="s">
        <v>153</v>
      </c>
      <c r="B291" s="457" t="s">
        <v>247</v>
      </c>
      <c r="C291" s="457"/>
      <c r="D291" s="457"/>
      <c r="E291" s="457"/>
      <c r="F291" s="457"/>
      <c r="G291" s="457"/>
      <c r="H291" s="457"/>
      <c r="I291" s="457"/>
      <c r="J291" s="457"/>
      <c r="K291" s="457"/>
      <c r="L291" s="373"/>
      <c r="M291" s="371"/>
      <c r="N291" s="355"/>
      <c r="O291" s="355"/>
      <c r="P291" s="355"/>
    </row>
    <row r="292" spans="1:16" ht="79.5" customHeight="1">
      <c r="A292" s="384" t="s">
        <v>154</v>
      </c>
      <c r="B292" s="457" t="s">
        <v>248</v>
      </c>
      <c r="C292" s="457"/>
      <c r="D292" s="457"/>
      <c r="E292" s="457"/>
      <c r="F292" s="457"/>
      <c r="G292" s="457"/>
      <c r="H292" s="457"/>
      <c r="I292" s="457"/>
      <c r="J292" s="457"/>
      <c r="K292" s="457"/>
      <c r="L292" s="373"/>
      <c r="M292" s="371"/>
      <c r="N292" s="355"/>
      <c r="O292" s="355"/>
      <c r="P292" s="355"/>
    </row>
    <row r="293" spans="1:16">
      <c r="A293" s="384" t="s">
        <v>2</v>
      </c>
      <c r="B293" s="388" t="s">
        <v>243</v>
      </c>
      <c r="C293" s="391" t="s">
        <v>155</v>
      </c>
      <c r="D293" s="386">
        <v>0</v>
      </c>
      <c r="E293" s="391"/>
      <c r="F293" s="387"/>
      <c r="G293" s="387"/>
      <c r="H293" s="392"/>
      <c r="I293" s="387"/>
      <c r="J293" s="392"/>
      <c r="K293" s="387"/>
      <c r="L293" s="373"/>
      <c r="M293" s="371"/>
      <c r="N293" s="355"/>
      <c r="O293" s="355"/>
      <c r="P293" s="355"/>
    </row>
    <row r="294" spans="1:16" ht="15.6" customHeight="1">
      <c r="A294" s="384"/>
      <c r="B294" s="391"/>
      <c r="C294" s="391" t="s">
        <v>156</v>
      </c>
      <c r="D294" s="386">
        <v>0</v>
      </c>
      <c r="E294" s="457" t="s">
        <v>157</v>
      </c>
      <c r="F294" s="457"/>
      <c r="G294" s="457"/>
      <c r="H294" s="457"/>
      <c r="I294" s="457"/>
      <c r="J294" s="457"/>
      <c r="K294" s="457"/>
      <c r="L294" s="371"/>
      <c r="M294" s="371"/>
      <c r="N294" s="355"/>
      <c r="O294" s="355"/>
      <c r="P294" s="355"/>
    </row>
    <row r="295" spans="1:16" ht="15.6" customHeight="1">
      <c r="A295" s="384"/>
      <c r="B295" s="391"/>
      <c r="C295" s="391" t="s">
        <v>158</v>
      </c>
      <c r="D295" s="386">
        <v>0</v>
      </c>
      <c r="E295" s="457" t="s">
        <v>159</v>
      </c>
      <c r="F295" s="457"/>
      <c r="G295" s="457"/>
      <c r="H295" s="457"/>
      <c r="I295" s="457"/>
      <c r="J295" s="457"/>
      <c r="K295" s="457"/>
      <c r="L295" s="373"/>
      <c r="M295" s="371"/>
      <c r="N295" s="355"/>
      <c r="O295" s="355"/>
      <c r="P295" s="355"/>
    </row>
    <row r="296" spans="1:16" ht="15.6" customHeight="1">
      <c r="A296" s="384" t="s">
        <v>160</v>
      </c>
      <c r="B296" s="457" t="s">
        <v>195</v>
      </c>
      <c r="C296" s="457"/>
      <c r="D296" s="457"/>
      <c r="E296" s="457"/>
      <c r="F296" s="457"/>
      <c r="G296" s="457"/>
      <c r="H296" s="457"/>
      <c r="I296" s="457"/>
      <c r="J296" s="457"/>
      <c r="K296" s="457"/>
      <c r="L296" s="373"/>
      <c r="M296" s="371"/>
      <c r="N296" s="355"/>
      <c r="O296" s="355"/>
      <c r="P296" s="355"/>
    </row>
    <row r="297" spans="1:16" ht="32.25" customHeight="1">
      <c r="A297" s="384" t="s">
        <v>161</v>
      </c>
      <c r="B297" s="457" t="s">
        <v>637</v>
      </c>
      <c r="C297" s="457"/>
      <c r="D297" s="457"/>
      <c r="E297" s="457"/>
      <c r="F297" s="457"/>
      <c r="G297" s="457"/>
      <c r="H297" s="457"/>
      <c r="I297" s="457"/>
      <c r="J297" s="457"/>
      <c r="K297" s="457"/>
      <c r="L297" s="385" t="s">
        <v>189</v>
      </c>
      <c r="M297" s="371"/>
      <c r="N297" s="355"/>
      <c r="O297" s="355"/>
      <c r="P297" s="355"/>
    </row>
    <row r="298" spans="1:16" ht="48" customHeight="1">
      <c r="A298" s="384" t="s">
        <v>162</v>
      </c>
      <c r="B298" s="457" t="s">
        <v>265</v>
      </c>
      <c r="C298" s="457"/>
      <c r="D298" s="457"/>
      <c r="E298" s="457"/>
      <c r="F298" s="457"/>
      <c r="G298" s="457"/>
      <c r="H298" s="457"/>
      <c r="I298" s="457"/>
      <c r="J298" s="457"/>
      <c r="K298" s="457"/>
      <c r="L298" s="373"/>
      <c r="M298" s="371"/>
      <c r="N298" s="355"/>
      <c r="O298" s="355"/>
      <c r="P298" s="355"/>
    </row>
    <row r="299" spans="1:16">
      <c r="A299" s="384" t="s">
        <v>163</v>
      </c>
      <c r="B299" s="457" t="s">
        <v>181</v>
      </c>
      <c r="C299" s="457"/>
      <c r="D299" s="457"/>
      <c r="E299" s="457"/>
      <c r="F299" s="457"/>
      <c r="G299" s="457"/>
      <c r="H299" s="457"/>
      <c r="I299" s="457"/>
      <c r="J299" s="457"/>
      <c r="K299" s="457"/>
      <c r="L299" s="373"/>
      <c r="M299" s="371"/>
      <c r="N299" s="355"/>
      <c r="O299" s="355"/>
      <c r="P299" s="355"/>
    </row>
    <row r="300" spans="1:16" ht="48" customHeight="1">
      <c r="A300" s="384" t="s">
        <v>164</v>
      </c>
      <c r="B300" s="456" t="s">
        <v>696</v>
      </c>
      <c r="C300" s="456"/>
      <c r="D300" s="456"/>
      <c r="E300" s="456"/>
      <c r="F300" s="456"/>
      <c r="G300" s="456"/>
      <c r="H300" s="456"/>
      <c r="I300" s="456"/>
      <c r="J300" s="456"/>
      <c r="K300" s="456"/>
      <c r="L300" s="373"/>
      <c r="M300" s="371"/>
      <c r="N300" s="355"/>
      <c r="O300" s="355"/>
      <c r="P300" s="355"/>
    </row>
    <row r="301" spans="1:16" ht="32.25" customHeight="1">
      <c r="A301" s="384" t="s">
        <v>165</v>
      </c>
      <c r="B301" s="457" t="s">
        <v>249</v>
      </c>
      <c r="C301" s="457"/>
      <c r="D301" s="457"/>
      <c r="E301" s="457"/>
      <c r="F301" s="457"/>
      <c r="G301" s="457"/>
      <c r="H301" s="457"/>
      <c r="I301" s="457"/>
      <c r="J301" s="457"/>
      <c r="K301" s="457"/>
      <c r="L301" s="373"/>
      <c r="M301" s="371"/>
      <c r="N301" s="355"/>
      <c r="O301" s="355"/>
      <c r="P301" s="355"/>
    </row>
    <row r="302" spans="1:16" ht="15.6" customHeight="1">
      <c r="A302" s="384" t="s">
        <v>166</v>
      </c>
      <c r="B302" s="457" t="s">
        <v>167</v>
      </c>
      <c r="C302" s="457"/>
      <c r="D302" s="457"/>
      <c r="E302" s="457"/>
      <c r="F302" s="457"/>
      <c r="G302" s="457"/>
      <c r="H302" s="457"/>
      <c r="I302" s="457"/>
      <c r="J302" s="457"/>
      <c r="K302" s="457"/>
      <c r="L302" s="373"/>
      <c r="M302" s="371"/>
      <c r="N302" s="355"/>
      <c r="O302" s="355"/>
      <c r="P302" s="355"/>
    </row>
    <row r="303" spans="1:16" ht="48" customHeight="1">
      <c r="A303" s="384" t="s">
        <v>182</v>
      </c>
      <c r="B303" s="457" t="s">
        <v>638</v>
      </c>
      <c r="C303" s="457"/>
      <c r="D303" s="457"/>
      <c r="E303" s="457"/>
      <c r="F303" s="457"/>
      <c r="G303" s="457"/>
      <c r="H303" s="457"/>
      <c r="I303" s="457"/>
      <c r="J303" s="457"/>
      <c r="K303" s="457"/>
      <c r="L303" s="373"/>
      <c r="M303" s="371"/>
      <c r="N303" s="355"/>
      <c r="O303" s="355"/>
      <c r="P303" s="355"/>
    </row>
    <row r="304" spans="1:16" ht="65.25" customHeight="1">
      <c r="A304" s="377" t="s">
        <v>183</v>
      </c>
      <c r="B304" s="459" t="s">
        <v>264</v>
      </c>
      <c r="C304" s="459"/>
      <c r="D304" s="459"/>
      <c r="E304" s="459"/>
      <c r="F304" s="459"/>
      <c r="G304" s="459"/>
      <c r="H304" s="459"/>
      <c r="I304" s="459"/>
      <c r="J304" s="459"/>
      <c r="K304" s="459"/>
      <c r="L304" s="373"/>
      <c r="M304" s="371"/>
      <c r="N304" s="355"/>
      <c r="O304" s="355"/>
      <c r="P304" s="355"/>
    </row>
    <row r="305" spans="1:16" ht="15.6" customHeight="1">
      <c r="A305" s="377" t="s">
        <v>190</v>
      </c>
      <c r="B305" s="459" t="s">
        <v>472</v>
      </c>
      <c r="C305" s="459"/>
      <c r="D305" s="459"/>
      <c r="E305" s="459"/>
      <c r="F305" s="459"/>
      <c r="G305" s="459"/>
      <c r="H305" s="459"/>
      <c r="I305" s="459"/>
      <c r="J305" s="459"/>
      <c r="K305" s="459"/>
      <c r="L305" s="373"/>
      <c r="M305" s="371"/>
      <c r="N305" s="371"/>
      <c r="O305" s="371"/>
      <c r="P305" s="371"/>
    </row>
    <row r="306" spans="1:16" ht="15.6" customHeight="1">
      <c r="A306" s="381" t="s">
        <v>192</v>
      </c>
      <c r="B306" s="459" t="s">
        <v>639</v>
      </c>
      <c r="C306" s="459"/>
      <c r="D306" s="459"/>
      <c r="E306" s="459"/>
      <c r="F306" s="459"/>
      <c r="G306" s="459"/>
      <c r="H306" s="459"/>
      <c r="I306" s="459"/>
      <c r="J306" s="459"/>
      <c r="K306" s="459"/>
      <c r="L306" s="373"/>
      <c r="M306" s="371"/>
      <c r="N306" s="371"/>
      <c r="O306" s="371"/>
      <c r="P306" s="371"/>
    </row>
    <row r="307" spans="1:16" ht="15.6" customHeight="1">
      <c r="A307" s="381" t="s">
        <v>197</v>
      </c>
      <c r="B307" s="459" t="s">
        <v>640</v>
      </c>
      <c r="C307" s="459"/>
      <c r="D307" s="459"/>
      <c r="E307" s="459"/>
      <c r="F307" s="459"/>
      <c r="G307" s="459"/>
      <c r="H307" s="459"/>
      <c r="I307" s="459"/>
      <c r="J307" s="459"/>
      <c r="K307" s="459"/>
      <c r="L307" s="373"/>
      <c r="M307" s="371"/>
      <c r="N307" s="371"/>
      <c r="O307" s="371"/>
      <c r="P307" s="371"/>
    </row>
    <row r="308" spans="1:16" s="172" customFormat="1" ht="32.25" customHeight="1">
      <c r="A308" s="377" t="s">
        <v>198</v>
      </c>
      <c r="B308" s="459" t="s">
        <v>641</v>
      </c>
      <c r="C308" s="459"/>
      <c r="D308" s="459"/>
      <c r="E308" s="459"/>
      <c r="F308" s="459"/>
      <c r="G308" s="459"/>
      <c r="H308" s="459"/>
      <c r="I308" s="459"/>
      <c r="J308" s="459"/>
      <c r="K308" s="459"/>
      <c r="L308" s="383"/>
      <c r="M308" s="382"/>
      <c r="N308" s="390"/>
      <c r="O308" s="395"/>
      <c r="P308" s="395"/>
    </row>
    <row r="309" spans="1:16" s="186" customFormat="1" ht="15.6" customHeight="1">
      <c r="A309" s="381" t="s">
        <v>275</v>
      </c>
      <c r="B309" s="459" t="s">
        <v>642</v>
      </c>
      <c r="C309" s="459"/>
      <c r="D309" s="459"/>
      <c r="E309" s="459"/>
      <c r="F309" s="459"/>
      <c r="G309" s="459"/>
      <c r="H309" s="459"/>
      <c r="I309" s="459"/>
      <c r="J309" s="459"/>
      <c r="K309" s="459"/>
      <c r="L309" s="376"/>
      <c r="M309" s="375"/>
      <c r="N309" s="393"/>
      <c r="O309" s="394"/>
      <c r="P309" s="394"/>
    </row>
    <row r="310" spans="1:16" s="186" customFormat="1" ht="33" customHeight="1">
      <c r="A310" s="377" t="s">
        <v>276</v>
      </c>
      <c r="B310" s="459" t="s">
        <v>643</v>
      </c>
      <c r="C310" s="459"/>
      <c r="D310" s="459"/>
      <c r="E310" s="459"/>
      <c r="F310" s="459"/>
      <c r="G310" s="459"/>
      <c r="H310" s="459"/>
      <c r="I310" s="459"/>
      <c r="J310" s="459"/>
      <c r="K310" s="459"/>
      <c r="L310" s="376"/>
      <c r="M310" s="375"/>
      <c r="N310" s="393"/>
      <c r="O310" s="394"/>
      <c r="P310" s="394"/>
    </row>
    <row r="311" spans="1:16" s="186" customFormat="1" ht="15" customHeight="1">
      <c r="A311" s="377" t="s">
        <v>277</v>
      </c>
      <c r="B311" s="380" t="s">
        <v>278</v>
      </c>
      <c r="C311" s="378"/>
      <c r="D311" s="378"/>
      <c r="E311" s="378"/>
      <c r="F311" s="378"/>
      <c r="G311" s="378"/>
      <c r="H311" s="378"/>
      <c r="I311" s="378"/>
      <c r="J311" s="378"/>
      <c r="K311" s="378"/>
      <c r="L311" s="376"/>
      <c r="M311" s="375"/>
      <c r="N311" s="393"/>
      <c r="O311" s="394"/>
      <c r="P311" s="394"/>
    </row>
    <row r="312" spans="1:16" s="186" customFormat="1" ht="15" customHeight="1">
      <c r="A312" s="377" t="s">
        <v>279</v>
      </c>
      <c r="B312" s="379" t="s">
        <v>280</v>
      </c>
      <c r="C312" s="378"/>
      <c r="D312" s="378"/>
      <c r="E312" s="378"/>
      <c r="F312" s="378"/>
      <c r="G312" s="378"/>
      <c r="H312" s="378"/>
      <c r="I312" s="378"/>
      <c r="J312" s="378"/>
      <c r="K312" s="378"/>
      <c r="L312" s="376"/>
      <c r="M312" s="375"/>
      <c r="N312" s="393"/>
      <c r="O312" s="394"/>
      <c r="P312" s="394"/>
    </row>
    <row r="313" spans="1:16" s="186" customFormat="1" ht="15" customHeight="1">
      <c r="A313" s="389" t="s">
        <v>676</v>
      </c>
      <c r="B313" s="383" t="s">
        <v>677</v>
      </c>
      <c r="C313" s="372"/>
      <c r="D313" s="392"/>
      <c r="E313" s="392"/>
      <c r="F313" s="392"/>
      <c r="G313" s="392"/>
      <c r="H313" s="392"/>
      <c r="I313" s="392"/>
      <c r="J313" s="392"/>
      <c r="K313" s="392"/>
      <c r="L313" s="376"/>
      <c r="M313" s="375"/>
      <c r="N313" s="393"/>
      <c r="O313" s="394"/>
      <c r="P313" s="394"/>
    </row>
    <row r="314" spans="1:16" s="186" customFormat="1" ht="15" customHeight="1">
      <c r="A314" s="389"/>
      <c r="B314" s="383" t="s">
        <v>678</v>
      </c>
      <c r="C314" s="372"/>
      <c r="D314" s="392"/>
      <c r="E314" s="392"/>
      <c r="F314" s="392"/>
      <c r="G314" s="392"/>
      <c r="H314" s="392"/>
      <c r="I314" s="392"/>
      <c r="J314" s="392"/>
      <c r="K314" s="392"/>
      <c r="L314" s="376"/>
      <c r="M314" s="375"/>
      <c r="N314" s="393"/>
      <c r="O314" s="394"/>
      <c r="P314" s="394"/>
    </row>
    <row r="315" spans="1:16">
      <c r="A315" s="389" t="s">
        <v>679</v>
      </c>
      <c r="B315" s="383" t="s">
        <v>680</v>
      </c>
      <c r="C315" s="371"/>
      <c r="D315" s="374"/>
      <c r="E315" s="374"/>
      <c r="F315" s="374"/>
      <c r="G315" s="374"/>
      <c r="H315" s="374"/>
      <c r="I315" s="374"/>
      <c r="J315" s="374"/>
      <c r="K315" s="374"/>
      <c r="L315" s="371"/>
      <c r="M315" s="371"/>
      <c r="N315" s="371"/>
      <c r="O315" s="371"/>
      <c r="P315" s="371"/>
    </row>
    <row r="316" spans="1:16">
      <c r="A316" s="389"/>
      <c r="B316" s="383" t="s">
        <v>681</v>
      </c>
      <c r="C316" s="371"/>
      <c r="D316" s="374"/>
      <c r="E316" s="374"/>
      <c r="F316" s="374"/>
      <c r="G316" s="374"/>
      <c r="H316" s="374"/>
      <c r="I316" s="374"/>
      <c r="J316" s="374"/>
      <c r="K316" s="374"/>
      <c r="L316" s="371"/>
      <c r="M316" s="371"/>
      <c r="N316" s="371"/>
      <c r="O316" s="371"/>
      <c r="P316" s="371"/>
    </row>
    <row r="317" spans="1:16">
      <c r="A317" s="128"/>
      <c r="B317" s="119"/>
      <c r="C317" s="119"/>
      <c r="D317" s="119"/>
      <c r="E317" s="119"/>
      <c r="F317" s="119"/>
      <c r="G317" s="119"/>
      <c r="H317" s="119"/>
      <c r="I317" s="119"/>
      <c r="J317" s="119"/>
      <c r="K317" s="119"/>
    </row>
    <row r="318" spans="1:16">
      <c r="A318" s="128"/>
      <c r="B318" s="119"/>
      <c r="C318" s="119"/>
      <c r="D318" s="119"/>
      <c r="E318" s="119"/>
      <c r="F318" s="119"/>
      <c r="G318" s="119"/>
      <c r="H318" s="119"/>
      <c r="I318" s="119"/>
      <c r="J318" s="119"/>
      <c r="K318" s="119"/>
    </row>
    <row r="319" spans="1:16">
      <c r="A319" s="128"/>
      <c r="B319" s="119"/>
      <c r="C319" s="119"/>
      <c r="D319" s="119"/>
      <c r="E319" s="119"/>
      <c r="F319" s="119"/>
      <c r="G319" s="119"/>
      <c r="H319" s="119"/>
      <c r="I319" s="119"/>
      <c r="J319" s="119"/>
      <c r="K319" s="119"/>
    </row>
    <row r="320" spans="1:16">
      <c r="A320" s="128"/>
      <c r="B320" s="119"/>
      <c r="C320" s="119"/>
      <c r="D320" s="119"/>
      <c r="E320" s="119"/>
      <c r="F320" s="119"/>
      <c r="G320" s="119"/>
      <c r="H320" s="119"/>
      <c r="I320" s="119"/>
      <c r="J320" s="119"/>
      <c r="K320" s="119"/>
    </row>
    <row r="321" spans="1:11">
      <c r="A321" s="128"/>
      <c r="B321" s="119"/>
      <c r="C321" s="119"/>
      <c r="D321" s="119"/>
      <c r="E321" s="119"/>
      <c r="F321" s="119"/>
      <c r="G321" s="119"/>
      <c r="H321" s="119"/>
      <c r="I321" s="119"/>
      <c r="J321" s="119"/>
      <c r="K321" s="119"/>
    </row>
    <row r="322" spans="1:11">
      <c r="A322" s="128"/>
      <c r="B322" s="119"/>
      <c r="C322" s="119"/>
      <c r="D322" s="119"/>
      <c r="E322" s="119"/>
      <c r="F322" s="119"/>
      <c r="G322" s="119"/>
      <c r="H322" s="119"/>
      <c r="I322" s="119"/>
      <c r="J322" s="119"/>
      <c r="K322" s="119"/>
    </row>
    <row r="323" spans="1:11">
      <c r="A323" s="128"/>
      <c r="B323" s="119"/>
      <c r="C323" s="119"/>
      <c r="D323" s="119"/>
      <c r="E323" s="119"/>
      <c r="F323" s="119"/>
      <c r="G323" s="119"/>
      <c r="H323" s="119"/>
      <c r="I323" s="119"/>
      <c r="J323" s="119"/>
      <c r="K323" s="119"/>
    </row>
    <row r="324" spans="1:11">
      <c r="A324" s="128"/>
      <c r="B324" s="119"/>
      <c r="C324" s="119"/>
      <c r="D324" s="119"/>
      <c r="E324" s="119"/>
      <c r="F324" s="119"/>
      <c r="G324" s="119"/>
      <c r="H324" s="119"/>
      <c r="I324" s="119"/>
      <c r="J324" s="119"/>
      <c r="K324" s="119"/>
    </row>
    <row r="325" spans="1:11">
      <c r="A325" s="128"/>
      <c r="B325" s="119"/>
      <c r="C325" s="119"/>
      <c r="D325" s="119"/>
      <c r="E325" s="119"/>
      <c r="F325" s="119"/>
      <c r="G325" s="119"/>
      <c r="H325" s="119"/>
      <c r="I325" s="119"/>
      <c r="J325" s="119"/>
      <c r="K325" s="119"/>
    </row>
    <row r="326" spans="1:11">
      <c r="A326" s="128"/>
      <c r="B326" s="119"/>
      <c r="C326" s="119"/>
      <c r="D326" s="119"/>
      <c r="E326" s="119"/>
      <c r="F326" s="119"/>
      <c r="G326" s="119"/>
      <c r="H326" s="119"/>
      <c r="I326" s="119"/>
      <c r="J326" s="119"/>
      <c r="K326" s="119"/>
    </row>
    <row r="327" spans="1:11">
      <c r="A327" s="128"/>
      <c r="B327" s="119"/>
      <c r="C327" s="119"/>
      <c r="D327" s="119"/>
      <c r="E327" s="119"/>
      <c r="F327" s="119"/>
      <c r="G327" s="119"/>
      <c r="H327" s="119"/>
      <c r="I327" s="119"/>
      <c r="J327" s="119"/>
      <c r="K327" s="119"/>
    </row>
    <row r="328" spans="1:11">
      <c r="A328" s="128"/>
      <c r="B328" s="119"/>
      <c r="C328" s="119"/>
      <c r="D328" s="119"/>
      <c r="E328" s="119"/>
      <c r="F328" s="119"/>
      <c r="G328" s="119"/>
      <c r="H328" s="119"/>
      <c r="I328" s="119"/>
      <c r="J328" s="119"/>
      <c r="K328" s="119"/>
    </row>
    <row r="329" spans="1:11">
      <c r="A329" s="128"/>
      <c r="B329" s="119"/>
      <c r="C329" s="119"/>
      <c r="D329" s="119"/>
      <c r="E329" s="119"/>
      <c r="F329" s="119"/>
      <c r="G329" s="119"/>
      <c r="H329" s="119"/>
      <c r="I329" s="119"/>
      <c r="J329" s="119"/>
      <c r="K329" s="119"/>
    </row>
    <row r="330" spans="1:11">
      <c r="B330" s="120"/>
      <c r="C330" s="120"/>
      <c r="D330" s="120"/>
      <c r="E330" s="120"/>
      <c r="F330" s="120"/>
      <c r="G330" s="120"/>
      <c r="H330" s="120"/>
      <c r="I330" s="120"/>
      <c r="J330" s="119"/>
      <c r="K330" s="119"/>
    </row>
    <row r="331" spans="1:11">
      <c r="B331" s="120"/>
      <c r="C331" s="120"/>
      <c r="D331" s="120"/>
      <c r="E331" s="120"/>
      <c r="F331" s="120"/>
      <c r="G331" s="120"/>
      <c r="H331" s="120"/>
      <c r="I331" s="120"/>
      <c r="J331" s="120"/>
      <c r="K331" s="120"/>
    </row>
    <row r="332" spans="1:11">
      <c r="B332" s="120"/>
      <c r="C332" s="120"/>
      <c r="D332" s="120"/>
      <c r="E332" s="120"/>
      <c r="F332" s="120"/>
      <c r="G332" s="120"/>
      <c r="H332" s="120"/>
      <c r="I332" s="120"/>
      <c r="J332" s="120"/>
      <c r="K332" s="120"/>
    </row>
    <row r="333" spans="1:11">
      <c r="B333" s="120"/>
      <c r="C333" s="120"/>
      <c r="D333" s="120"/>
      <c r="E333" s="120"/>
      <c r="F333" s="120"/>
      <c r="G333" s="120"/>
      <c r="H333" s="120"/>
      <c r="I333" s="120"/>
      <c r="J333" s="120"/>
      <c r="K333" s="120"/>
    </row>
    <row r="334" spans="1:11">
      <c r="B334" s="120"/>
      <c r="C334" s="120"/>
      <c r="D334" s="120"/>
      <c r="E334" s="120"/>
      <c r="F334" s="120"/>
      <c r="G334" s="120"/>
      <c r="H334" s="120"/>
      <c r="I334" s="120"/>
      <c r="J334" s="120"/>
      <c r="K334" s="120"/>
    </row>
    <row r="335" spans="1:11">
      <c r="B335" s="120"/>
      <c r="C335" s="120"/>
      <c r="D335" s="120"/>
      <c r="E335" s="120"/>
      <c r="F335" s="120"/>
      <c r="G335" s="120"/>
      <c r="H335" s="120"/>
      <c r="I335" s="120"/>
      <c r="J335" s="120"/>
      <c r="K335" s="120"/>
    </row>
    <row r="336" spans="1:11">
      <c r="B336" s="120"/>
      <c r="C336" s="120"/>
      <c r="D336" s="120"/>
      <c r="E336" s="120"/>
      <c r="F336" s="120"/>
      <c r="G336" s="120"/>
      <c r="H336" s="120"/>
      <c r="I336" s="120"/>
      <c r="J336" s="120"/>
      <c r="K336" s="120"/>
    </row>
    <row r="337" spans="2:11">
      <c r="B337" s="120"/>
      <c r="C337" s="120"/>
      <c r="D337" s="120"/>
      <c r="E337" s="120"/>
      <c r="F337" s="120"/>
      <c r="G337" s="120"/>
      <c r="H337" s="120"/>
      <c r="I337" s="120"/>
      <c r="J337" s="120"/>
      <c r="K337" s="120"/>
    </row>
    <row r="338" spans="2:11">
      <c r="B338" s="120"/>
      <c r="C338" s="120"/>
      <c r="D338" s="120"/>
      <c r="E338" s="120"/>
      <c r="F338" s="120"/>
      <c r="G338" s="120"/>
      <c r="H338" s="120"/>
      <c r="I338" s="120"/>
      <c r="J338" s="120"/>
      <c r="K338" s="120"/>
    </row>
    <row r="339" spans="2:11">
      <c r="J339" s="120"/>
      <c r="K339" s="120"/>
    </row>
  </sheetData>
  <mergeCells count="29">
    <mergeCell ref="E295:K295"/>
    <mergeCell ref="B296:K296"/>
    <mergeCell ref="B297:K297"/>
    <mergeCell ref="B310:K310"/>
    <mergeCell ref="B299:K299"/>
    <mergeCell ref="B300:K300"/>
    <mergeCell ref="B301:K301"/>
    <mergeCell ref="B302:K302"/>
    <mergeCell ref="B303:K303"/>
    <mergeCell ref="B304:K304"/>
    <mergeCell ref="B305:K305"/>
    <mergeCell ref="B306:K306"/>
    <mergeCell ref="B307:K307"/>
    <mergeCell ref="B308:K308"/>
    <mergeCell ref="B309:K309"/>
    <mergeCell ref="B298:K298"/>
    <mergeCell ref="B289:K289"/>
    <mergeCell ref="B290:K290"/>
    <mergeCell ref="B291:K291"/>
    <mergeCell ref="B292:K292"/>
    <mergeCell ref="E294:K294"/>
    <mergeCell ref="B286:K286"/>
    <mergeCell ref="B287:K287"/>
    <mergeCell ref="B288:K288"/>
    <mergeCell ref="C274:D274"/>
    <mergeCell ref="B285:K285"/>
    <mergeCell ref="B282:K282"/>
    <mergeCell ref="B283:K283"/>
    <mergeCell ref="B284:K284"/>
  </mergeCells>
  <pageMargins left="0.5" right="0.5" top="0.75" bottom="0.75" header="0.09" footer="0.5"/>
  <pageSetup scale="63" fitToHeight="5" orientation="portrait" horizontalDpi="300" verticalDpi="300" r:id="rId1"/>
  <headerFooter alignWithMargins="0"/>
  <rowBreaks count="4" manualBreakCount="4">
    <brk id="71" max="10" man="1"/>
    <brk id="137" max="10" man="1"/>
    <brk id="204" max="10" man="1"/>
    <brk id="271"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5"/>
  <sheetViews>
    <sheetView topLeftCell="A19" workbookViewId="0">
      <selection activeCell="D21" sqref="D21"/>
    </sheetView>
  </sheetViews>
  <sheetFormatPr defaultRowHeight="15"/>
  <cols>
    <col min="2" max="2" width="12.54296875" customWidth="1"/>
    <col min="3" max="3" width="11.36328125" customWidth="1"/>
    <col min="4" max="4" width="9.08984375" bestFit="1" customWidth="1"/>
  </cols>
  <sheetData>
    <row r="1" spans="1:8" ht="15.6">
      <c r="A1" s="484" t="str">
        <f>++'Balance sheet Sched 2'!A1:F1</f>
        <v>ALP Utilities</v>
      </c>
      <c r="B1" s="485"/>
      <c r="C1" s="485"/>
      <c r="D1" s="485"/>
      <c r="E1" s="485"/>
      <c r="F1" s="485"/>
      <c r="G1" s="485"/>
      <c r="H1" s="485"/>
    </row>
    <row r="2" spans="1:8" ht="15.6">
      <c r="A2" s="486" t="str">
        <f>+'Balance sheet Sched 2'!A4:F4</f>
        <v>For the 12 months ended 12/31/2015</v>
      </c>
      <c r="B2" s="485"/>
      <c r="C2" s="485"/>
      <c r="D2" s="485"/>
      <c r="E2" s="485"/>
      <c r="F2" s="485"/>
      <c r="G2" s="485"/>
      <c r="H2" s="485"/>
    </row>
    <row r="3" spans="1:8" ht="15.6">
      <c r="A3" s="485" t="s">
        <v>729</v>
      </c>
      <c r="B3" s="485"/>
      <c r="C3" s="485"/>
      <c r="D3" s="485"/>
      <c r="E3" s="485"/>
      <c r="F3" s="485"/>
      <c r="G3" s="485"/>
      <c r="H3" s="485"/>
    </row>
    <row r="6" spans="1:8" ht="15.6">
      <c r="A6" s="447">
        <v>2014</v>
      </c>
      <c r="B6" s="449" t="s">
        <v>703</v>
      </c>
      <c r="C6" s="449" t="s">
        <v>704</v>
      </c>
      <c r="D6" s="449" t="s">
        <v>9</v>
      </c>
      <c r="E6" s="424"/>
      <c r="F6" s="424"/>
      <c r="G6" s="424"/>
      <c r="H6" s="424"/>
    </row>
    <row r="7" spans="1:8" ht="15.6">
      <c r="A7" s="426"/>
      <c r="B7" s="427"/>
      <c r="C7" s="427"/>
      <c r="D7" s="427"/>
      <c r="E7" s="424"/>
      <c r="F7" s="424"/>
      <c r="G7" s="424"/>
      <c r="H7" s="424"/>
    </row>
    <row r="8" spans="1:8" ht="15.6">
      <c r="A8" s="446" t="s">
        <v>705</v>
      </c>
      <c r="B8" s="423">
        <v>0</v>
      </c>
      <c r="C8" s="423">
        <v>0</v>
      </c>
      <c r="D8" s="430">
        <f>+SUM(B8:C8)</f>
        <v>0</v>
      </c>
      <c r="E8" s="424"/>
      <c r="F8" s="424"/>
      <c r="G8" s="424"/>
      <c r="H8" s="424"/>
    </row>
    <row r="9" spans="1:8" ht="15.6">
      <c r="A9" s="446" t="s">
        <v>706</v>
      </c>
      <c r="B9" s="423">
        <v>0</v>
      </c>
      <c r="C9" s="423">
        <v>0</v>
      </c>
      <c r="D9" s="430">
        <f t="shared" ref="D9:D19" si="0">+SUM(B9:C9)</f>
        <v>0</v>
      </c>
      <c r="E9" s="424"/>
      <c r="F9" s="424"/>
      <c r="G9" s="424"/>
      <c r="H9" s="424"/>
    </row>
    <row r="10" spans="1:8" ht="15.6">
      <c r="A10" s="446" t="s">
        <v>707</v>
      </c>
      <c r="B10" s="423">
        <v>0</v>
      </c>
      <c r="C10" s="423">
        <v>0</v>
      </c>
      <c r="D10" s="430">
        <f t="shared" si="0"/>
        <v>0</v>
      </c>
      <c r="E10" s="424"/>
      <c r="F10" s="424"/>
      <c r="G10" s="424"/>
      <c r="H10" s="424"/>
    </row>
    <row r="11" spans="1:8" ht="15.6">
      <c r="A11" s="446" t="s">
        <v>708</v>
      </c>
      <c r="B11" s="423">
        <v>0</v>
      </c>
      <c r="C11" s="423">
        <v>0</v>
      </c>
      <c r="D11" s="430">
        <f t="shared" si="0"/>
        <v>0</v>
      </c>
      <c r="E11" s="424"/>
      <c r="F11" s="424"/>
      <c r="G11" s="424"/>
      <c r="H11" s="424"/>
    </row>
    <row r="12" spans="1:8" ht="15.6">
      <c r="A12" s="446" t="s">
        <v>709</v>
      </c>
      <c r="B12" s="423">
        <v>0</v>
      </c>
      <c r="C12" s="423">
        <v>0</v>
      </c>
      <c r="D12" s="430">
        <f t="shared" si="0"/>
        <v>0</v>
      </c>
      <c r="E12" s="424"/>
      <c r="F12" s="424"/>
      <c r="G12" s="424"/>
      <c r="H12" s="424"/>
    </row>
    <row r="13" spans="1:8" ht="15.6">
      <c r="A13" s="446" t="s">
        <v>710</v>
      </c>
      <c r="B13" s="423">
        <v>1579.16</v>
      </c>
      <c r="C13" s="423">
        <v>211.07</v>
      </c>
      <c r="D13" s="430">
        <f t="shared" si="0"/>
        <v>1790.23</v>
      </c>
      <c r="E13" s="424"/>
      <c r="F13" s="424"/>
      <c r="G13" s="424"/>
      <c r="H13" s="424"/>
    </row>
    <row r="14" spans="1:8" ht="15.6">
      <c r="A14" s="446" t="s">
        <v>711</v>
      </c>
      <c r="B14" s="423">
        <v>1595.71</v>
      </c>
      <c r="C14" s="423">
        <v>214.34</v>
      </c>
      <c r="D14" s="430">
        <f t="shared" si="0"/>
        <v>1810.05</v>
      </c>
      <c r="E14" s="424"/>
      <c r="F14" s="424"/>
      <c r="G14" s="424"/>
      <c r="H14" s="424"/>
    </row>
    <row r="15" spans="1:8" ht="15.6">
      <c r="A15" s="446" t="s">
        <v>712</v>
      </c>
      <c r="B15" s="423">
        <v>1537.16</v>
      </c>
      <c r="C15" s="423">
        <v>310.64</v>
      </c>
      <c r="D15" s="430">
        <f t="shared" si="0"/>
        <v>1847.8000000000002</v>
      </c>
      <c r="E15" s="424"/>
      <c r="F15" s="424"/>
      <c r="G15" s="424"/>
      <c r="H15" s="424"/>
    </row>
    <row r="16" spans="1:8" ht="15.6">
      <c r="A16" s="446" t="s">
        <v>713</v>
      </c>
      <c r="B16" s="423">
        <v>1494.33</v>
      </c>
      <c r="C16" s="423">
        <v>219.75</v>
      </c>
      <c r="D16" s="430">
        <f t="shared" si="0"/>
        <v>1714.08</v>
      </c>
      <c r="E16" s="424"/>
      <c r="F16" s="424"/>
      <c r="G16" s="424"/>
      <c r="H16" s="424"/>
    </row>
    <row r="17" spans="1:13" ht="15.6">
      <c r="A17" s="446" t="s">
        <v>714</v>
      </c>
      <c r="B17" s="423">
        <v>1450.26</v>
      </c>
      <c r="C17" s="423">
        <v>249.38</v>
      </c>
      <c r="D17" s="430">
        <f t="shared" si="0"/>
        <v>1699.6399999999999</v>
      </c>
      <c r="E17" s="424"/>
      <c r="F17" s="424"/>
      <c r="G17" s="424"/>
      <c r="H17" s="424"/>
      <c r="I17" s="424"/>
      <c r="J17" s="424"/>
      <c r="K17" s="424"/>
      <c r="L17" s="424"/>
      <c r="M17" s="424"/>
    </row>
    <row r="18" spans="1:13" ht="15.6">
      <c r="A18" s="446" t="s">
        <v>715</v>
      </c>
      <c r="B18" s="422">
        <v>786.44</v>
      </c>
      <c r="C18" s="422">
        <v>259.8</v>
      </c>
      <c r="D18" s="430">
        <f t="shared" si="0"/>
        <v>1046.24</v>
      </c>
      <c r="E18" s="424"/>
      <c r="F18" s="424"/>
      <c r="G18" s="424"/>
      <c r="H18" s="424"/>
      <c r="I18" s="424"/>
      <c r="J18" s="424"/>
      <c r="K18" s="424"/>
      <c r="L18" s="424"/>
      <c r="M18" s="424"/>
    </row>
    <row r="19" spans="1:13" ht="15.6">
      <c r="A19" s="446" t="s">
        <v>716</v>
      </c>
      <c r="B19" s="422">
        <v>776.24</v>
      </c>
      <c r="C19" s="422">
        <v>274.31</v>
      </c>
      <c r="D19" s="430">
        <f t="shared" si="0"/>
        <v>1050.55</v>
      </c>
      <c r="E19" s="424"/>
      <c r="F19" s="448"/>
      <c r="G19" s="424"/>
      <c r="H19" s="424"/>
      <c r="I19" s="424"/>
      <c r="J19" s="424"/>
      <c r="K19" s="424"/>
      <c r="L19" s="424"/>
      <c r="M19" s="424"/>
    </row>
    <row r="20" spans="1:13" ht="15.6">
      <c r="A20" s="424"/>
      <c r="B20" s="430"/>
      <c r="C20" s="430"/>
      <c r="D20" s="430"/>
      <c r="E20" s="424"/>
      <c r="F20" s="424"/>
      <c r="G20" s="424"/>
      <c r="H20" s="424"/>
      <c r="I20" s="424"/>
      <c r="J20" s="424"/>
      <c r="K20" s="424"/>
      <c r="L20" s="424"/>
      <c r="M20" s="424"/>
    </row>
    <row r="21" spans="1:13" ht="15.6">
      <c r="A21" s="425" t="s">
        <v>9</v>
      </c>
      <c r="B21" s="431">
        <f>+SUM(B8:B20)</f>
        <v>9219.2999999999993</v>
      </c>
      <c r="C21" s="431">
        <f t="shared" ref="C21:D21" si="1">+SUM(C8:C20)</f>
        <v>1739.2899999999997</v>
      </c>
      <c r="D21" s="431">
        <f t="shared" si="1"/>
        <v>10958.589999999998</v>
      </c>
      <c r="E21" s="424"/>
      <c r="F21" s="424"/>
      <c r="G21" s="424"/>
      <c r="H21" s="424"/>
      <c r="I21" s="424"/>
      <c r="J21" s="424"/>
      <c r="K21" s="424"/>
      <c r="L21" s="424"/>
      <c r="M21" s="424"/>
    </row>
    <row r="22" spans="1:13" ht="15.6">
      <c r="A22" s="424"/>
      <c r="B22" s="428"/>
      <c r="C22" s="428"/>
      <c r="D22" s="428"/>
      <c r="E22" s="424"/>
      <c r="F22" s="424"/>
      <c r="G22" s="424"/>
      <c r="H22" s="424"/>
      <c r="I22" s="424"/>
      <c r="J22" s="424"/>
      <c r="K22" s="424"/>
      <c r="L22" s="424"/>
      <c r="M22" s="424"/>
    </row>
    <row r="27" spans="1:13" ht="15.6">
      <c r="A27" s="433" t="s">
        <v>717</v>
      </c>
      <c r="B27" s="432"/>
      <c r="C27" s="432"/>
      <c r="D27" s="434"/>
      <c r="E27" s="432"/>
      <c r="F27" s="432"/>
      <c r="G27" s="432"/>
      <c r="H27" s="441"/>
      <c r="I27" s="424"/>
      <c r="J27" s="424"/>
      <c r="K27" s="424"/>
      <c r="L27" s="424"/>
      <c r="M27" s="424"/>
    </row>
    <row r="28" spans="1:13" ht="15.6">
      <c r="A28" s="435" t="s">
        <v>718</v>
      </c>
      <c r="B28" s="436"/>
      <c r="C28" s="436"/>
      <c r="D28" s="437"/>
      <c r="E28" s="436"/>
      <c r="F28" s="436"/>
      <c r="G28" s="436"/>
      <c r="H28" s="429">
        <f>+B21</f>
        <v>9219.2999999999993</v>
      </c>
      <c r="I28" s="432"/>
      <c r="J28" s="432"/>
      <c r="K28" s="432"/>
      <c r="L28" s="432"/>
      <c r="M28" s="432"/>
    </row>
    <row r="29" spans="1:13" ht="15.6">
      <c r="A29" s="435" t="s">
        <v>719</v>
      </c>
      <c r="B29" s="436"/>
      <c r="C29" s="436"/>
      <c r="D29" s="437"/>
      <c r="E29" s="436"/>
      <c r="F29" s="436"/>
      <c r="G29" s="436"/>
      <c r="H29" s="429">
        <f>+C21</f>
        <v>1739.2899999999997</v>
      </c>
      <c r="I29" s="432"/>
      <c r="J29" s="432"/>
      <c r="K29" s="432"/>
      <c r="L29" s="432"/>
      <c r="M29" s="436"/>
    </row>
    <row r="30" spans="1:13" ht="15.6">
      <c r="A30" s="435" t="s">
        <v>720</v>
      </c>
      <c r="B30" s="436"/>
      <c r="C30" s="436"/>
      <c r="D30" s="437"/>
      <c r="E30" s="436"/>
      <c r="F30" s="436"/>
      <c r="G30" s="436"/>
      <c r="H30" s="429">
        <v>0</v>
      </c>
      <c r="I30" s="432"/>
      <c r="J30" s="432"/>
      <c r="K30" s="432"/>
      <c r="L30" s="432"/>
      <c r="M30" s="436"/>
    </row>
    <row r="31" spans="1:13" ht="15.6">
      <c r="A31" s="435" t="s">
        <v>721</v>
      </c>
      <c r="B31" s="436"/>
      <c r="C31" s="436"/>
      <c r="D31" s="437"/>
      <c r="E31" s="436"/>
      <c r="F31" s="436"/>
      <c r="G31" s="436"/>
      <c r="H31" s="429">
        <v>0</v>
      </c>
      <c r="I31" s="432"/>
      <c r="J31" s="432"/>
      <c r="K31" s="432"/>
      <c r="L31" s="432"/>
      <c r="M31" s="436"/>
    </row>
    <row r="32" spans="1:13" ht="15.6">
      <c r="A32" s="435" t="s">
        <v>722</v>
      </c>
      <c r="B32" s="436"/>
      <c r="C32" s="436"/>
      <c r="D32" s="436"/>
      <c r="E32" s="436"/>
      <c r="F32" s="436"/>
      <c r="G32" s="436"/>
      <c r="H32" s="429">
        <v>0</v>
      </c>
      <c r="I32" s="432"/>
      <c r="J32" s="432"/>
      <c r="K32" s="432"/>
      <c r="L32" s="432"/>
      <c r="M32" s="436"/>
    </row>
    <row r="33" spans="1:13" ht="15.6">
      <c r="A33" s="435" t="s">
        <v>723</v>
      </c>
      <c r="B33" s="436"/>
      <c r="C33" s="436"/>
      <c r="D33" s="436"/>
      <c r="E33" s="436"/>
      <c r="F33" s="436"/>
      <c r="G33" s="436"/>
      <c r="H33" s="429">
        <v>0</v>
      </c>
      <c r="I33" s="432"/>
      <c r="J33" s="432"/>
      <c r="K33" s="432"/>
      <c r="L33" s="432"/>
      <c r="M33" s="436"/>
    </row>
    <row r="34" spans="1:13" ht="15.6">
      <c r="A34" s="435" t="s">
        <v>724</v>
      </c>
      <c r="B34" s="436"/>
      <c r="C34" s="436"/>
      <c r="D34" s="436"/>
      <c r="E34" s="436"/>
      <c r="F34" s="436"/>
      <c r="G34" s="436"/>
      <c r="H34" s="429">
        <v>0</v>
      </c>
      <c r="I34" s="432"/>
      <c r="J34" s="432"/>
      <c r="K34" s="432"/>
      <c r="L34" s="432"/>
      <c r="M34" s="436"/>
    </row>
    <row r="35" spans="1:13" ht="15.6">
      <c r="A35" s="435" t="s">
        <v>725</v>
      </c>
      <c r="B35" s="436"/>
      <c r="C35" s="436"/>
      <c r="D35" s="436"/>
      <c r="E35" s="436"/>
      <c r="F35" s="436"/>
      <c r="G35" s="436"/>
      <c r="H35" s="429">
        <v>0</v>
      </c>
      <c r="I35" s="432"/>
      <c r="J35" s="432"/>
      <c r="K35" s="432"/>
      <c r="L35" s="432"/>
      <c r="M35" s="436"/>
    </row>
    <row r="36" spans="1:13" ht="15.6">
      <c r="A36" s="435" t="s">
        <v>725</v>
      </c>
      <c r="B36" s="436"/>
      <c r="C36" s="436"/>
      <c r="D36" s="436"/>
      <c r="E36" s="436"/>
      <c r="F36" s="436"/>
      <c r="G36" s="436"/>
      <c r="H36" s="429">
        <v>0</v>
      </c>
      <c r="I36" s="432"/>
      <c r="J36" s="432"/>
      <c r="K36" s="432"/>
      <c r="L36" s="432"/>
      <c r="M36" s="436"/>
    </row>
    <row r="37" spans="1:13" ht="15.6">
      <c r="A37" s="435" t="s">
        <v>726</v>
      </c>
      <c r="B37" s="436"/>
      <c r="C37" s="436"/>
      <c r="D37" s="436"/>
      <c r="E37" s="436"/>
      <c r="F37" s="436"/>
      <c r="G37" s="436"/>
      <c r="H37" s="442">
        <f>+SUM(H28:H36)</f>
        <v>10958.589999999998</v>
      </c>
      <c r="I37" s="432"/>
      <c r="J37" s="432"/>
      <c r="K37" s="432"/>
      <c r="L37" s="432"/>
      <c r="M37" s="436"/>
    </row>
    <row r="38" spans="1:13" ht="15.6">
      <c r="A38" s="435"/>
      <c r="B38" s="436"/>
      <c r="C38" s="436"/>
      <c r="D38" s="436"/>
      <c r="E38" s="436"/>
      <c r="F38" s="436"/>
      <c r="G38" s="436"/>
      <c r="H38" s="443"/>
      <c r="I38" s="432"/>
      <c r="J38" s="432"/>
      <c r="K38" s="432"/>
      <c r="L38" s="432"/>
      <c r="M38" s="436"/>
    </row>
    <row r="39" spans="1:13" ht="15.6">
      <c r="A39" s="435"/>
      <c r="B39" s="436"/>
      <c r="C39" s="436"/>
      <c r="D39" s="436"/>
      <c r="E39" s="436"/>
      <c r="F39" s="436"/>
      <c r="G39" s="436"/>
      <c r="H39" s="444"/>
      <c r="I39" s="432"/>
      <c r="J39" s="432"/>
      <c r="K39" s="432"/>
      <c r="L39" s="432"/>
      <c r="M39" s="436"/>
    </row>
    <row r="40" spans="1:13" ht="15.6">
      <c r="A40" s="438" t="s">
        <v>140</v>
      </c>
      <c r="B40" s="436"/>
      <c r="C40" s="436"/>
      <c r="D40" s="436"/>
      <c r="E40" s="436"/>
      <c r="F40" s="436"/>
      <c r="G40" s="436"/>
      <c r="H40" s="444">
        <f>+H37</f>
        <v>10958.589999999998</v>
      </c>
      <c r="I40" s="432"/>
      <c r="J40" s="432"/>
      <c r="K40" s="432"/>
      <c r="L40" s="432"/>
      <c r="M40" s="436"/>
    </row>
    <row r="41" spans="1:13" ht="15.6">
      <c r="A41" s="439" t="s">
        <v>727</v>
      </c>
      <c r="B41" s="436"/>
      <c r="C41" s="436"/>
      <c r="D41" s="436"/>
      <c r="E41" s="436"/>
      <c r="F41" s="436"/>
      <c r="G41" s="436"/>
      <c r="H41" s="444">
        <f>+H29</f>
        <v>1739.2899999999997</v>
      </c>
      <c r="I41" s="432"/>
      <c r="J41" s="432"/>
      <c r="K41" s="432"/>
      <c r="L41" s="432"/>
      <c r="M41" s="436"/>
    </row>
    <row r="42" spans="1:13" ht="15.6">
      <c r="A42" s="440" t="s">
        <v>634</v>
      </c>
      <c r="B42" s="436"/>
      <c r="C42" s="436"/>
      <c r="D42" s="436"/>
      <c r="E42" s="436"/>
      <c r="F42" s="436"/>
      <c r="G42" s="436"/>
      <c r="H42" s="444">
        <v>0</v>
      </c>
      <c r="I42" s="432"/>
      <c r="J42" s="432"/>
      <c r="K42" s="432"/>
      <c r="L42" s="432"/>
      <c r="M42" s="436"/>
    </row>
    <row r="43" spans="1:13" ht="15.6">
      <c r="A43" s="440" t="s">
        <v>635</v>
      </c>
      <c r="B43" s="436"/>
      <c r="C43" s="436"/>
      <c r="D43" s="436"/>
      <c r="E43" s="436"/>
      <c r="F43" s="436"/>
      <c r="G43" s="436"/>
      <c r="H43" s="444">
        <v>0</v>
      </c>
      <c r="I43" s="432"/>
      <c r="J43" s="432"/>
      <c r="K43" s="432"/>
      <c r="L43" s="432"/>
      <c r="M43" s="436"/>
    </row>
    <row r="44" spans="1:13" ht="15.6">
      <c r="A44" s="440" t="s">
        <v>728</v>
      </c>
      <c r="B44" s="436"/>
      <c r="C44" s="436"/>
      <c r="D44" s="436"/>
      <c r="E44" s="436"/>
      <c r="F44" s="436"/>
      <c r="G44" s="436"/>
      <c r="H44" s="445">
        <f>+H40-H41</f>
        <v>9219.2999999999993</v>
      </c>
      <c r="I44" s="432"/>
      <c r="J44" s="432"/>
      <c r="K44" s="432"/>
      <c r="L44" s="432"/>
      <c r="M44" s="436"/>
    </row>
    <row r="45" spans="1:13" ht="15.6">
      <c r="A45" s="432"/>
      <c r="B45" s="432"/>
      <c r="C45" s="432"/>
      <c r="D45" s="432"/>
      <c r="E45" s="432"/>
      <c r="F45" s="432"/>
      <c r="G45" s="432"/>
      <c r="H45" s="430"/>
      <c r="I45" s="432"/>
      <c r="J45" s="432"/>
      <c r="K45" s="432"/>
      <c r="L45" s="432"/>
      <c r="M45" s="436"/>
    </row>
  </sheetData>
  <mergeCells count="3">
    <mergeCell ref="A1:H1"/>
    <mergeCell ref="A2:H2"/>
    <mergeCell ref="A3:H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77"/>
  <sheetViews>
    <sheetView topLeftCell="A22" zoomScale="80" workbookViewId="0">
      <selection activeCell="C43" sqref="C43"/>
    </sheetView>
  </sheetViews>
  <sheetFormatPr defaultRowHeight="13.2"/>
  <cols>
    <col min="1" max="1" width="5.1796875" style="1" customWidth="1"/>
    <col min="2" max="2" width="31.90625" style="1" customWidth="1"/>
    <col min="3" max="3" width="13" style="1" customWidth="1"/>
    <col min="4" max="4" width="5.1796875" style="1" customWidth="1"/>
    <col min="5" max="5" width="30.90625" style="1" customWidth="1"/>
    <col min="6" max="6" width="13" style="1" customWidth="1"/>
    <col min="7" max="7" width="8.90625" style="1"/>
    <col min="8" max="8" width="10.81640625" style="1" bestFit="1" customWidth="1"/>
    <col min="9" max="10" width="8.90625" style="1"/>
    <col min="11" max="11" width="10.81640625" style="1" bestFit="1" customWidth="1"/>
    <col min="12" max="256" width="8.90625" style="1"/>
    <col min="257" max="257" width="5.1796875" style="1" customWidth="1"/>
    <col min="258" max="258" width="30.90625" style="1" customWidth="1"/>
    <col min="259" max="259" width="13" style="1" customWidth="1"/>
    <col min="260" max="260" width="5.1796875" style="1" customWidth="1"/>
    <col min="261" max="261" width="30.90625" style="1" customWidth="1"/>
    <col min="262" max="262" width="13" style="1" customWidth="1"/>
    <col min="263" max="512" width="8.90625" style="1"/>
    <col min="513" max="513" width="5.1796875" style="1" customWidth="1"/>
    <col min="514" max="514" width="30.90625" style="1" customWidth="1"/>
    <col min="515" max="515" width="13" style="1" customWidth="1"/>
    <col min="516" max="516" width="5.1796875" style="1" customWidth="1"/>
    <col min="517" max="517" width="30.90625" style="1" customWidth="1"/>
    <col min="518" max="518" width="13" style="1" customWidth="1"/>
    <col min="519" max="768" width="8.90625" style="1"/>
    <col min="769" max="769" width="5.1796875" style="1" customWidth="1"/>
    <col min="770" max="770" width="30.90625" style="1" customWidth="1"/>
    <col min="771" max="771" width="13" style="1" customWidth="1"/>
    <col min="772" max="772" width="5.1796875" style="1" customWidth="1"/>
    <col min="773" max="773" width="30.90625" style="1" customWidth="1"/>
    <col min="774" max="774" width="13" style="1" customWidth="1"/>
    <col min="775" max="1024" width="8.90625" style="1"/>
    <col min="1025" max="1025" width="5.1796875" style="1" customWidth="1"/>
    <col min="1026" max="1026" width="30.90625" style="1" customWidth="1"/>
    <col min="1027" max="1027" width="13" style="1" customWidth="1"/>
    <col min="1028" max="1028" width="5.1796875" style="1" customWidth="1"/>
    <col min="1029" max="1029" width="30.90625" style="1" customWidth="1"/>
    <col min="1030" max="1030" width="13" style="1" customWidth="1"/>
    <col min="1031" max="1280" width="8.90625" style="1"/>
    <col min="1281" max="1281" width="5.1796875" style="1" customWidth="1"/>
    <col min="1282" max="1282" width="30.90625" style="1" customWidth="1"/>
    <col min="1283" max="1283" width="13" style="1" customWidth="1"/>
    <col min="1284" max="1284" width="5.1796875" style="1" customWidth="1"/>
    <col min="1285" max="1285" width="30.90625" style="1" customWidth="1"/>
    <col min="1286" max="1286" width="13" style="1" customWidth="1"/>
    <col min="1287" max="1536" width="8.90625" style="1"/>
    <col min="1537" max="1537" width="5.1796875" style="1" customWidth="1"/>
    <col min="1538" max="1538" width="30.90625" style="1" customWidth="1"/>
    <col min="1539" max="1539" width="13" style="1" customWidth="1"/>
    <col min="1540" max="1540" width="5.1796875" style="1" customWidth="1"/>
    <col min="1541" max="1541" width="30.90625" style="1" customWidth="1"/>
    <col min="1542" max="1542" width="13" style="1" customWidth="1"/>
    <col min="1543" max="1792" width="8.90625" style="1"/>
    <col min="1793" max="1793" width="5.1796875" style="1" customWidth="1"/>
    <col min="1794" max="1794" width="30.90625" style="1" customWidth="1"/>
    <col min="1795" max="1795" width="13" style="1" customWidth="1"/>
    <col min="1796" max="1796" width="5.1796875" style="1" customWidth="1"/>
    <col min="1797" max="1797" width="30.90625" style="1" customWidth="1"/>
    <col min="1798" max="1798" width="13" style="1" customWidth="1"/>
    <col min="1799" max="2048" width="8.90625" style="1"/>
    <col min="2049" max="2049" width="5.1796875" style="1" customWidth="1"/>
    <col min="2050" max="2050" width="30.90625" style="1" customWidth="1"/>
    <col min="2051" max="2051" width="13" style="1" customWidth="1"/>
    <col min="2052" max="2052" width="5.1796875" style="1" customWidth="1"/>
    <col min="2053" max="2053" width="30.90625" style="1" customWidth="1"/>
    <col min="2054" max="2054" width="13" style="1" customWidth="1"/>
    <col min="2055" max="2304" width="8.90625" style="1"/>
    <col min="2305" max="2305" width="5.1796875" style="1" customWidth="1"/>
    <col min="2306" max="2306" width="30.90625" style="1" customWidth="1"/>
    <col min="2307" max="2307" width="13" style="1" customWidth="1"/>
    <col min="2308" max="2308" width="5.1796875" style="1" customWidth="1"/>
    <col min="2309" max="2309" width="30.90625" style="1" customWidth="1"/>
    <col min="2310" max="2310" width="13" style="1" customWidth="1"/>
    <col min="2311" max="2560" width="8.90625" style="1"/>
    <col min="2561" max="2561" width="5.1796875" style="1" customWidth="1"/>
    <col min="2562" max="2562" width="30.90625" style="1" customWidth="1"/>
    <col min="2563" max="2563" width="13" style="1" customWidth="1"/>
    <col min="2564" max="2564" width="5.1796875" style="1" customWidth="1"/>
    <col min="2565" max="2565" width="30.90625" style="1" customWidth="1"/>
    <col min="2566" max="2566" width="13" style="1" customWidth="1"/>
    <col min="2567" max="2816" width="8.90625" style="1"/>
    <col min="2817" max="2817" width="5.1796875" style="1" customWidth="1"/>
    <col min="2818" max="2818" width="30.90625" style="1" customWidth="1"/>
    <col min="2819" max="2819" width="13" style="1" customWidth="1"/>
    <col min="2820" max="2820" width="5.1796875" style="1" customWidth="1"/>
    <col min="2821" max="2821" width="30.90625" style="1" customWidth="1"/>
    <col min="2822" max="2822" width="13" style="1" customWidth="1"/>
    <col min="2823" max="3072" width="8.90625" style="1"/>
    <col min="3073" max="3073" width="5.1796875" style="1" customWidth="1"/>
    <col min="3074" max="3074" width="30.90625" style="1" customWidth="1"/>
    <col min="3075" max="3075" width="13" style="1" customWidth="1"/>
    <col min="3076" max="3076" width="5.1796875" style="1" customWidth="1"/>
    <col min="3077" max="3077" width="30.90625" style="1" customWidth="1"/>
    <col min="3078" max="3078" width="13" style="1" customWidth="1"/>
    <col min="3079" max="3328" width="8.90625" style="1"/>
    <col min="3329" max="3329" width="5.1796875" style="1" customWidth="1"/>
    <col min="3330" max="3330" width="30.90625" style="1" customWidth="1"/>
    <col min="3331" max="3331" width="13" style="1" customWidth="1"/>
    <col min="3332" max="3332" width="5.1796875" style="1" customWidth="1"/>
    <col min="3333" max="3333" width="30.90625" style="1" customWidth="1"/>
    <col min="3334" max="3334" width="13" style="1" customWidth="1"/>
    <col min="3335" max="3584" width="8.90625" style="1"/>
    <col min="3585" max="3585" width="5.1796875" style="1" customWidth="1"/>
    <col min="3586" max="3586" width="30.90625" style="1" customWidth="1"/>
    <col min="3587" max="3587" width="13" style="1" customWidth="1"/>
    <col min="3588" max="3588" width="5.1796875" style="1" customWidth="1"/>
    <col min="3589" max="3589" width="30.90625" style="1" customWidth="1"/>
    <col min="3590" max="3590" width="13" style="1" customWidth="1"/>
    <col min="3591" max="3840" width="8.90625" style="1"/>
    <col min="3841" max="3841" width="5.1796875" style="1" customWidth="1"/>
    <col min="3842" max="3842" width="30.90625" style="1" customWidth="1"/>
    <col min="3843" max="3843" width="13" style="1" customWidth="1"/>
    <col min="3844" max="3844" width="5.1796875" style="1" customWidth="1"/>
    <col min="3845" max="3845" width="30.90625" style="1" customWidth="1"/>
    <col min="3846" max="3846" width="13" style="1" customWidth="1"/>
    <col min="3847" max="4096" width="8.90625" style="1"/>
    <col min="4097" max="4097" width="5.1796875" style="1" customWidth="1"/>
    <col min="4098" max="4098" width="30.90625" style="1" customWidth="1"/>
    <col min="4099" max="4099" width="13" style="1" customWidth="1"/>
    <col min="4100" max="4100" width="5.1796875" style="1" customWidth="1"/>
    <col min="4101" max="4101" width="30.90625" style="1" customWidth="1"/>
    <col min="4102" max="4102" width="13" style="1" customWidth="1"/>
    <col min="4103" max="4352" width="8.90625" style="1"/>
    <col min="4353" max="4353" width="5.1796875" style="1" customWidth="1"/>
    <col min="4354" max="4354" width="30.90625" style="1" customWidth="1"/>
    <col min="4355" max="4355" width="13" style="1" customWidth="1"/>
    <col min="4356" max="4356" width="5.1796875" style="1" customWidth="1"/>
    <col min="4357" max="4357" width="30.90625" style="1" customWidth="1"/>
    <col min="4358" max="4358" width="13" style="1" customWidth="1"/>
    <col min="4359" max="4608" width="8.90625" style="1"/>
    <col min="4609" max="4609" width="5.1796875" style="1" customWidth="1"/>
    <col min="4610" max="4610" width="30.90625" style="1" customWidth="1"/>
    <col min="4611" max="4611" width="13" style="1" customWidth="1"/>
    <col min="4612" max="4612" width="5.1796875" style="1" customWidth="1"/>
    <col min="4613" max="4613" width="30.90625" style="1" customWidth="1"/>
    <col min="4614" max="4614" width="13" style="1" customWidth="1"/>
    <col min="4615" max="4864" width="8.90625" style="1"/>
    <col min="4865" max="4865" width="5.1796875" style="1" customWidth="1"/>
    <col min="4866" max="4866" width="30.90625" style="1" customWidth="1"/>
    <col min="4867" max="4867" width="13" style="1" customWidth="1"/>
    <col min="4868" max="4868" width="5.1796875" style="1" customWidth="1"/>
    <col min="4869" max="4869" width="30.90625" style="1" customWidth="1"/>
    <col min="4870" max="4870" width="13" style="1" customWidth="1"/>
    <col min="4871" max="5120" width="8.90625" style="1"/>
    <col min="5121" max="5121" width="5.1796875" style="1" customWidth="1"/>
    <col min="5122" max="5122" width="30.90625" style="1" customWidth="1"/>
    <col min="5123" max="5123" width="13" style="1" customWidth="1"/>
    <col min="5124" max="5124" width="5.1796875" style="1" customWidth="1"/>
    <col min="5125" max="5125" width="30.90625" style="1" customWidth="1"/>
    <col min="5126" max="5126" width="13" style="1" customWidth="1"/>
    <col min="5127" max="5376" width="8.90625" style="1"/>
    <col min="5377" max="5377" width="5.1796875" style="1" customWidth="1"/>
    <col min="5378" max="5378" width="30.90625" style="1" customWidth="1"/>
    <col min="5379" max="5379" width="13" style="1" customWidth="1"/>
    <col min="5380" max="5380" width="5.1796875" style="1" customWidth="1"/>
    <col min="5381" max="5381" width="30.90625" style="1" customWidth="1"/>
    <col min="5382" max="5382" width="13" style="1" customWidth="1"/>
    <col min="5383" max="5632" width="8.90625" style="1"/>
    <col min="5633" max="5633" width="5.1796875" style="1" customWidth="1"/>
    <col min="5634" max="5634" width="30.90625" style="1" customWidth="1"/>
    <col min="5635" max="5635" width="13" style="1" customWidth="1"/>
    <col min="5636" max="5636" width="5.1796875" style="1" customWidth="1"/>
    <col min="5637" max="5637" width="30.90625" style="1" customWidth="1"/>
    <col min="5638" max="5638" width="13" style="1" customWidth="1"/>
    <col min="5639" max="5888" width="8.90625" style="1"/>
    <col min="5889" max="5889" width="5.1796875" style="1" customWidth="1"/>
    <col min="5890" max="5890" width="30.90625" style="1" customWidth="1"/>
    <col min="5891" max="5891" width="13" style="1" customWidth="1"/>
    <col min="5892" max="5892" width="5.1796875" style="1" customWidth="1"/>
    <col min="5893" max="5893" width="30.90625" style="1" customWidth="1"/>
    <col min="5894" max="5894" width="13" style="1" customWidth="1"/>
    <col min="5895" max="6144" width="8.90625" style="1"/>
    <col min="6145" max="6145" width="5.1796875" style="1" customWidth="1"/>
    <col min="6146" max="6146" width="30.90625" style="1" customWidth="1"/>
    <col min="6147" max="6147" width="13" style="1" customWidth="1"/>
    <col min="6148" max="6148" width="5.1796875" style="1" customWidth="1"/>
    <col min="6149" max="6149" width="30.90625" style="1" customWidth="1"/>
    <col min="6150" max="6150" width="13" style="1" customWidth="1"/>
    <col min="6151" max="6400" width="8.90625" style="1"/>
    <col min="6401" max="6401" width="5.1796875" style="1" customWidth="1"/>
    <col min="6402" max="6402" width="30.90625" style="1" customWidth="1"/>
    <col min="6403" max="6403" width="13" style="1" customWidth="1"/>
    <col min="6404" max="6404" width="5.1796875" style="1" customWidth="1"/>
    <col min="6405" max="6405" width="30.90625" style="1" customWidth="1"/>
    <col min="6406" max="6406" width="13" style="1" customWidth="1"/>
    <col min="6407" max="6656" width="8.90625" style="1"/>
    <col min="6657" max="6657" width="5.1796875" style="1" customWidth="1"/>
    <col min="6658" max="6658" width="30.90625" style="1" customWidth="1"/>
    <col min="6659" max="6659" width="13" style="1" customWidth="1"/>
    <col min="6660" max="6660" width="5.1796875" style="1" customWidth="1"/>
    <col min="6661" max="6661" width="30.90625" style="1" customWidth="1"/>
    <col min="6662" max="6662" width="13" style="1" customWidth="1"/>
    <col min="6663" max="6912" width="8.90625" style="1"/>
    <col min="6913" max="6913" width="5.1796875" style="1" customWidth="1"/>
    <col min="6914" max="6914" width="30.90625" style="1" customWidth="1"/>
    <col min="6915" max="6915" width="13" style="1" customWidth="1"/>
    <col min="6916" max="6916" width="5.1796875" style="1" customWidth="1"/>
    <col min="6917" max="6917" width="30.90625" style="1" customWidth="1"/>
    <col min="6918" max="6918" width="13" style="1" customWidth="1"/>
    <col min="6919" max="7168" width="8.90625" style="1"/>
    <col min="7169" max="7169" width="5.1796875" style="1" customWidth="1"/>
    <col min="7170" max="7170" width="30.90625" style="1" customWidth="1"/>
    <col min="7171" max="7171" width="13" style="1" customWidth="1"/>
    <col min="7172" max="7172" width="5.1796875" style="1" customWidth="1"/>
    <col min="7173" max="7173" width="30.90625" style="1" customWidth="1"/>
    <col min="7174" max="7174" width="13" style="1" customWidth="1"/>
    <col min="7175" max="7424" width="8.90625" style="1"/>
    <col min="7425" max="7425" width="5.1796875" style="1" customWidth="1"/>
    <col min="7426" max="7426" width="30.90625" style="1" customWidth="1"/>
    <col min="7427" max="7427" width="13" style="1" customWidth="1"/>
    <col min="7428" max="7428" width="5.1796875" style="1" customWidth="1"/>
    <col min="7429" max="7429" width="30.90625" style="1" customWidth="1"/>
    <col min="7430" max="7430" width="13" style="1" customWidth="1"/>
    <col min="7431" max="7680" width="8.90625" style="1"/>
    <col min="7681" max="7681" width="5.1796875" style="1" customWidth="1"/>
    <col min="7682" max="7682" width="30.90625" style="1" customWidth="1"/>
    <col min="7683" max="7683" width="13" style="1" customWidth="1"/>
    <col min="7684" max="7684" width="5.1796875" style="1" customWidth="1"/>
    <col min="7685" max="7685" width="30.90625" style="1" customWidth="1"/>
    <col min="7686" max="7686" width="13" style="1" customWidth="1"/>
    <col min="7687" max="7936" width="8.90625" style="1"/>
    <col min="7937" max="7937" width="5.1796875" style="1" customWidth="1"/>
    <col min="7938" max="7938" width="30.90625" style="1" customWidth="1"/>
    <col min="7939" max="7939" width="13" style="1" customWidth="1"/>
    <col min="7940" max="7940" width="5.1796875" style="1" customWidth="1"/>
    <col min="7941" max="7941" width="30.90625" style="1" customWidth="1"/>
    <col min="7942" max="7942" width="13" style="1" customWidth="1"/>
    <col min="7943" max="8192" width="8.90625" style="1"/>
    <col min="8193" max="8193" width="5.1796875" style="1" customWidth="1"/>
    <col min="8194" max="8194" width="30.90625" style="1" customWidth="1"/>
    <col min="8195" max="8195" width="13" style="1" customWidth="1"/>
    <col min="8196" max="8196" width="5.1796875" style="1" customWidth="1"/>
    <col min="8197" max="8197" width="30.90625" style="1" customWidth="1"/>
    <col min="8198" max="8198" width="13" style="1" customWidth="1"/>
    <col min="8199" max="8448" width="8.90625" style="1"/>
    <col min="8449" max="8449" width="5.1796875" style="1" customWidth="1"/>
    <col min="8450" max="8450" width="30.90625" style="1" customWidth="1"/>
    <col min="8451" max="8451" width="13" style="1" customWidth="1"/>
    <col min="8452" max="8452" width="5.1796875" style="1" customWidth="1"/>
    <col min="8453" max="8453" width="30.90625" style="1" customWidth="1"/>
    <col min="8454" max="8454" width="13" style="1" customWidth="1"/>
    <col min="8455" max="8704" width="8.90625" style="1"/>
    <col min="8705" max="8705" width="5.1796875" style="1" customWidth="1"/>
    <col min="8706" max="8706" width="30.90625" style="1" customWidth="1"/>
    <col min="8707" max="8707" width="13" style="1" customWidth="1"/>
    <col min="8708" max="8708" width="5.1796875" style="1" customWidth="1"/>
    <col min="8709" max="8709" width="30.90625" style="1" customWidth="1"/>
    <col min="8710" max="8710" width="13" style="1" customWidth="1"/>
    <col min="8711" max="8960" width="8.90625" style="1"/>
    <col min="8961" max="8961" width="5.1796875" style="1" customWidth="1"/>
    <col min="8962" max="8962" width="30.90625" style="1" customWidth="1"/>
    <col min="8963" max="8963" width="13" style="1" customWidth="1"/>
    <col min="8964" max="8964" width="5.1796875" style="1" customWidth="1"/>
    <col min="8965" max="8965" width="30.90625" style="1" customWidth="1"/>
    <col min="8966" max="8966" width="13" style="1" customWidth="1"/>
    <col min="8967" max="9216" width="8.90625" style="1"/>
    <col min="9217" max="9217" width="5.1796875" style="1" customWidth="1"/>
    <col min="9218" max="9218" width="30.90625" style="1" customWidth="1"/>
    <col min="9219" max="9219" width="13" style="1" customWidth="1"/>
    <col min="9220" max="9220" width="5.1796875" style="1" customWidth="1"/>
    <col min="9221" max="9221" width="30.90625" style="1" customWidth="1"/>
    <col min="9222" max="9222" width="13" style="1" customWidth="1"/>
    <col min="9223" max="9472" width="8.90625" style="1"/>
    <col min="9473" max="9473" width="5.1796875" style="1" customWidth="1"/>
    <col min="9474" max="9474" width="30.90625" style="1" customWidth="1"/>
    <col min="9475" max="9475" width="13" style="1" customWidth="1"/>
    <col min="9476" max="9476" width="5.1796875" style="1" customWidth="1"/>
    <col min="9477" max="9477" width="30.90625" style="1" customWidth="1"/>
    <col min="9478" max="9478" width="13" style="1" customWidth="1"/>
    <col min="9479" max="9728" width="8.90625" style="1"/>
    <col min="9729" max="9729" width="5.1796875" style="1" customWidth="1"/>
    <col min="9730" max="9730" width="30.90625" style="1" customWidth="1"/>
    <col min="9731" max="9731" width="13" style="1" customWidth="1"/>
    <col min="9732" max="9732" width="5.1796875" style="1" customWidth="1"/>
    <col min="9733" max="9733" width="30.90625" style="1" customWidth="1"/>
    <col min="9734" max="9734" width="13" style="1" customWidth="1"/>
    <col min="9735" max="9984" width="8.90625" style="1"/>
    <col min="9985" max="9985" width="5.1796875" style="1" customWidth="1"/>
    <col min="9986" max="9986" width="30.90625" style="1" customWidth="1"/>
    <col min="9987" max="9987" width="13" style="1" customWidth="1"/>
    <col min="9988" max="9988" width="5.1796875" style="1" customWidth="1"/>
    <col min="9989" max="9989" width="30.90625" style="1" customWidth="1"/>
    <col min="9990" max="9990" width="13" style="1" customWidth="1"/>
    <col min="9991" max="10240" width="8.90625" style="1"/>
    <col min="10241" max="10241" width="5.1796875" style="1" customWidth="1"/>
    <col min="10242" max="10242" width="30.90625" style="1" customWidth="1"/>
    <col min="10243" max="10243" width="13" style="1" customWidth="1"/>
    <col min="10244" max="10244" width="5.1796875" style="1" customWidth="1"/>
    <col min="10245" max="10245" width="30.90625" style="1" customWidth="1"/>
    <col min="10246" max="10246" width="13" style="1" customWidth="1"/>
    <col min="10247" max="10496" width="8.90625" style="1"/>
    <col min="10497" max="10497" width="5.1796875" style="1" customWidth="1"/>
    <col min="10498" max="10498" width="30.90625" style="1" customWidth="1"/>
    <col min="10499" max="10499" width="13" style="1" customWidth="1"/>
    <col min="10500" max="10500" width="5.1796875" style="1" customWidth="1"/>
    <col min="10501" max="10501" width="30.90625" style="1" customWidth="1"/>
    <col min="10502" max="10502" width="13" style="1" customWidth="1"/>
    <col min="10503" max="10752" width="8.90625" style="1"/>
    <col min="10753" max="10753" width="5.1796875" style="1" customWidth="1"/>
    <col min="10754" max="10754" width="30.90625" style="1" customWidth="1"/>
    <col min="10755" max="10755" width="13" style="1" customWidth="1"/>
    <col min="10756" max="10756" width="5.1796875" style="1" customWidth="1"/>
    <col min="10757" max="10757" width="30.90625" style="1" customWidth="1"/>
    <col min="10758" max="10758" width="13" style="1" customWidth="1"/>
    <col min="10759" max="11008" width="8.90625" style="1"/>
    <col min="11009" max="11009" width="5.1796875" style="1" customWidth="1"/>
    <col min="11010" max="11010" width="30.90625" style="1" customWidth="1"/>
    <col min="11011" max="11011" width="13" style="1" customWidth="1"/>
    <col min="11012" max="11012" width="5.1796875" style="1" customWidth="1"/>
    <col min="11013" max="11013" width="30.90625" style="1" customWidth="1"/>
    <col min="11014" max="11014" width="13" style="1" customWidth="1"/>
    <col min="11015" max="11264" width="8.90625" style="1"/>
    <col min="11265" max="11265" width="5.1796875" style="1" customWidth="1"/>
    <col min="11266" max="11266" width="30.90625" style="1" customWidth="1"/>
    <col min="11267" max="11267" width="13" style="1" customWidth="1"/>
    <col min="11268" max="11268" width="5.1796875" style="1" customWidth="1"/>
    <col min="11269" max="11269" width="30.90625" style="1" customWidth="1"/>
    <col min="11270" max="11270" width="13" style="1" customWidth="1"/>
    <col min="11271" max="11520" width="8.90625" style="1"/>
    <col min="11521" max="11521" width="5.1796875" style="1" customWidth="1"/>
    <col min="11522" max="11522" width="30.90625" style="1" customWidth="1"/>
    <col min="11523" max="11523" width="13" style="1" customWidth="1"/>
    <col min="11524" max="11524" width="5.1796875" style="1" customWidth="1"/>
    <col min="11525" max="11525" width="30.90625" style="1" customWidth="1"/>
    <col min="11526" max="11526" width="13" style="1" customWidth="1"/>
    <col min="11527" max="11776" width="8.90625" style="1"/>
    <col min="11777" max="11777" width="5.1796875" style="1" customWidth="1"/>
    <col min="11778" max="11778" width="30.90625" style="1" customWidth="1"/>
    <col min="11779" max="11779" width="13" style="1" customWidth="1"/>
    <col min="11780" max="11780" width="5.1796875" style="1" customWidth="1"/>
    <col min="11781" max="11781" width="30.90625" style="1" customWidth="1"/>
    <col min="11782" max="11782" width="13" style="1" customWidth="1"/>
    <col min="11783" max="12032" width="8.90625" style="1"/>
    <col min="12033" max="12033" width="5.1796875" style="1" customWidth="1"/>
    <col min="12034" max="12034" width="30.90625" style="1" customWidth="1"/>
    <col min="12035" max="12035" width="13" style="1" customWidth="1"/>
    <col min="12036" max="12036" width="5.1796875" style="1" customWidth="1"/>
    <col min="12037" max="12037" width="30.90625" style="1" customWidth="1"/>
    <col min="12038" max="12038" width="13" style="1" customWidth="1"/>
    <col min="12039" max="12288" width="8.90625" style="1"/>
    <col min="12289" max="12289" width="5.1796875" style="1" customWidth="1"/>
    <col min="12290" max="12290" width="30.90625" style="1" customWidth="1"/>
    <col min="12291" max="12291" width="13" style="1" customWidth="1"/>
    <col min="12292" max="12292" width="5.1796875" style="1" customWidth="1"/>
    <col min="12293" max="12293" width="30.90625" style="1" customWidth="1"/>
    <col min="12294" max="12294" width="13" style="1" customWidth="1"/>
    <col min="12295" max="12544" width="8.90625" style="1"/>
    <col min="12545" max="12545" width="5.1796875" style="1" customWidth="1"/>
    <col min="12546" max="12546" width="30.90625" style="1" customWidth="1"/>
    <col min="12547" max="12547" width="13" style="1" customWidth="1"/>
    <col min="12548" max="12548" width="5.1796875" style="1" customWidth="1"/>
    <col min="12549" max="12549" width="30.90625" style="1" customWidth="1"/>
    <col min="12550" max="12550" width="13" style="1" customWidth="1"/>
    <col min="12551" max="12800" width="8.90625" style="1"/>
    <col min="12801" max="12801" width="5.1796875" style="1" customWidth="1"/>
    <col min="12802" max="12802" width="30.90625" style="1" customWidth="1"/>
    <col min="12803" max="12803" width="13" style="1" customWidth="1"/>
    <col min="12804" max="12804" width="5.1796875" style="1" customWidth="1"/>
    <col min="12805" max="12805" width="30.90625" style="1" customWidth="1"/>
    <col min="12806" max="12806" width="13" style="1" customWidth="1"/>
    <col min="12807" max="13056" width="8.90625" style="1"/>
    <col min="13057" max="13057" width="5.1796875" style="1" customWidth="1"/>
    <col min="13058" max="13058" width="30.90625" style="1" customWidth="1"/>
    <col min="13059" max="13059" width="13" style="1" customWidth="1"/>
    <col min="13060" max="13060" width="5.1796875" style="1" customWidth="1"/>
    <col min="13061" max="13061" width="30.90625" style="1" customWidth="1"/>
    <col min="13062" max="13062" width="13" style="1" customWidth="1"/>
    <col min="13063" max="13312" width="8.90625" style="1"/>
    <col min="13313" max="13313" width="5.1796875" style="1" customWidth="1"/>
    <col min="13314" max="13314" width="30.90625" style="1" customWidth="1"/>
    <col min="13315" max="13315" width="13" style="1" customWidth="1"/>
    <col min="13316" max="13316" width="5.1796875" style="1" customWidth="1"/>
    <col min="13317" max="13317" width="30.90625" style="1" customWidth="1"/>
    <col min="13318" max="13318" width="13" style="1" customWidth="1"/>
    <col min="13319" max="13568" width="8.90625" style="1"/>
    <col min="13569" max="13569" width="5.1796875" style="1" customWidth="1"/>
    <col min="13570" max="13570" width="30.90625" style="1" customWidth="1"/>
    <col min="13571" max="13571" width="13" style="1" customWidth="1"/>
    <col min="13572" max="13572" width="5.1796875" style="1" customWidth="1"/>
    <col min="13573" max="13573" width="30.90625" style="1" customWidth="1"/>
    <col min="13574" max="13574" width="13" style="1" customWidth="1"/>
    <col min="13575" max="13824" width="8.90625" style="1"/>
    <col min="13825" max="13825" width="5.1796875" style="1" customWidth="1"/>
    <col min="13826" max="13826" width="30.90625" style="1" customWidth="1"/>
    <col min="13827" max="13827" width="13" style="1" customWidth="1"/>
    <col min="13828" max="13828" width="5.1796875" style="1" customWidth="1"/>
    <col min="13829" max="13829" width="30.90625" style="1" customWidth="1"/>
    <col min="13830" max="13830" width="13" style="1" customWidth="1"/>
    <col min="13831" max="14080" width="8.90625" style="1"/>
    <col min="14081" max="14081" width="5.1796875" style="1" customWidth="1"/>
    <col min="14082" max="14082" width="30.90625" style="1" customWidth="1"/>
    <col min="14083" max="14083" width="13" style="1" customWidth="1"/>
    <col min="14084" max="14084" width="5.1796875" style="1" customWidth="1"/>
    <col min="14085" max="14085" width="30.90625" style="1" customWidth="1"/>
    <col min="14086" max="14086" width="13" style="1" customWidth="1"/>
    <col min="14087" max="14336" width="8.90625" style="1"/>
    <col min="14337" max="14337" width="5.1796875" style="1" customWidth="1"/>
    <col min="14338" max="14338" width="30.90625" style="1" customWidth="1"/>
    <col min="14339" max="14339" width="13" style="1" customWidth="1"/>
    <col min="14340" max="14340" width="5.1796875" style="1" customWidth="1"/>
    <col min="14341" max="14341" width="30.90625" style="1" customWidth="1"/>
    <col min="14342" max="14342" width="13" style="1" customWidth="1"/>
    <col min="14343" max="14592" width="8.90625" style="1"/>
    <col min="14593" max="14593" width="5.1796875" style="1" customWidth="1"/>
    <col min="14594" max="14594" width="30.90625" style="1" customWidth="1"/>
    <col min="14595" max="14595" width="13" style="1" customWidth="1"/>
    <col min="14596" max="14596" width="5.1796875" style="1" customWidth="1"/>
    <col min="14597" max="14597" width="30.90625" style="1" customWidth="1"/>
    <col min="14598" max="14598" width="13" style="1" customWidth="1"/>
    <col min="14599" max="14848" width="8.90625" style="1"/>
    <col min="14849" max="14849" width="5.1796875" style="1" customWidth="1"/>
    <col min="14850" max="14850" width="30.90625" style="1" customWidth="1"/>
    <col min="14851" max="14851" width="13" style="1" customWidth="1"/>
    <col min="14852" max="14852" width="5.1796875" style="1" customWidth="1"/>
    <col min="14853" max="14853" width="30.90625" style="1" customWidth="1"/>
    <col min="14854" max="14854" width="13" style="1" customWidth="1"/>
    <col min="14855" max="15104" width="8.90625" style="1"/>
    <col min="15105" max="15105" width="5.1796875" style="1" customWidth="1"/>
    <col min="15106" max="15106" width="30.90625" style="1" customWidth="1"/>
    <col min="15107" max="15107" width="13" style="1" customWidth="1"/>
    <col min="15108" max="15108" width="5.1796875" style="1" customWidth="1"/>
    <col min="15109" max="15109" width="30.90625" style="1" customWidth="1"/>
    <col min="15110" max="15110" width="13" style="1" customWidth="1"/>
    <col min="15111" max="15360" width="8.90625" style="1"/>
    <col min="15361" max="15361" width="5.1796875" style="1" customWidth="1"/>
    <col min="15362" max="15362" width="30.90625" style="1" customWidth="1"/>
    <col min="15363" max="15363" width="13" style="1" customWidth="1"/>
    <col min="15364" max="15364" width="5.1796875" style="1" customWidth="1"/>
    <col min="15365" max="15365" width="30.90625" style="1" customWidth="1"/>
    <col min="15366" max="15366" width="13" style="1" customWidth="1"/>
    <col min="15367" max="15616" width="8.90625" style="1"/>
    <col min="15617" max="15617" width="5.1796875" style="1" customWidth="1"/>
    <col min="15618" max="15618" width="30.90625" style="1" customWidth="1"/>
    <col min="15619" max="15619" width="13" style="1" customWidth="1"/>
    <col min="15620" max="15620" width="5.1796875" style="1" customWidth="1"/>
    <col min="15621" max="15621" width="30.90625" style="1" customWidth="1"/>
    <col min="15622" max="15622" width="13" style="1" customWidth="1"/>
    <col min="15623" max="15872" width="8.90625" style="1"/>
    <col min="15873" max="15873" width="5.1796875" style="1" customWidth="1"/>
    <col min="15874" max="15874" width="30.90625" style="1" customWidth="1"/>
    <col min="15875" max="15875" width="13" style="1" customWidth="1"/>
    <col min="15876" max="15876" width="5.1796875" style="1" customWidth="1"/>
    <col min="15877" max="15877" width="30.90625" style="1" customWidth="1"/>
    <col min="15878" max="15878" width="13" style="1" customWidth="1"/>
    <col min="15879" max="16128" width="8.90625" style="1"/>
    <col min="16129" max="16129" width="5.1796875" style="1" customWidth="1"/>
    <col min="16130" max="16130" width="30.90625" style="1" customWidth="1"/>
    <col min="16131" max="16131" width="13" style="1" customWidth="1"/>
    <col min="16132" max="16132" width="5.1796875" style="1" customWidth="1"/>
    <col min="16133" max="16133" width="30.90625" style="1" customWidth="1"/>
    <col min="16134" max="16134" width="13" style="1" customWidth="1"/>
    <col min="16135" max="16384" width="8.90625" style="1"/>
  </cols>
  <sheetData>
    <row r="1" spans="1:6">
      <c r="A1" s="460" t="s">
        <v>650</v>
      </c>
      <c r="B1" s="461"/>
      <c r="C1" s="461"/>
      <c r="D1" s="461"/>
      <c r="E1" s="461"/>
      <c r="F1" s="461"/>
    </row>
    <row r="2" spans="1:6">
      <c r="A2" s="462" t="s">
        <v>282</v>
      </c>
      <c r="B2" s="462"/>
      <c r="C2" s="462"/>
      <c r="D2" s="462"/>
      <c r="E2" s="462"/>
      <c r="F2" s="462"/>
    </row>
    <row r="3" spans="1:6">
      <c r="A3" s="462" t="s">
        <v>283</v>
      </c>
      <c r="B3" s="462"/>
      <c r="C3" s="462"/>
      <c r="D3" s="462"/>
      <c r="E3" s="462"/>
      <c r="F3" s="462"/>
    </row>
    <row r="4" spans="1:6">
      <c r="A4" s="463" t="s">
        <v>688</v>
      </c>
      <c r="B4" s="463"/>
      <c r="C4" s="463"/>
      <c r="D4" s="463"/>
      <c r="E4" s="463"/>
      <c r="F4" s="463"/>
    </row>
    <row r="6" spans="1:6">
      <c r="A6" s="464" t="s">
        <v>284</v>
      </c>
      <c r="B6" s="464"/>
      <c r="C6" s="464"/>
      <c r="D6" s="464"/>
      <c r="E6" s="464"/>
      <c r="F6" s="464"/>
    </row>
    <row r="7" spans="1:6">
      <c r="A7" s="28" t="s">
        <v>4</v>
      </c>
      <c r="B7" s="238"/>
      <c r="C7" s="224" t="s">
        <v>285</v>
      </c>
      <c r="D7" s="224" t="s">
        <v>4</v>
      </c>
      <c r="E7" s="238"/>
      <c r="F7" s="224" t="s">
        <v>285</v>
      </c>
    </row>
    <row r="8" spans="1:6">
      <c r="A8" s="29" t="s">
        <v>6</v>
      </c>
      <c r="B8" s="30" t="s">
        <v>286</v>
      </c>
      <c r="C8" s="30" t="s">
        <v>287</v>
      </c>
      <c r="D8" s="30" t="s">
        <v>288</v>
      </c>
      <c r="E8" s="30" t="s">
        <v>289</v>
      </c>
      <c r="F8" s="30" t="s">
        <v>287</v>
      </c>
    </row>
    <row r="9" spans="1:6">
      <c r="A9" s="243"/>
      <c r="B9" s="31" t="s">
        <v>290</v>
      </c>
      <c r="C9" s="402"/>
      <c r="D9" s="28"/>
      <c r="E9" s="31" t="s">
        <v>291</v>
      </c>
      <c r="F9" s="402"/>
    </row>
    <row r="10" spans="1:6">
      <c r="A10" s="243">
        <v>1</v>
      </c>
      <c r="B10" s="225" t="s">
        <v>292</v>
      </c>
      <c r="C10" s="247"/>
      <c r="D10" s="243"/>
      <c r="E10" s="225"/>
      <c r="F10" s="247"/>
    </row>
    <row r="11" spans="1:6">
      <c r="A11" s="29"/>
      <c r="B11" s="244" t="s">
        <v>293</v>
      </c>
      <c r="C11" s="79">
        <v>46905712.960000001</v>
      </c>
      <c r="D11" s="29">
        <v>30</v>
      </c>
      <c r="E11" s="229" t="s">
        <v>294</v>
      </c>
      <c r="F11" s="79">
        <v>0</v>
      </c>
    </row>
    <row r="12" spans="1:6">
      <c r="A12" s="33">
        <v>2</v>
      </c>
      <c r="B12" s="34" t="s">
        <v>295</v>
      </c>
      <c r="C12" s="245">
        <v>1780366.29</v>
      </c>
      <c r="D12" s="33">
        <v>31</v>
      </c>
      <c r="E12" s="235" t="s">
        <v>296</v>
      </c>
      <c r="F12" s="245"/>
    </row>
    <row r="13" spans="1:6">
      <c r="A13" s="243">
        <v>3</v>
      </c>
      <c r="B13" s="225" t="s">
        <v>297</v>
      </c>
      <c r="C13" s="247"/>
      <c r="D13" s="243"/>
      <c r="E13" s="225"/>
      <c r="F13" s="247"/>
    </row>
    <row r="14" spans="1:6">
      <c r="A14" s="243"/>
      <c r="B14" s="246" t="s">
        <v>298</v>
      </c>
      <c r="C14" s="247"/>
      <c r="D14" s="243">
        <v>32</v>
      </c>
      <c r="E14" s="225" t="s">
        <v>299</v>
      </c>
      <c r="F14" s="247"/>
    </row>
    <row r="15" spans="1:6" ht="13.8" thickBot="1">
      <c r="A15" s="29"/>
      <c r="B15" s="244" t="s">
        <v>300</v>
      </c>
      <c r="C15" s="247">
        <v>24594448.27</v>
      </c>
      <c r="D15" s="29"/>
      <c r="E15" s="244" t="s">
        <v>301</v>
      </c>
      <c r="F15" s="247">
        <v>21123183</v>
      </c>
    </row>
    <row r="16" spans="1:6" ht="13.8" thickBot="1">
      <c r="A16" s="33">
        <v>4</v>
      </c>
      <c r="B16" s="35" t="s">
        <v>302</v>
      </c>
      <c r="C16" s="47">
        <f>+C11+C12-C15</f>
        <v>24091630.98</v>
      </c>
      <c r="D16" s="248">
        <v>33</v>
      </c>
      <c r="E16" s="36" t="s">
        <v>303</v>
      </c>
      <c r="F16" s="47">
        <f>+F15+F11+F12</f>
        <v>21123183</v>
      </c>
    </row>
    <row r="17" spans="1:6">
      <c r="A17" s="249">
        <v>5</v>
      </c>
      <c r="B17" s="232" t="s">
        <v>304</v>
      </c>
      <c r="C17" s="250">
        <v>0</v>
      </c>
      <c r="D17" s="243"/>
      <c r="E17" s="37" t="s">
        <v>305</v>
      </c>
      <c r="F17" s="247"/>
    </row>
    <row r="18" spans="1:6">
      <c r="A18" s="32">
        <v>6</v>
      </c>
      <c r="B18" s="251" t="s">
        <v>297</v>
      </c>
      <c r="C18" s="247"/>
      <c r="D18" s="224"/>
      <c r="E18" s="225"/>
      <c r="F18" s="247"/>
    </row>
    <row r="19" spans="1:6">
      <c r="A19" s="243"/>
      <c r="B19" s="246" t="s">
        <v>306</v>
      </c>
      <c r="C19" s="247"/>
      <c r="D19" s="243"/>
      <c r="E19" s="225"/>
      <c r="F19" s="247"/>
    </row>
    <row r="20" spans="1:6">
      <c r="A20" s="243"/>
      <c r="B20" s="246" t="s">
        <v>307</v>
      </c>
      <c r="C20" s="247">
        <v>0</v>
      </c>
      <c r="D20" s="29">
        <v>34</v>
      </c>
      <c r="E20" s="229" t="s">
        <v>308</v>
      </c>
      <c r="F20" s="401">
        <v>8185000</v>
      </c>
    </row>
    <row r="21" spans="1:6" ht="13.8" thickBot="1">
      <c r="A21" s="252">
        <v>7</v>
      </c>
      <c r="B21" s="38" t="s">
        <v>309</v>
      </c>
      <c r="C21" s="48"/>
      <c r="D21" s="224">
        <v>35</v>
      </c>
      <c r="E21" s="232" t="s">
        <v>310</v>
      </c>
      <c r="F21" s="247"/>
    </row>
    <row r="22" spans="1:6" ht="13.8" thickBot="1">
      <c r="A22" s="29"/>
      <c r="B22" s="39" t="s">
        <v>311</v>
      </c>
      <c r="C22" s="47">
        <f>+C16+C17-C20</f>
        <v>24091630.98</v>
      </c>
      <c r="D22" s="30"/>
      <c r="E22" s="244" t="s">
        <v>312</v>
      </c>
      <c r="F22" s="403"/>
    </row>
    <row r="23" spans="1:6">
      <c r="A23" s="243"/>
      <c r="B23" s="40" t="s">
        <v>313</v>
      </c>
      <c r="C23" s="247"/>
      <c r="D23" s="243">
        <v>36</v>
      </c>
      <c r="E23" s="232" t="s">
        <v>314</v>
      </c>
      <c r="F23" s="247"/>
    </row>
    <row r="24" spans="1:6">
      <c r="A24" s="29">
        <v>8</v>
      </c>
      <c r="B24" s="229" t="s">
        <v>315</v>
      </c>
      <c r="C24" s="253">
        <v>0</v>
      </c>
      <c r="D24" s="29"/>
      <c r="E24" s="254" t="s">
        <v>316</v>
      </c>
      <c r="F24" s="253">
        <v>30441.85</v>
      </c>
    </row>
    <row r="25" spans="1:6">
      <c r="A25" s="243">
        <v>9</v>
      </c>
      <c r="B25" s="225" t="s">
        <v>297</v>
      </c>
      <c r="C25" s="259"/>
      <c r="D25" s="243">
        <v>37</v>
      </c>
      <c r="E25" s="232" t="s">
        <v>317</v>
      </c>
      <c r="F25" s="259"/>
    </row>
    <row r="26" spans="1:6">
      <c r="A26" s="29"/>
      <c r="B26" s="244" t="s">
        <v>318</v>
      </c>
      <c r="C26" s="253">
        <v>0</v>
      </c>
      <c r="D26" s="29"/>
      <c r="E26" s="244" t="s">
        <v>319</v>
      </c>
      <c r="F26" s="253">
        <v>0</v>
      </c>
    </row>
    <row r="27" spans="1:6" ht="13.8" thickBot="1">
      <c r="A27" s="243">
        <v>10</v>
      </c>
      <c r="B27" s="225" t="s">
        <v>320</v>
      </c>
      <c r="C27" s="259"/>
      <c r="D27" s="243"/>
      <c r="E27" s="232"/>
      <c r="F27" s="259"/>
    </row>
    <row r="28" spans="1:6" ht="13.8" thickBot="1">
      <c r="A28" s="29"/>
      <c r="B28" s="244" t="s">
        <v>321</v>
      </c>
      <c r="C28" s="253">
        <v>0</v>
      </c>
      <c r="D28" s="29">
        <v>38</v>
      </c>
      <c r="E28" s="42" t="s">
        <v>322</v>
      </c>
      <c r="F28" s="49">
        <f>+F20+F22+F24-F26</f>
        <v>8215441.8499999996</v>
      </c>
    </row>
    <row r="29" spans="1:6" ht="13.8" thickBot="1">
      <c r="A29" s="33">
        <v>11</v>
      </c>
      <c r="B29" s="34" t="s">
        <v>323</v>
      </c>
      <c r="C29" s="255">
        <v>703040.1</v>
      </c>
      <c r="D29" s="29"/>
      <c r="E29" s="229"/>
      <c r="F29" s="253"/>
    </row>
    <row r="30" spans="1:6" ht="13.8" thickBot="1">
      <c r="A30" s="33">
        <v>12</v>
      </c>
      <c r="B30" s="43" t="s">
        <v>324</v>
      </c>
      <c r="C30" s="49">
        <f>+C24+C26+C28+C29</f>
        <v>703040.1</v>
      </c>
      <c r="D30" s="30"/>
      <c r="E30" s="50" t="s">
        <v>325</v>
      </c>
      <c r="F30" s="253"/>
    </row>
    <row r="31" spans="1:6">
      <c r="A31" s="243"/>
      <c r="B31" s="40" t="s">
        <v>326</v>
      </c>
      <c r="C31" s="259"/>
      <c r="D31" s="33">
        <v>39</v>
      </c>
      <c r="E31" s="235" t="s">
        <v>327</v>
      </c>
      <c r="F31" s="78"/>
    </row>
    <row r="32" spans="1:6" ht="13.8" thickBot="1">
      <c r="A32" s="243">
        <v>13</v>
      </c>
      <c r="B32" s="225" t="s">
        <v>328</v>
      </c>
      <c r="C32" s="259"/>
      <c r="D32" s="33">
        <v>40</v>
      </c>
      <c r="E32" s="235" t="s">
        <v>329</v>
      </c>
      <c r="F32" s="255">
        <v>0</v>
      </c>
    </row>
    <row r="33" spans="1:11" ht="13.8" thickBot="1">
      <c r="A33" s="29"/>
      <c r="B33" s="244" t="s">
        <v>330</v>
      </c>
      <c r="C33" s="253">
        <f>8954898.4-41299</f>
        <v>8913599.4000000004</v>
      </c>
      <c r="D33" s="29">
        <v>41</v>
      </c>
      <c r="E33" s="51" t="s">
        <v>331</v>
      </c>
      <c r="F33" s="49">
        <f>SUM(F31:F32)</f>
        <v>0</v>
      </c>
    </row>
    <row r="34" spans="1:11">
      <c r="A34" s="243">
        <v>14</v>
      </c>
      <c r="B34" s="225" t="s">
        <v>332</v>
      </c>
      <c r="C34" s="259"/>
      <c r="D34" s="243"/>
      <c r="E34" s="225"/>
      <c r="F34" s="259"/>
    </row>
    <row r="35" spans="1:11">
      <c r="A35" s="29"/>
      <c r="B35" s="244" t="s">
        <v>333</v>
      </c>
      <c r="C35" s="253"/>
      <c r="D35" s="29"/>
      <c r="E35" s="50" t="s">
        <v>334</v>
      </c>
      <c r="F35" s="253"/>
    </row>
    <row r="36" spans="1:11">
      <c r="A36" s="33">
        <v>15</v>
      </c>
      <c r="B36" s="34" t="s">
        <v>697</v>
      </c>
      <c r="C36" s="256">
        <v>657370.17000000004</v>
      </c>
      <c r="D36" s="29">
        <v>42</v>
      </c>
      <c r="E36" s="229" t="s">
        <v>335</v>
      </c>
      <c r="F36" s="257">
        <v>0</v>
      </c>
    </row>
    <row r="37" spans="1:11">
      <c r="A37" s="243">
        <v>16</v>
      </c>
      <c r="B37" s="225" t="s">
        <v>297</v>
      </c>
      <c r="C37" s="259"/>
      <c r="D37" s="243"/>
      <c r="E37" s="225"/>
      <c r="F37" s="259"/>
      <c r="H37" s="265"/>
    </row>
    <row r="38" spans="1:11">
      <c r="A38" s="29"/>
      <c r="B38" s="244" t="s">
        <v>336</v>
      </c>
      <c r="C38" s="253">
        <v>50994.62</v>
      </c>
      <c r="D38" s="29">
        <v>43</v>
      </c>
      <c r="E38" s="229" t="s">
        <v>337</v>
      </c>
      <c r="F38" s="257">
        <f>3065398.75-25825</f>
        <v>3039573.75</v>
      </c>
      <c r="G38" s="450"/>
      <c r="H38" s="406"/>
      <c r="I38" s="450"/>
      <c r="J38" s="450"/>
      <c r="K38" s="406"/>
    </row>
    <row r="39" spans="1:11">
      <c r="A39" s="243">
        <v>17</v>
      </c>
      <c r="B39" s="225" t="s">
        <v>338</v>
      </c>
      <c r="C39" s="259"/>
      <c r="D39" s="243">
        <v>44</v>
      </c>
      <c r="E39" s="232" t="s">
        <v>339</v>
      </c>
      <c r="F39" s="41"/>
      <c r="G39" s="44"/>
      <c r="H39" s="421"/>
      <c r="I39" s="44"/>
      <c r="J39" s="44"/>
      <c r="K39" s="406"/>
    </row>
    <row r="40" spans="1:11">
      <c r="A40" s="29"/>
      <c r="B40" s="244" t="s">
        <v>340</v>
      </c>
      <c r="C40" s="253">
        <v>13296.07</v>
      </c>
      <c r="D40" s="29"/>
      <c r="E40" s="244" t="s">
        <v>341</v>
      </c>
      <c r="F40" s="257"/>
      <c r="H40" s="265"/>
      <c r="K40" s="267"/>
    </row>
    <row r="41" spans="1:11">
      <c r="A41" s="33">
        <v>18</v>
      </c>
      <c r="B41" s="34" t="s">
        <v>342</v>
      </c>
      <c r="C41" s="256">
        <v>1178617.69</v>
      </c>
      <c r="D41" s="29">
        <v>45</v>
      </c>
      <c r="E41" s="229" t="s">
        <v>343</v>
      </c>
      <c r="F41" s="257">
        <v>339552.03</v>
      </c>
      <c r="H41" s="265"/>
      <c r="K41" s="267"/>
    </row>
    <row r="42" spans="1:11">
      <c r="A42" s="33">
        <v>19</v>
      </c>
      <c r="B42" s="34" t="s">
        <v>344</v>
      </c>
      <c r="C42" s="256"/>
      <c r="D42" s="29">
        <v>46</v>
      </c>
      <c r="E42" s="229" t="s">
        <v>345</v>
      </c>
      <c r="F42" s="253"/>
      <c r="H42" s="265"/>
      <c r="K42" s="267"/>
    </row>
    <row r="43" spans="1:11">
      <c r="A43" s="33">
        <v>20</v>
      </c>
      <c r="B43" s="34" t="s">
        <v>346</v>
      </c>
      <c r="C43" s="256">
        <v>154307.81</v>
      </c>
      <c r="D43" s="29">
        <v>47</v>
      </c>
      <c r="E43" s="229" t="s">
        <v>347</v>
      </c>
      <c r="F43" s="253">
        <v>10257</v>
      </c>
      <c r="H43" s="265"/>
      <c r="K43" s="265"/>
    </row>
    <row r="44" spans="1:11" ht="13.8" thickBot="1">
      <c r="A44" s="258">
        <v>21</v>
      </c>
      <c r="B44" s="34" t="s">
        <v>348</v>
      </c>
      <c r="C44" s="256"/>
      <c r="D44" s="29">
        <v>48</v>
      </c>
      <c r="E44" s="229" t="s">
        <v>349</v>
      </c>
      <c r="F44" s="259">
        <v>2778578</v>
      </c>
      <c r="H44" s="265"/>
      <c r="I44" s="266"/>
      <c r="K44" s="265"/>
    </row>
    <row r="45" spans="1:11" ht="13.8" thickBot="1">
      <c r="A45" s="258">
        <v>22</v>
      </c>
      <c r="B45" s="34" t="s">
        <v>350</v>
      </c>
      <c r="C45" s="255">
        <v>17155.89</v>
      </c>
      <c r="D45" s="29">
        <v>49</v>
      </c>
      <c r="E45" s="51" t="s">
        <v>351</v>
      </c>
      <c r="F45" s="49">
        <f>+F44+F43+F42+F41+F40+F38+F36</f>
        <v>6167960.7800000003</v>
      </c>
      <c r="H45" s="265"/>
      <c r="K45" s="267"/>
    </row>
    <row r="46" spans="1:11" ht="13.8" thickBot="1">
      <c r="A46" s="258">
        <v>23</v>
      </c>
      <c r="B46" s="43" t="s">
        <v>352</v>
      </c>
      <c r="C46" s="49">
        <f>+C33+C35+C36-C38+C40+C42+C43+C44+C45+C41</f>
        <v>10883352.410000002</v>
      </c>
      <c r="D46" s="30"/>
      <c r="E46" s="50" t="s">
        <v>353</v>
      </c>
      <c r="F46" s="253"/>
      <c r="K46" s="267"/>
    </row>
    <row r="47" spans="1:11">
      <c r="A47" s="225"/>
      <c r="B47" s="40" t="s">
        <v>354</v>
      </c>
      <c r="C47" s="259"/>
      <c r="D47" s="32">
        <v>50</v>
      </c>
      <c r="E47" s="232" t="s">
        <v>355</v>
      </c>
      <c r="F47" s="259"/>
      <c r="K47" s="265"/>
    </row>
    <row r="48" spans="1:11">
      <c r="A48" s="260">
        <v>24</v>
      </c>
      <c r="B48" s="229" t="s">
        <v>356</v>
      </c>
      <c r="C48" s="253">
        <v>0</v>
      </c>
      <c r="D48" s="29"/>
      <c r="E48" s="261" t="s">
        <v>357</v>
      </c>
      <c r="F48" s="253">
        <v>0</v>
      </c>
      <c r="K48" s="265"/>
    </row>
    <row r="49" spans="1:11">
      <c r="A49" s="32">
        <v>25</v>
      </c>
      <c r="B49" s="225" t="s">
        <v>358</v>
      </c>
      <c r="C49" s="259"/>
      <c r="D49" s="32">
        <v>51</v>
      </c>
      <c r="E49" s="225" t="s">
        <v>359</v>
      </c>
      <c r="F49" s="259"/>
      <c r="K49" s="265"/>
    </row>
    <row r="50" spans="1:11">
      <c r="A50" s="229"/>
      <c r="B50" s="244" t="s">
        <v>360</v>
      </c>
      <c r="C50" s="253">
        <v>0</v>
      </c>
      <c r="D50" s="29"/>
      <c r="E50" s="244" t="s">
        <v>361</v>
      </c>
      <c r="F50" s="253">
        <v>0</v>
      </c>
      <c r="K50" s="265"/>
    </row>
    <row r="51" spans="1:11">
      <c r="A51" s="32">
        <v>26</v>
      </c>
      <c r="B51" s="225" t="s">
        <v>362</v>
      </c>
      <c r="C51" s="259"/>
      <c r="D51" s="243"/>
      <c r="E51" s="225"/>
      <c r="F51" s="259"/>
      <c r="K51" s="267"/>
    </row>
    <row r="52" spans="1:11">
      <c r="A52" s="243"/>
      <c r="B52" s="246" t="s">
        <v>363</v>
      </c>
      <c r="C52" s="259"/>
      <c r="D52" s="243">
        <v>52</v>
      </c>
      <c r="E52" s="225" t="s">
        <v>364</v>
      </c>
      <c r="F52" s="259"/>
      <c r="K52" s="265"/>
    </row>
    <row r="53" spans="1:11" ht="13.8" thickBot="1">
      <c r="A53" s="29"/>
      <c r="B53" s="244" t="s">
        <v>365</v>
      </c>
      <c r="C53" s="259">
        <v>0</v>
      </c>
      <c r="D53" s="29"/>
      <c r="E53" s="261" t="s">
        <v>366</v>
      </c>
      <c r="F53" s="259">
        <v>0</v>
      </c>
      <c r="K53" s="265"/>
    </row>
    <row r="54" spans="1:11" ht="13.8" thickBot="1">
      <c r="A54" s="33">
        <v>27</v>
      </c>
      <c r="B54" s="43" t="s">
        <v>367</v>
      </c>
      <c r="C54" s="49">
        <f>C48+C50+C53</f>
        <v>0</v>
      </c>
      <c r="D54" s="30">
        <v>53</v>
      </c>
      <c r="E54" s="51" t="s">
        <v>368</v>
      </c>
      <c r="F54" s="49">
        <f>+F53+F50+F48</f>
        <v>0</v>
      </c>
      <c r="K54" s="265"/>
    </row>
    <row r="55" spans="1:11">
      <c r="A55" s="243"/>
      <c r="B55" s="397" t="s">
        <v>698</v>
      </c>
      <c r="C55" s="399"/>
      <c r="D55" s="224"/>
      <c r="E55" s="397" t="s">
        <v>699</v>
      </c>
      <c r="F55" s="399"/>
      <c r="K55" s="265"/>
    </row>
    <row r="56" spans="1:11">
      <c r="A56" s="29">
        <v>28</v>
      </c>
      <c r="B56" s="241" t="s">
        <v>700</v>
      </c>
      <c r="C56" s="253">
        <v>218078</v>
      </c>
      <c r="D56" s="29">
        <v>54</v>
      </c>
      <c r="E56" s="241" t="s">
        <v>700</v>
      </c>
      <c r="F56" s="253">
        <v>389515</v>
      </c>
      <c r="K56" s="265"/>
    </row>
    <row r="57" spans="1:11" ht="27" thickBot="1">
      <c r="A57" s="262">
        <v>29</v>
      </c>
      <c r="B57" s="398" t="s">
        <v>701</v>
      </c>
      <c r="C57" s="400">
        <f>+C54+C46+C21+C22+C30+C56</f>
        <v>35896101.490000002</v>
      </c>
      <c r="D57" s="263">
        <v>55</v>
      </c>
      <c r="E57" s="45" t="s">
        <v>369</v>
      </c>
      <c r="F57" s="400">
        <f>+F54+F45+F28+F16+F33+F56</f>
        <v>35896100.629999995</v>
      </c>
      <c r="K57" s="265"/>
    </row>
    <row r="58" spans="1:11">
      <c r="A58" s="226"/>
      <c r="B58" s="226"/>
      <c r="C58" s="404"/>
      <c r="D58" s="226"/>
      <c r="E58" s="226"/>
      <c r="F58" s="405"/>
    </row>
    <row r="59" spans="1:11">
      <c r="A59" s="226"/>
      <c r="B59" s="226"/>
      <c r="C59" s="404"/>
      <c r="D59" s="226"/>
      <c r="E59" s="226"/>
      <c r="F59" s="405"/>
    </row>
    <row r="60" spans="1:11">
      <c r="A60" s="226"/>
      <c r="B60" s="226"/>
      <c r="C60" s="264"/>
      <c r="D60" s="226"/>
      <c r="E60" s="226"/>
      <c r="F60" s="405"/>
    </row>
    <row r="61" spans="1:11">
      <c r="A61" s="226"/>
      <c r="B61" s="226"/>
      <c r="C61" s="264"/>
      <c r="D61" s="226"/>
      <c r="E61" s="226"/>
      <c r="F61" s="405"/>
    </row>
    <row r="62" spans="1:11">
      <c r="A62" s="226"/>
      <c r="B62" s="226"/>
      <c r="C62" s="264"/>
      <c r="D62" s="226"/>
      <c r="E62" s="226"/>
      <c r="F62" s="405"/>
    </row>
    <row r="63" spans="1:11">
      <c r="A63" s="226"/>
      <c r="B63" s="226"/>
      <c r="C63" s="264"/>
      <c r="D63" s="226"/>
      <c r="E63" s="226"/>
      <c r="F63" s="405"/>
    </row>
    <row r="64" spans="1:11">
      <c r="A64" s="226"/>
      <c r="B64" s="226"/>
      <c r="C64" s="264"/>
      <c r="D64" s="226"/>
      <c r="E64" s="226"/>
      <c r="F64" s="405"/>
    </row>
    <row r="65" spans="1:6">
      <c r="A65" s="226"/>
      <c r="B65" s="226"/>
      <c r="C65" s="264"/>
      <c r="D65" s="226"/>
      <c r="E65" s="226"/>
      <c r="F65" s="226"/>
    </row>
    <row r="66" spans="1:6">
      <c r="A66" s="226"/>
      <c r="B66" s="226"/>
      <c r="C66" s="264"/>
      <c r="D66" s="226"/>
      <c r="E66" s="226"/>
      <c r="F66" s="226"/>
    </row>
    <row r="67" spans="1:6">
      <c r="A67" s="226"/>
      <c r="B67" s="226"/>
      <c r="C67" s="264"/>
      <c r="D67" s="226"/>
      <c r="E67" s="226"/>
      <c r="F67" s="226"/>
    </row>
    <row r="68" spans="1:6">
      <c r="A68" s="226"/>
      <c r="B68" s="226"/>
      <c r="C68" s="264"/>
      <c r="D68" s="226"/>
      <c r="E68" s="226"/>
      <c r="F68" s="226"/>
    </row>
    <row r="69" spans="1:6">
      <c r="A69" s="226"/>
      <c r="B69" s="226"/>
      <c r="C69" s="264"/>
      <c r="D69" s="226"/>
      <c r="E69" s="226"/>
      <c r="F69" s="226"/>
    </row>
    <row r="70" spans="1:6">
      <c r="A70" s="226"/>
      <c r="B70" s="226"/>
      <c r="C70" s="226"/>
      <c r="D70" s="226"/>
      <c r="E70" s="226"/>
      <c r="F70" s="226"/>
    </row>
    <row r="71" spans="1:6">
      <c r="A71" s="226"/>
      <c r="B71" s="226"/>
      <c r="C71" s="226"/>
      <c r="D71" s="226"/>
      <c r="E71" s="226"/>
      <c r="F71" s="226"/>
    </row>
    <row r="72" spans="1:6">
      <c r="A72" s="226"/>
      <c r="B72" s="226"/>
      <c r="C72" s="226"/>
      <c r="D72" s="226"/>
      <c r="E72" s="226"/>
      <c r="F72" s="226"/>
    </row>
    <row r="73" spans="1:6">
      <c r="A73" s="226"/>
      <c r="B73" s="226"/>
      <c r="C73" s="226"/>
      <c r="D73" s="226"/>
      <c r="E73" s="226"/>
      <c r="F73" s="226"/>
    </row>
    <row r="74" spans="1:6">
      <c r="A74" s="226"/>
      <c r="B74" s="226"/>
      <c r="C74" s="226"/>
      <c r="D74" s="226"/>
      <c r="E74" s="226"/>
      <c r="F74" s="226"/>
    </row>
    <row r="75" spans="1:6">
      <c r="A75" s="226"/>
      <c r="B75" s="226"/>
      <c r="C75" s="226"/>
      <c r="D75" s="226"/>
      <c r="E75" s="226"/>
      <c r="F75" s="226"/>
    </row>
    <row r="76" spans="1:6">
      <c r="A76" s="226"/>
      <c r="B76" s="226"/>
      <c r="C76" s="226"/>
      <c r="D76" s="226"/>
      <c r="E76" s="226"/>
      <c r="F76" s="226"/>
    </row>
    <row r="77" spans="1:6">
      <c r="A77" s="226"/>
      <c r="B77" s="226"/>
      <c r="C77" s="226"/>
      <c r="D77" s="226"/>
      <c r="E77" s="226"/>
      <c r="F77" s="226"/>
    </row>
  </sheetData>
  <mergeCells count="5">
    <mergeCell ref="A1:F1"/>
    <mergeCell ref="A2:F2"/>
    <mergeCell ref="A3:F3"/>
    <mergeCell ref="A4:F4"/>
    <mergeCell ref="A6:F6"/>
  </mergeCells>
  <pageMargins left="0.47" right="0.45" top="1" bottom="0.5" header="0.5" footer="0.5"/>
  <pageSetup scale="76" orientation="portrait"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3"/>
  <sheetViews>
    <sheetView topLeftCell="A16" zoomScale="90" workbookViewId="0">
      <selection activeCell="D25" sqref="D25"/>
    </sheetView>
  </sheetViews>
  <sheetFormatPr defaultRowHeight="13.2"/>
  <cols>
    <col min="1" max="1" width="5.1796875" style="1" customWidth="1"/>
    <col min="2" max="2" width="60" style="1" customWidth="1"/>
    <col min="3" max="3" width="13" style="1" customWidth="1"/>
    <col min="4" max="4" width="10.81640625" style="1" bestFit="1" customWidth="1"/>
    <col min="5" max="5" width="8.90625" style="1"/>
    <col min="6" max="6" width="11.54296875" style="265" bestFit="1" customWidth="1"/>
    <col min="7" max="251" width="8.90625" style="1"/>
    <col min="252" max="252" width="5.1796875" style="1" customWidth="1"/>
    <col min="253" max="253" width="60" style="1" customWidth="1"/>
    <col min="254" max="254" width="13" style="1" customWidth="1"/>
    <col min="255" max="507" width="8.90625" style="1"/>
    <col min="508" max="508" width="5.1796875" style="1" customWidth="1"/>
    <col min="509" max="509" width="60" style="1" customWidth="1"/>
    <col min="510" max="510" width="13" style="1" customWidth="1"/>
    <col min="511" max="763" width="8.90625" style="1"/>
    <col min="764" max="764" width="5.1796875" style="1" customWidth="1"/>
    <col min="765" max="765" width="60" style="1" customWidth="1"/>
    <col min="766" max="766" width="13" style="1" customWidth="1"/>
    <col min="767" max="1019" width="8.90625" style="1"/>
    <col min="1020" max="1020" width="5.1796875" style="1" customWidth="1"/>
    <col min="1021" max="1021" width="60" style="1" customWidth="1"/>
    <col min="1022" max="1022" width="13" style="1" customWidth="1"/>
    <col min="1023" max="1275" width="8.90625" style="1"/>
    <col min="1276" max="1276" width="5.1796875" style="1" customWidth="1"/>
    <col min="1277" max="1277" width="60" style="1" customWidth="1"/>
    <col min="1278" max="1278" width="13" style="1" customWidth="1"/>
    <col min="1279" max="1531" width="8.90625" style="1"/>
    <col min="1532" max="1532" width="5.1796875" style="1" customWidth="1"/>
    <col min="1533" max="1533" width="60" style="1" customWidth="1"/>
    <col min="1534" max="1534" width="13" style="1" customWidth="1"/>
    <col min="1535" max="1787" width="8.90625" style="1"/>
    <col min="1788" max="1788" width="5.1796875" style="1" customWidth="1"/>
    <col min="1789" max="1789" width="60" style="1" customWidth="1"/>
    <col min="1790" max="1790" width="13" style="1" customWidth="1"/>
    <col min="1791" max="2043" width="8.90625" style="1"/>
    <col min="2044" max="2044" width="5.1796875" style="1" customWidth="1"/>
    <col min="2045" max="2045" width="60" style="1" customWidth="1"/>
    <col min="2046" max="2046" width="13" style="1" customWidth="1"/>
    <col min="2047" max="2299" width="8.90625" style="1"/>
    <col min="2300" max="2300" width="5.1796875" style="1" customWidth="1"/>
    <col min="2301" max="2301" width="60" style="1" customWidth="1"/>
    <col min="2302" max="2302" width="13" style="1" customWidth="1"/>
    <col min="2303" max="2555" width="8.90625" style="1"/>
    <col min="2556" max="2556" width="5.1796875" style="1" customWidth="1"/>
    <col min="2557" max="2557" width="60" style="1" customWidth="1"/>
    <col min="2558" max="2558" width="13" style="1" customWidth="1"/>
    <col min="2559" max="2811" width="8.90625" style="1"/>
    <col min="2812" max="2812" width="5.1796875" style="1" customWidth="1"/>
    <col min="2813" max="2813" width="60" style="1" customWidth="1"/>
    <col min="2814" max="2814" width="13" style="1" customWidth="1"/>
    <col min="2815" max="3067" width="8.90625" style="1"/>
    <col min="3068" max="3068" width="5.1796875" style="1" customWidth="1"/>
    <col min="3069" max="3069" width="60" style="1" customWidth="1"/>
    <col min="3070" max="3070" width="13" style="1" customWidth="1"/>
    <col min="3071" max="3323" width="8.90625" style="1"/>
    <col min="3324" max="3324" width="5.1796875" style="1" customWidth="1"/>
    <col min="3325" max="3325" width="60" style="1" customWidth="1"/>
    <col min="3326" max="3326" width="13" style="1" customWidth="1"/>
    <col min="3327" max="3579" width="8.90625" style="1"/>
    <col min="3580" max="3580" width="5.1796875" style="1" customWidth="1"/>
    <col min="3581" max="3581" width="60" style="1" customWidth="1"/>
    <col min="3582" max="3582" width="13" style="1" customWidth="1"/>
    <col min="3583" max="3835" width="8.90625" style="1"/>
    <col min="3836" max="3836" width="5.1796875" style="1" customWidth="1"/>
    <col min="3837" max="3837" width="60" style="1" customWidth="1"/>
    <col min="3838" max="3838" width="13" style="1" customWidth="1"/>
    <col min="3839" max="4091" width="8.90625" style="1"/>
    <col min="4092" max="4092" width="5.1796875" style="1" customWidth="1"/>
    <col min="4093" max="4093" width="60" style="1" customWidth="1"/>
    <col min="4094" max="4094" width="13" style="1" customWidth="1"/>
    <col min="4095" max="4347" width="8.90625" style="1"/>
    <col min="4348" max="4348" width="5.1796875" style="1" customWidth="1"/>
    <col min="4349" max="4349" width="60" style="1" customWidth="1"/>
    <col min="4350" max="4350" width="13" style="1" customWidth="1"/>
    <col min="4351" max="4603" width="8.90625" style="1"/>
    <col min="4604" max="4604" width="5.1796875" style="1" customWidth="1"/>
    <col min="4605" max="4605" width="60" style="1" customWidth="1"/>
    <col min="4606" max="4606" width="13" style="1" customWidth="1"/>
    <col min="4607" max="4859" width="8.90625" style="1"/>
    <col min="4860" max="4860" width="5.1796875" style="1" customWidth="1"/>
    <col min="4861" max="4861" width="60" style="1" customWidth="1"/>
    <col min="4862" max="4862" width="13" style="1" customWidth="1"/>
    <col min="4863" max="5115" width="8.90625" style="1"/>
    <col min="5116" max="5116" width="5.1796875" style="1" customWidth="1"/>
    <col min="5117" max="5117" width="60" style="1" customWidth="1"/>
    <col min="5118" max="5118" width="13" style="1" customWidth="1"/>
    <col min="5119" max="5371" width="8.90625" style="1"/>
    <col min="5372" max="5372" width="5.1796875" style="1" customWidth="1"/>
    <col min="5373" max="5373" width="60" style="1" customWidth="1"/>
    <col min="5374" max="5374" width="13" style="1" customWidth="1"/>
    <col min="5375" max="5627" width="8.90625" style="1"/>
    <col min="5628" max="5628" width="5.1796875" style="1" customWidth="1"/>
    <col min="5629" max="5629" width="60" style="1" customWidth="1"/>
    <col min="5630" max="5630" width="13" style="1" customWidth="1"/>
    <col min="5631" max="5883" width="8.90625" style="1"/>
    <col min="5884" max="5884" width="5.1796875" style="1" customWidth="1"/>
    <col min="5885" max="5885" width="60" style="1" customWidth="1"/>
    <col min="5886" max="5886" width="13" style="1" customWidth="1"/>
    <col min="5887" max="6139" width="8.90625" style="1"/>
    <col min="6140" max="6140" width="5.1796875" style="1" customWidth="1"/>
    <col min="6141" max="6141" width="60" style="1" customWidth="1"/>
    <col min="6142" max="6142" width="13" style="1" customWidth="1"/>
    <col min="6143" max="6395" width="8.90625" style="1"/>
    <col min="6396" max="6396" width="5.1796875" style="1" customWidth="1"/>
    <col min="6397" max="6397" width="60" style="1" customWidth="1"/>
    <col min="6398" max="6398" width="13" style="1" customWidth="1"/>
    <col min="6399" max="6651" width="8.90625" style="1"/>
    <col min="6652" max="6652" width="5.1796875" style="1" customWidth="1"/>
    <col min="6653" max="6653" width="60" style="1" customWidth="1"/>
    <col min="6654" max="6654" width="13" style="1" customWidth="1"/>
    <col min="6655" max="6907" width="8.90625" style="1"/>
    <col min="6908" max="6908" width="5.1796875" style="1" customWidth="1"/>
    <col min="6909" max="6909" width="60" style="1" customWidth="1"/>
    <col min="6910" max="6910" width="13" style="1" customWidth="1"/>
    <col min="6911" max="7163" width="8.90625" style="1"/>
    <col min="7164" max="7164" width="5.1796875" style="1" customWidth="1"/>
    <col min="7165" max="7165" width="60" style="1" customWidth="1"/>
    <col min="7166" max="7166" width="13" style="1" customWidth="1"/>
    <col min="7167" max="7419" width="8.90625" style="1"/>
    <col min="7420" max="7420" width="5.1796875" style="1" customWidth="1"/>
    <col min="7421" max="7421" width="60" style="1" customWidth="1"/>
    <col min="7422" max="7422" width="13" style="1" customWidth="1"/>
    <col min="7423" max="7675" width="8.90625" style="1"/>
    <col min="7676" max="7676" width="5.1796875" style="1" customWidth="1"/>
    <col min="7677" max="7677" width="60" style="1" customWidth="1"/>
    <col min="7678" max="7678" width="13" style="1" customWidth="1"/>
    <col min="7679" max="7931" width="8.90625" style="1"/>
    <col min="7932" max="7932" width="5.1796875" style="1" customWidth="1"/>
    <col min="7933" max="7933" width="60" style="1" customWidth="1"/>
    <col min="7934" max="7934" width="13" style="1" customWidth="1"/>
    <col min="7935" max="8187" width="8.90625" style="1"/>
    <col min="8188" max="8188" width="5.1796875" style="1" customWidth="1"/>
    <col min="8189" max="8189" width="60" style="1" customWidth="1"/>
    <col min="8190" max="8190" width="13" style="1" customWidth="1"/>
    <col min="8191" max="8443" width="8.90625" style="1"/>
    <col min="8444" max="8444" width="5.1796875" style="1" customWidth="1"/>
    <col min="8445" max="8445" width="60" style="1" customWidth="1"/>
    <col min="8446" max="8446" width="13" style="1" customWidth="1"/>
    <col min="8447" max="8699" width="8.90625" style="1"/>
    <col min="8700" max="8700" width="5.1796875" style="1" customWidth="1"/>
    <col min="8701" max="8701" width="60" style="1" customWidth="1"/>
    <col min="8702" max="8702" width="13" style="1" customWidth="1"/>
    <col min="8703" max="8955" width="8.90625" style="1"/>
    <col min="8956" max="8956" width="5.1796875" style="1" customWidth="1"/>
    <col min="8957" max="8957" width="60" style="1" customWidth="1"/>
    <col min="8958" max="8958" width="13" style="1" customWidth="1"/>
    <col min="8959" max="9211" width="8.90625" style="1"/>
    <col min="9212" max="9212" width="5.1796875" style="1" customWidth="1"/>
    <col min="9213" max="9213" width="60" style="1" customWidth="1"/>
    <col min="9214" max="9214" width="13" style="1" customWidth="1"/>
    <col min="9215" max="9467" width="8.90625" style="1"/>
    <col min="9468" max="9468" width="5.1796875" style="1" customWidth="1"/>
    <col min="9469" max="9469" width="60" style="1" customWidth="1"/>
    <col min="9470" max="9470" width="13" style="1" customWidth="1"/>
    <col min="9471" max="9723" width="8.90625" style="1"/>
    <col min="9724" max="9724" width="5.1796875" style="1" customWidth="1"/>
    <col min="9725" max="9725" width="60" style="1" customWidth="1"/>
    <col min="9726" max="9726" width="13" style="1" customWidth="1"/>
    <col min="9727" max="9979" width="8.90625" style="1"/>
    <col min="9980" max="9980" width="5.1796875" style="1" customWidth="1"/>
    <col min="9981" max="9981" width="60" style="1" customWidth="1"/>
    <col min="9982" max="9982" width="13" style="1" customWidth="1"/>
    <col min="9983" max="10235" width="8.90625" style="1"/>
    <col min="10236" max="10236" width="5.1796875" style="1" customWidth="1"/>
    <col min="10237" max="10237" width="60" style="1" customWidth="1"/>
    <col min="10238" max="10238" width="13" style="1" customWidth="1"/>
    <col min="10239" max="10491" width="8.90625" style="1"/>
    <col min="10492" max="10492" width="5.1796875" style="1" customWidth="1"/>
    <col min="10493" max="10493" width="60" style="1" customWidth="1"/>
    <col min="10494" max="10494" width="13" style="1" customWidth="1"/>
    <col min="10495" max="10747" width="8.90625" style="1"/>
    <col min="10748" max="10748" width="5.1796875" style="1" customWidth="1"/>
    <col min="10749" max="10749" width="60" style="1" customWidth="1"/>
    <col min="10750" max="10750" width="13" style="1" customWidth="1"/>
    <col min="10751" max="11003" width="8.90625" style="1"/>
    <col min="11004" max="11004" width="5.1796875" style="1" customWidth="1"/>
    <col min="11005" max="11005" width="60" style="1" customWidth="1"/>
    <col min="11006" max="11006" width="13" style="1" customWidth="1"/>
    <col min="11007" max="11259" width="8.90625" style="1"/>
    <col min="11260" max="11260" width="5.1796875" style="1" customWidth="1"/>
    <col min="11261" max="11261" width="60" style="1" customWidth="1"/>
    <col min="11262" max="11262" width="13" style="1" customWidth="1"/>
    <col min="11263" max="11515" width="8.90625" style="1"/>
    <col min="11516" max="11516" width="5.1796875" style="1" customWidth="1"/>
    <col min="11517" max="11517" width="60" style="1" customWidth="1"/>
    <col min="11518" max="11518" width="13" style="1" customWidth="1"/>
    <col min="11519" max="11771" width="8.90625" style="1"/>
    <col min="11772" max="11772" width="5.1796875" style="1" customWidth="1"/>
    <col min="11773" max="11773" width="60" style="1" customWidth="1"/>
    <col min="11774" max="11774" width="13" style="1" customWidth="1"/>
    <col min="11775" max="12027" width="8.90625" style="1"/>
    <col min="12028" max="12028" width="5.1796875" style="1" customWidth="1"/>
    <col min="12029" max="12029" width="60" style="1" customWidth="1"/>
    <col min="12030" max="12030" width="13" style="1" customWidth="1"/>
    <col min="12031" max="12283" width="8.90625" style="1"/>
    <col min="12284" max="12284" width="5.1796875" style="1" customWidth="1"/>
    <col min="12285" max="12285" width="60" style="1" customWidth="1"/>
    <col min="12286" max="12286" width="13" style="1" customWidth="1"/>
    <col min="12287" max="12539" width="8.90625" style="1"/>
    <col min="12540" max="12540" width="5.1796875" style="1" customWidth="1"/>
    <col min="12541" max="12541" width="60" style="1" customWidth="1"/>
    <col min="12542" max="12542" width="13" style="1" customWidth="1"/>
    <col min="12543" max="12795" width="8.90625" style="1"/>
    <col min="12796" max="12796" width="5.1796875" style="1" customWidth="1"/>
    <col min="12797" max="12797" width="60" style="1" customWidth="1"/>
    <col min="12798" max="12798" width="13" style="1" customWidth="1"/>
    <col min="12799" max="13051" width="8.90625" style="1"/>
    <col min="13052" max="13052" width="5.1796875" style="1" customWidth="1"/>
    <col min="13053" max="13053" width="60" style="1" customWidth="1"/>
    <col min="13054" max="13054" width="13" style="1" customWidth="1"/>
    <col min="13055" max="13307" width="8.90625" style="1"/>
    <col min="13308" max="13308" width="5.1796875" style="1" customWidth="1"/>
    <col min="13309" max="13309" width="60" style="1" customWidth="1"/>
    <col min="13310" max="13310" width="13" style="1" customWidth="1"/>
    <col min="13311" max="13563" width="8.90625" style="1"/>
    <col min="13564" max="13564" width="5.1796875" style="1" customWidth="1"/>
    <col min="13565" max="13565" width="60" style="1" customWidth="1"/>
    <col min="13566" max="13566" width="13" style="1" customWidth="1"/>
    <col min="13567" max="13819" width="8.90625" style="1"/>
    <col min="13820" max="13820" width="5.1796875" style="1" customWidth="1"/>
    <col min="13821" max="13821" width="60" style="1" customWidth="1"/>
    <col min="13822" max="13822" width="13" style="1" customWidth="1"/>
    <col min="13823" max="14075" width="8.90625" style="1"/>
    <col min="14076" max="14076" width="5.1796875" style="1" customWidth="1"/>
    <col min="14077" max="14077" width="60" style="1" customWidth="1"/>
    <col min="14078" max="14078" width="13" style="1" customWidth="1"/>
    <col min="14079" max="14331" width="8.90625" style="1"/>
    <col min="14332" max="14332" width="5.1796875" style="1" customWidth="1"/>
    <col min="14333" max="14333" width="60" style="1" customWidth="1"/>
    <col min="14334" max="14334" width="13" style="1" customWidth="1"/>
    <col min="14335" max="14587" width="8.90625" style="1"/>
    <col min="14588" max="14588" width="5.1796875" style="1" customWidth="1"/>
    <col min="14589" max="14589" width="60" style="1" customWidth="1"/>
    <col min="14590" max="14590" width="13" style="1" customWidth="1"/>
    <col min="14591" max="14843" width="8.90625" style="1"/>
    <col min="14844" max="14844" width="5.1796875" style="1" customWidth="1"/>
    <col min="14845" max="14845" width="60" style="1" customWidth="1"/>
    <col min="14846" max="14846" width="13" style="1" customWidth="1"/>
    <col min="14847" max="15099" width="8.90625" style="1"/>
    <col min="15100" max="15100" width="5.1796875" style="1" customWidth="1"/>
    <col min="15101" max="15101" width="60" style="1" customWidth="1"/>
    <col min="15102" max="15102" width="13" style="1" customWidth="1"/>
    <col min="15103" max="15355" width="8.90625" style="1"/>
    <col min="15356" max="15356" width="5.1796875" style="1" customWidth="1"/>
    <col min="15357" max="15357" width="60" style="1" customWidth="1"/>
    <col min="15358" max="15358" width="13" style="1" customWidth="1"/>
    <col min="15359" max="15611" width="8.90625" style="1"/>
    <col min="15612" max="15612" width="5.1796875" style="1" customWidth="1"/>
    <col min="15613" max="15613" width="60" style="1" customWidth="1"/>
    <col min="15614" max="15614" width="13" style="1" customWidth="1"/>
    <col min="15615" max="15867" width="8.90625" style="1"/>
    <col min="15868" max="15868" width="5.1796875" style="1" customWidth="1"/>
    <col min="15869" max="15869" width="60" style="1" customWidth="1"/>
    <col min="15870" max="15870" width="13" style="1" customWidth="1"/>
    <col min="15871" max="16123" width="8.90625" style="1"/>
    <col min="16124" max="16124" width="5.1796875" style="1" customWidth="1"/>
    <col min="16125" max="16125" width="60" style="1" customWidth="1"/>
    <col min="16126" max="16126" width="13" style="1" customWidth="1"/>
    <col min="16127" max="16384" width="8.90625" style="1"/>
  </cols>
  <sheetData>
    <row r="1" spans="1:9" ht="15.6">
      <c r="A1" s="465" t="str">
        <f>+'Balance sheet Sched 2'!A1:F1</f>
        <v>ALP Utilities</v>
      </c>
      <c r="B1" s="465"/>
      <c r="C1" s="465"/>
      <c r="D1" s="3"/>
    </row>
    <row r="2" spans="1:9" ht="15">
      <c r="A2" s="466" t="s">
        <v>282</v>
      </c>
      <c r="B2" s="466"/>
      <c r="C2" s="466"/>
      <c r="D2" s="3"/>
    </row>
    <row r="3" spans="1:9" ht="15">
      <c r="A3" s="466" t="s">
        <v>370</v>
      </c>
      <c r="B3" s="466"/>
      <c r="C3" s="466"/>
      <c r="D3" s="3"/>
    </row>
    <row r="4" spans="1:9" ht="15.6">
      <c r="A4" s="467" t="str">
        <f>+'Balance sheet Sched 2'!A4:F4</f>
        <v>For the 12 months ended 12/31/2015</v>
      </c>
      <c r="B4" s="467"/>
      <c r="C4" s="467"/>
      <c r="D4" s="4"/>
    </row>
    <row r="5" spans="1:9">
      <c r="A5" s="268"/>
      <c r="B5" s="268"/>
      <c r="C5" s="268"/>
      <c r="D5" s="268"/>
    </row>
    <row r="6" spans="1:9" ht="13.8">
      <c r="A6" s="468" t="s">
        <v>371</v>
      </c>
      <c r="B6" s="468"/>
      <c r="C6" s="468"/>
      <c r="D6" s="5"/>
    </row>
    <row r="7" spans="1:9">
      <c r="A7" s="281" t="s">
        <v>4</v>
      </c>
      <c r="B7" s="282"/>
      <c r="C7" s="69" t="s">
        <v>7</v>
      </c>
    </row>
    <row r="8" spans="1:9">
      <c r="A8" s="229" t="s">
        <v>6</v>
      </c>
      <c r="B8" s="283"/>
      <c r="C8" s="30" t="s">
        <v>287</v>
      </c>
      <c r="F8" s="421"/>
      <c r="G8" s="44"/>
      <c r="H8" s="44"/>
      <c r="I8" s="44"/>
    </row>
    <row r="9" spans="1:9">
      <c r="A9" s="29">
        <v>1</v>
      </c>
      <c r="B9" s="283" t="s">
        <v>372</v>
      </c>
      <c r="C9" s="269">
        <v>24938812</v>
      </c>
      <c r="F9" s="421"/>
      <c r="G9" s="44"/>
      <c r="H9" s="44"/>
      <c r="I9" s="44"/>
    </row>
    <row r="10" spans="1:9">
      <c r="A10" s="29">
        <v>2</v>
      </c>
      <c r="B10" s="283" t="s">
        <v>373</v>
      </c>
      <c r="C10" s="271">
        <f>+'Op &amp; Maint Sched 7'!D31+'Op &amp; Maint Sched 7'!C31</f>
        <v>21063467.609999999</v>
      </c>
      <c r="D10" s="265"/>
      <c r="E10" s="266"/>
      <c r="F10" s="421"/>
      <c r="G10" s="44"/>
      <c r="H10" s="44"/>
      <c r="I10" s="44"/>
    </row>
    <row r="11" spans="1:9">
      <c r="A11" s="29">
        <v>3</v>
      </c>
      <c r="B11" s="283" t="s">
        <v>374</v>
      </c>
      <c r="C11" s="271">
        <f>+'Op &amp; Maint Sched 7'!E31</f>
        <v>768459</v>
      </c>
      <c r="D11" s="265"/>
      <c r="E11" s="266"/>
      <c r="F11" s="421"/>
      <c r="G11" s="44"/>
      <c r="H11" s="44"/>
      <c r="I11" s="44"/>
    </row>
    <row r="12" spans="1:9">
      <c r="A12" s="33">
        <v>4</v>
      </c>
      <c r="B12" s="240" t="s">
        <v>375</v>
      </c>
      <c r="C12" s="270">
        <v>1225280</v>
      </c>
      <c r="D12" s="265"/>
      <c r="E12" s="266"/>
      <c r="F12" s="421"/>
      <c r="G12" s="44"/>
      <c r="H12" s="44"/>
      <c r="I12" s="44"/>
    </row>
    <row r="13" spans="1:9">
      <c r="A13" s="29">
        <v>5</v>
      </c>
      <c r="B13" s="283" t="s">
        <v>376</v>
      </c>
      <c r="C13" s="271"/>
      <c r="F13" s="421"/>
      <c r="G13" s="44"/>
      <c r="H13" s="44"/>
      <c r="I13" s="44"/>
    </row>
    <row r="14" spans="1:9" ht="13.8" thickBot="1">
      <c r="A14" s="243">
        <v>6</v>
      </c>
      <c r="B14" s="238" t="s">
        <v>377</v>
      </c>
      <c r="C14" s="274">
        <v>1069558</v>
      </c>
      <c r="E14" s="266"/>
      <c r="F14" s="421"/>
      <c r="G14" s="44"/>
      <c r="H14" s="44"/>
      <c r="I14" s="44"/>
    </row>
    <row r="15" spans="1:9" ht="13.8" thickBot="1">
      <c r="A15" s="56">
        <v>7</v>
      </c>
      <c r="B15" s="57" t="s">
        <v>378</v>
      </c>
      <c r="C15" s="54">
        <f>SUM(C10:C14)</f>
        <v>24126764.609999999</v>
      </c>
    </row>
    <row r="16" spans="1:9" ht="13.8" thickBot="1">
      <c r="A16" s="56">
        <v>8</v>
      </c>
      <c r="B16" s="55" t="s">
        <v>379</v>
      </c>
      <c r="C16" s="54">
        <f>+C9-C15</f>
        <v>812047.3900000006</v>
      </c>
    </row>
    <row r="17" spans="1:11" ht="13.8" thickBot="1">
      <c r="A17" s="243">
        <v>9</v>
      </c>
      <c r="B17" s="238" t="s">
        <v>380</v>
      </c>
      <c r="C17" s="9">
        <v>0</v>
      </c>
      <c r="D17" s="450"/>
      <c r="E17" s="44"/>
      <c r="F17" s="421"/>
      <c r="G17" s="44"/>
    </row>
    <row r="18" spans="1:11" ht="13.8" thickBot="1">
      <c r="A18" s="56">
        <v>10</v>
      </c>
      <c r="B18" s="57" t="s">
        <v>381</v>
      </c>
      <c r="C18" s="54">
        <f>+C17+C16</f>
        <v>812047.3900000006</v>
      </c>
    </row>
    <row r="19" spans="1:11">
      <c r="A19" s="29">
        <v>11</v>
      </c>
      <c r="B19" s="283" t="s">
        <v>382</v>
      </c>
      <c r="C19" s="271">
        <v>202384</v>
      </c>
      <c r="F19" s="265">
        <f>114423+87961-C19</f>
        <v>0</v>
      </c>
    </row>
    <row r="20" spans="1:11">
      <c r="A20" s="29">
        <v>12</v>
      </c>
      <c r="B20" s="283" t="s">
        <v>383</v>
      </c>
      <c r="C20" s="8">
        <v>125581</v>
      </c>
      <c r="F20" s="421"/>
      <c r="G20" s="44"/>
      <c r="H20" s="44"/>
      <c r="I20" s="44"/>
      <c r="J20" s="44"/>
      <c r="K20" s="44"/>
    </row>
    <row r="21" spans="1:11">
      <c r="A21" s="29">
        <v>13</v>
      </c>
      <c r="B21" s="283" t="s">
        <v>384</v>
      </c>
      <c r="C21" s="8">
        <v>0</v>
      </c>
      <c r="F21" s="421"/>
      <c r="G21" s="44"/>
      <c r="H21" s="44"/>
      <c r="I21" s="44"/>
      <c r="J21" s="44"/>
      <c r="K21" s="44"/>
    </row>
    <row r="22" spans="1:11" ht="13.8" thickBot="1">
      <c r="A22" s="243">
        <v>14</v>
      </c>
      <c r="B22" s="238" t="s">
        <v>385</v>
      </c>
      <c r="C22" s="9">
        <v>0</v>
      </c>
    </row>
    <row r="23" spans="1:11" ht="13.8" thickBot="1">
      <c r="A23" s="56">
        <v>15</v>
      </c>
      <c r="B23" s="57" t="s">
        <v>386</v>
      </c>
      <c r="C23" s="54">
        <f>+C18+C19-C20-C21-C22</f>
        <v>888850.3900000006</v>
      </c>
    </row>
    <row r="24" spans="1:11" ht="13.8">
      <c r="A24" s="29">
        <v>16</v>
      </c>
      <c r="B24" s="283" t="s">
        <v>387</v>
      </c>
      <c r="C24" s="271">
        <v>132207</v>
      </c>
      <c r="D24" s="86" t="s">
        <v>693</v>
      </c>
    </row>
    <row r="25" spans="1:11">
      <c r="A25" s="29">
        <v>17</v>
      </c>
      <c r="B25" s="283" t="s">
        <v>388</v>
      </c>
      <c r="C25" s="271">
        <v>26220</v>
      </c>
      <c r="D25" s="421"/>
    </row>
    <row r="26" spans="1:11" ht="13.8" thickBot="1">
      <c r="A26" s="243">
        <v>18</v>
      </c>
      <c r="B26" s="238" t="s">
        <v>389</v>
      </c>
      <c r="C26" s="9">
        <v>0</v>
      </c>
    </row>
    <row r="27" spans="1:11" ht="13.8" thickBot="1">
      <c r="A27" s="56">
        <v>19</v>
      </c>
      <c r="B27" s="57" t="s">
        <v>390</v>
      </c>
      <c r="C27" s="54">
        <f>SUM(C24:C26)</f>
        <v>158427</v>
      </c>
    </row>
    <row r="28" spans="1:11" ht="13.8" thickBot="1">
      <c r="A28" s="56">
        <v>20</v>
      </c>
      <c r="B28" s="57" t="s">
        <v>391</v>
      </c>
      <c r="C28" s="54">
        <f>+C23-C27</f>
        <v>730423.3900000006</v>
      </c>
    </row>
    <row r="29" spans="1:11">
      <c r="A29" s="29">
        <v>21</v>
      </c>
      <c r="B29" s="283" t="s">
        <v>392</v>
      </c>
      <c r="C29" s="8">
        <v>0</v>
      </c>
    </row>
    <row r="30" spans="1:11" ht="13.8" thickBot="1">
      <c r="A30" s="243">
        <v>22</v>
      </c>
      <c r="B30" s="238" t="s">
        <v>393</v>
      </c>
      <c r="C30" s="9">
        <v>0</v>
      </c>
    </row>
    <row r="31" spans="1:11" ht="13.8" thickBot="1">
      <c r="A31" s="56">
        <v>23</v>
      </c>
      <c r="B31" s="55" t="s">
        <v>394</v>
      </c>
      <c r="C31" s="58">
        <f>SUM(C28:C30)</f>
        <v>730423.3900000006</v>
      </c>
      <c r="D31" s="284"/>
    </row>
    <row r="32" spans="1:11">
      <c r="A32" s="226"/>
      <c r="B32" s="226"/>
      <c r="C32" s="264"/>
    </row>
    <row r="33" spans="1:4">
      <c r="A33" s="226"/>
      <c r="B33" s="226"/>
      <c r="C33" s="264"/>
      <c r="D33" s="226"/>
    </row>
    <row r="34" spans="1:4">
      <c r="A34" s="226"/>
      <c r="B34" s="226"/>
      <c r="C34" s="264"/>
      <c r="D34" s="226"/>
    </row>
    <row r="35" spans="1:4">
      <c r="A35" s="226"/>
      <c r="B35" s="226"/>
      <c r="C35" s="264"/>
      <c r="D35" s="226"/>
    </row>
    <row r="36" spans="1:4">
      <c r="A36" s="226"/>
      <c r="B36" s="226"/>
      <c r="C36" s="264"/>
      <c r="D36" s="226"/>
    </row>
    <row r="37" spans="1:4">
      <c r="A37" s="226"/>
      <c r="B37" s="226"/>
      <c r="C37" s="264"/>
      <c r="D37" s="226"/>
    </row>
    <row r="38" spans="1:4">
      <c r="A38" s="226"/>
      <c r="B38" s="226"/>
      <c r="C38" s="264"/>
      <c r="D38" s="226"/>
    </row>
    <row r="39" spans="1:4">
      <c r="A39" s="226"/>
      <c r="B39" s="226"/>
      <c r="C39" s="264"/>
      <c r="D39" s="226"/>
    </row>
    <row r="40" spans="1:4">
      <c r="A40" s="226"/>
      <c r="B40" s="226"/>
      <c r="C40" s="264"/>
      <c r="D40" s="226"/>
    </row>
    <row r="41" spans="1:4">
      <c r="A41" s="226"/>
      <c r="B41" s="226"/>
      <c r="C41" s="264"/>
      <c r="D41" s="226"/>
    </row>
    <row r="42" spans="1:4">
      <c r="A42" s="226"/>
      <c r="B42" s="226"/>
      <c r="C42" s="264"/>
      <c r="D42" s="226"/>
    </row>
    <row r="43" spans="1:4">
      <c r="A43" s="226"/>
      <c r="B43" s="226"/>
      <c r="C43" s="264"/>
      <c r="D43" s="226"/>
    </row>
    <row r="44" spans="1:4">
      <c r="C44" s="70"/>
    </row>
    <row r="45" spans="1:4">
      <c r="C45" s="70"/>
    </row>
    <row r="46" spans="1:4">
      <c r="C46" s="70"/>
    </row>
    <row r="47" spans="1:4">
      <c r="C47" s="70"/>
    </row>
    <row r="48" spans="1:4">
      <c r="C48" s="70"/>
    </row>
    <row r="49" spans="3:3">
      <c r="C49" s="70"/>
    </row>
    <row r="50" spans="3:3">
      <c r="C50" s="70"/>
    </row>
    <row r="51" spans="3:3">
      <c r="C51" s="70"/>
    </row>
    <row r="52" spans="3:3">
      <c r="C52" s="70"/>
    </row>
    <row r="53" spans="3:3">
      <c r="C53" s="70"/>
    </row>
  </sheetData>
  <mergeCells count="5">
    <mergeCell ref="A1:C1"/>
    <mergeCell ref="A2:C2"/>
    <mergeCell ref="A3:C3"/>
    <mergeCell ref="A4:C4"/>
    <mergeCell ref="A6:C6"/>
  </mergeCells>
  <pageMargins left="0.75" right="0.75" top="1" bottom="1" header="0.5" footer="0.5"/>
  <pageSetup scale="89" orientation="portrait" horizontalDpi="4294967293" r:id="rId1"/>
  <headerFooter alignWithMargins="0">
    <oddFooter>&amp;L&amp;Z&amp;F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33"/>
  <sheetViews>
    <sheetView topLeftCell="A3" zoomScale="90" workbookViewId="0">
      <selection activeCell="B30" sqref="B30"/>
    </sheetView>
  </sheetViews>
  <sheetFormatPr defaultRowHeight="14.4"/>
  <cols>
    <col min="1" max="1" width="5.1796875" style="1" customWidth="1"/>
    <col min="2" max="2" width="22.81640625" style="1" customWidth="1"/>
    <col min="3" max="6" width="12.1796875" style="1" customWidth="1"/>
    <col min="7" max="7" width="2.36328125" style="1" customWidth="1"/>
    <col min="8" max="8" width="12.81640625" style="11" customWidth="1"/>
    <col min="9" max="9" width="0.81640625" style="11" customWidth="1"/>
    <col min="10" max="10" width="13.453125" style="11" customWidth="1"/>
    <col min="11" max="11" width="0.81640625" style="11" customWidth="1"/>
    <col min="12" max="12" width="8.90625" style="11"/>
    <col min="13" max="255" width="8.90625" style="1"/>
    <col min="256" max="256" width="5.1796875" style="1" customWidth="1"/>
    <col min="257" max="257" width="22.81640625" style="1" customWidth="1"/>
    <col min="258" max="262" width="12.1796875" style="1" customWidth="1"/>
    <col min="263" max="511" width="8.90625" style="1"/>
    <col min="512" max="512" width="5.1796875" style="1" customWidth="1"/>
    <col min="513" max="513" width="22.81640625" style="1" customWidth="1"/>
    <col min="514" max="518" width="12.1796875" style="1" customWidth="1"/>
    <col min="519" max="767" width="8.90625" style="1"/>
    <col min="768" max="768" width="5.1796875" style="1" customWidth="1"/>
    <col min="769" max="769" width="22.81640625" style="1" customWidth="1"/>
    <col min="770" max="774" width="12.1796875" style="1" customWidth="1"/>
    <col min="775" max="1023" width="8.90625" style="1"/>
    <col min="1024" max="1024" width="5.1796875" style="1" customWidth="1"/>
    <col min="1025" max="1025" width="22.81640625" style="1" customWidth="1"/>
    <col min="1026" max="1030" width="12.1796875" style="1" customWidth="1"/>
    <col min="1031" max="1279" width="8.90625" style="1"/>
    <col min="1280" max="1280" width="5.1796875" style="1" customWidth="1"/>
    <col min="1281" max="1281" width="22.81640625" style="1" customWidth="1"/>
    <col min="1282" max="1286" width="12.1796875" style="1" customWidth="1"/>
    <col min="1287" max="1535" width="8.90625" style="1"/>
    <col min="1536" max="1536" width="5.1796875" style="1" customWidth="1"/>
    <col min="1537" max="1537" width="22.81640625" style="1" customWidth="1"/>
    <col min="1538" max="1542" width="12.1796875" style="1" customWidth="1"/>
    <col min="1543" max="1791" width="8.90625" style="1"/>
    <col min="1792" max="1792" width="5.1796875" style="1" customWidth="1"/>
    <col min="1793" max="1793" width="22.81640625" style="1" customWidth="1"/>
    <col min="1794" max="1798" width="12.1796875" style="1" customWidth="1"/>
    <col min="1799" max="2047" width="8.90625" style="1"/>
    <col min="2048" max="2048" width="5.1796875" style="1" customWidth="1"/>
    <col min="2049" max="2049" width="22.81640625" style="1" customWidth="1"/>
    <col min="2050" max="2054" width="12.1796875" style="1" customWidth="1"/>
    <col min="2055" max="2303" width="8.90625" style="1"/>
    <col min="2304" max="2304" width="5.1796875" style="1" customWidth="1"/>
    <col min="2305" max="2305" width="22.81640625" style="1" customWidth="1"/>
    <col min="2306" max="2310" width="12.1796875" style="1" customWidth="1"/>
    <col min="2311" max="2559" width="8.90625" style="1"/>
    <col min="2560" max="2560" width="5.1796875" style="1" customWidth="1"/>
    <col min="2561" max="2561" width="22.81640625" style="1" customWidth="1"/>
    <col min="2562" max="2566" width="12.1796875" style="1" customWidth="1"/>
    <col min="2567" max="2815" width="8.90625" style="1"/>
    <col min="2816" max="2816" width="5.1796875" style="1" customWidth="1"/>
    <col min="2817" max="2817" width="22.81640625" style="1" customWidth="1"/>
    <col min="2818" max="2822" width="12.1796875" style="1" customWidth="1"/>
    <col min="2823" max="3071" width="8.90625" style="1"/>
    <col min="3072" max="3072" width="5.1796875" style="1" customWidth="1"/>
    <col min="3073" max="3073" width="22.81640625" style="1" customWidth="1"/>
    <col min="3074" max="3078" width="12.1796875" style="1" customWidth="1"/>
    <col min="3079" max="3327" width="8.90625" style="1"/>
    <col min="3328" max="3328" width="5.1796875" style="1" customWidth="1"/>
    <col min="3329" max="3329" width="22.81640625" style="1" customWidth="1"/>
    <col min="3330" max="3334" width="12.1796875" style="1" customWidth="1"/>
    <col min="3335" max="3583" width="8.90625" style="1"/>
    <col min="3584" max="3584" width="5.1796875" style="1" customWidth="1"/>
    <col min="3585" max="3585" width="22.81640625" style="1" customWidth="1"/>
    <col min="3586" max="3590" width="12.1796875" style="1" customWidth="1"/>
    <col min="3591" max="3839" width="8.90625" style="1"/>
    <col min="3840" max="3840" width="5.1796875" style="1" customWidth="1"/>
    <col min="3841" max="3841" width="22.81640625" style="1" customWidth="1"/>
    <col min="3842" max="3846" width="12.1796875" style="1" customWidth="1"/>
    <col min="3847" max="4095" width="8.90625" style="1"/>
    <col min="4096" max="4096" width="5.1796875" style="1" customWidth="1"/>
    <col min="4097" max="4097" width="22.81640625" style="1" customWidth="1"/>
    <col min="4098" max="4102" width="12.1796875" style="1" customWidth="1"/>
    <col min="4103" max="4351" width="8.90625" style="1"/>
    <col min="4352" max="4352" width="5.1796875" style="1" customWidth="1"/>
    <col min="4353" max="4353" width="22.81640625" style="1" customWidth="1"/>
    <col min="4354" max="4358" width="12.1796875" style="1" customWidth="1"/>
    <col min="4359" max="4607" width="8.90625" style="1"/>
    <col min="4608" max="4608" width="5.1796875" style="1" customWidth="1"/>
    <col min="4609" max="4609" width="22.81640625" style="1" customWidth="1"/>
    <col min="4610" max="4614" width="12.1796875" style="1" customWidth="1"/>
    <col min="4615" max="4863" width="8.90625" style="1"/>
    <col min="4864" max="4864" width="5.1796875" style="1" customWidth="1"/>
    <col min="4865" max="4865" width="22.81640625" style="1" customWidth="1"/>
    <col min="4866" max="4870" width="12.1796875" style="1" customWidth="1"/>
    <col min="4871" max="5119" width="8.90625" style="1"/>
    <col min="5120" max="5120" width="5.1796875" style="1" customWidth="1"/>
    <col min="5121" max="5121" width="22.81640625" style="1" customWidth="1"/>
    <col min="5122" max="5126" width="12.1796875" style="1" customWidth="1"/>
    <col min="5127" max="5375" width="8.90625" style="1"/>
    <col min="5376" max="5376" width="5.1796875" style="1" customWidth="1"/>
    <col min="5377" max="5377" width="22.81640625" style="1" customWidth="1"/>
    <col min="5378" max="5382" width="12.1796875" style="1" customWidth="1"/>
    <col min="5383" max="5631" width="8.90625" style="1"/>
    <col min="5632" max="5632" width="5.1796875" style="1" customWidth="1"/>
    <col min="5633" max="5633" width="22.81640625" style="1" customWidth="1"/>
    <col min="5634" max="5638" width="12.1796875" style="1" customWidth="1"/>
    <col min="5639" max="5887" width="8.90625" style="1"/>
    <col min="5888" max="5888" width="5.1796875" style="1" customWidth="1"/>
    <col min="5889" max="5889" width="22.81640625" style="1" customWidth="1"/>
    <col min="5890" max="5894" width="12.1796875" style="1" customWidth="1"/>
    <col min="5895" max="6143" width="8.90625" style="1"/>
    <col min="6144" max="6144" width="5.1796875" style="1" customWidth="1"/>
    <col min="6145" max="6145" width="22.81640625" style="1" customWidth="1"/>
    <col min="6146" max="6150" width="12.1796875" style="1" customWidth="1"/>
    <col min="6151" max="6399" width="8.90625" style="1"/>
    <col min="6400" max="6400" width="5.1796875" style="1" customWidth="1"/>
    <col min="6401" max="6401" width="22.81640625" style="1" customWidth="1"/>
    <col min="6402" max="6406" width="12.1796875" style="1" customWidth="1"/>
    <col min="6407" max="6655" width="8.90625" style="1"/>
    <col min="6656" max="6656" width="5.1796875" style="1" customWidth="1"/>
    <col min="6657" max="6657" width="22.81640625" style="1" customWidth="1"/>
    <col min="6658" max="6662" width="12.1796875" style="1" customWidth="1"/>
    <col min="6663" max="6911" width="8.90625" style="1"/>
    <col min="6912" max="6912" width="5.1796875" style="1" customWidth="1"/>
    <col min="6913" max="6913" width="22.81640625" style="1" customWidth="1"/>
    <col min="6914" max="6918" width="12.1796875" style="1" customWidth="1"/>
    <col min="6919" max="7167" width="8.90625" style="1"/>
    <col min="7168" max="7168" width="5.1796875" style="1" customWidth="1"/>
    <col min="7169" max="7169" width="22.81640625" style="1" customWidth="1"/>
    <col min="7170" max="7174" width="12.1796875" style="1" customWidth="1"/>
    <col min="7175" max="7423" width="8.90625" style="1"/>
    <col min="7424" max="7424" width="5.1796875" style="1" customWidth="1"/>
    <col min="7425" max="7425" width="22.81640625" style="1" customWidth="1"/>
    <col min="7426" max="7430" width="12.1796875" style="1" customWidth="1"/>
    <col min="7431" max="7679" width="8.90625" style="1"/>
    <col min="7680" max="7680" width="5.1796875" style="1" customWidth="1"/>
    <col min="7681" max="7681" width="22.81640625" style="1" customWidth="1"/>
    <col min="7682" max="7686" width="12.1796875" style="1" customWidth="1"/>
    <col min="7687" max="7935" width="8.90625" style="1"/>
    <col min="7936" max="7936" width="5.1796875" style="1" customWidth="1"/>
    <col min="7937" max="7937" width="22.81640625" style="1" customWidth="1"/>
    <col min="7938" max="7942" width="12.1796875" style="1" customWidth="1"/>
    <col min="7943" max="8191" width="8.90625" style="1"/>
    <col min="8192" max="8192" width="5.1796875" style="1" customWidth="1"/>
    <col min="8193" max="8193" width="22.81640625" style="1" customWidth="1"/>
    <col min="8194" max="8198" width="12.1796875" style="1" customWidth="1"/>
    <col min="8199" max="8447" width="8.90625" style="1"/>
    <col min="8448" max="8448" width="5.1796875" style="1" customWidth="1"/>
    <col min="8449" max="8449" width="22.81640625" style="1" customWidth="1"/>
    <col min="8450" max="8454" width="12.1796875" style="1" customWidth="1"/>
    <col min="8455" max="8703" width="8.90625" style="1"/>
    <col min="8704" max="8704" width="5.1796875" style="1" customWidth="1"/>
    <col min="8705" max="8705" width="22.81640625" style="1" customWidth="1"/>
    <col min="8706" max="8710" width="12.1796875" style="1" customWidth="1"/>
    <col min="8711" max="8959" width="8.90625" style="1"/>
    <col min="8960" max="8960" width="5.1796875" style="1" customWidth="1"/>
    <col min="8961" max="8961" width="22.81640625" style="1" customWidth="1"/>
    <col min="8962" max="8966" width="12.1796875" style="1" customWidth="1"/>
    <col min="8967" max="9215" width="8.90625" style="1"/>
    <col min="9216" max="9216" width="5.1796875" style="1" customWidth="1"/>
    <col min="9217" max="9217" width="22.81640625" style="1" customWidth="1"/>
    <col min="9218" max="9222" width="12.1796875" style="1" customWidth="1"/>
    <col min="9223" max="9471" width="8.90625" style="1"/>
    <col min="9472" max="9472" width="5.1796875" style="1" customWidth="1"/>
    <col min="9473" max="9473" width="22.81640625" style="1" customWidth="1"/>
    <col min="9474" max="9478" width="12.1796875" style="1" customWidth="1"/>
    <col min="9479" max="9727" width="8.90625" style="1"/>
    <col min="9728" max="9728" width="5.1796875" style="1" customWidth="1"/>
    <col min="9729" max="9729" width="22.81640625" style="1" customWidth="1"/>
    <col min="9730" max="9734" width="12.1796875" style="1" customWidth="1"/>
    <col min="9735" max="9983" width="8.90625" style="1"/>
    <col min="9984" max="9984" width="5.1796875" style="1" customWidth="1"/>
    <col min="9985" max="9985" width="22.81640625" style="1" customWidth="1"/>
    <col min="9986" max="9990" width="12.1796875" style="1" customWidth="1"/>
    <col min="9991" max="10239" width="8.90625" style="1"/>
    <col min="10240" max="10240" width="5.1796875" style="1" customWidth="1"/>
    <col min="10241" max="10241" width="22.81640625" style="1" customWidth="1"/>
    <col min="10242" max="10246" width="12.1796875" style="1" customWidth="1"/>
    <col min="10247" max="10495" width="8.90625" style="1"/>
    <col min="10496" max="10496" width="5.1796875" style="1" customWidth="1"/>
    <col min="10497" max="10497" width="22.81640625" style="1" customWidth="1"/>
    <col min="10498" max="10502" width="12.1796875" style="1" customWidth="1"/>
    <col min="10503" max="10751" width="8.90625" style="1"/>
    <col min="10752" max="10752" width="5.1796875" style="1" customWidth="1"/>
    <col min="10753" max="10753" width="22.81640625" style="1" customWidth="1"/>
    <col min="10754" max="10758" width="12.1796875" style="1" customWidth="1"/>
    <col min="10759" max="11007" width="8.90625" style="1"/>
    <col min="11008" max="11008" width="5.1796875" style="1" customWidth="1"/>
    <col min="11009" max="11009" width="22.81640625" style="1" customWidth="1"/>
    <col min="11010" max="11014" width="12.1796875" style="1" customWidth="1"/>
    <col min="11015" max="11263" width="8.90625" style="1"/>
    <col min="11264" max="11264" width="5.1796875" style="1" customWidth="1"/>
    <col min="11265" max="11265" width="22.81640625" style="1" customWidth="1"/>
    <col min="11266" max="11270" width="12.1796875" style="1" customWidth="1"/>
    <col min="11271" max="11519" width="8.90625" style="1"/>
    <col min="11520" max="11520" width="5.1796875" style="1" customWidth="1"/>
    <col min="11521" max="11521" width="22.81640625" style="1" customWidth="1"/>
    <col min="11522" max="11526" width="12.1796875" style="1" customWidth="1"/>
    <col min="11527" max="11775" width="8.90625" style="1"/>
    <col min="11776" max="11776" width="5.1796875" style="1" customWidth="1"/>
    <col min="11777" max="11777" width="22.81640625" style="1" customWidth="1"/>
    <col min="11778" max="11782" width="12.1796875" style="1" customWidth="1"/>
    <col min="11783" max="12031" width="8.90625" style="1"/>
    <col min="12032" max="12032" width="5.1796875" style="1" customWidth="1"/>
    <col min="12033" max="12033" width="22.81640625" style="1" customWidth="1"/>
    <col min="12034" max="12038" width="12.1796875" style="1" customWidth="1"/>
    <col min="12039" max="12287" width="8.90625" style="1"/>
    <col min="12288" max="12288" width="5.1796875" style="1" customWidth="1"/>
    <col min="12289" max="12289" width="22.81640625" style="1" customWidth="1"/>
    <col min="12290" max="12294" width="12.1796875" style="1" customWidth="1"/>
    <col min="12295" max="12543" width="8.90625" style="1"/>
    <col min="12544" max="12544" width="5.1796875" style="1" customWidth="1"/>
    <col min="12545" max="12545" width="22.81640625" style="1" customWidth="1"/>
    <col min="12546" max="12550" width="12.1796875" style="1" customWidth="1"/>
    <col min="12551" max="12799" width="8.90625" style="1"/>
    <col min="12800" max="12800" width="5.1796875" style="1" customWidth="1"/>
    <col min="12801" max="12801" width="22.81640625" style="1" customWidth="1"/>
    <col min="12802" max="12806" width="12.1796875" style="1" customWidth="1"/>
    <col min="12807" max="13055" width="8.90625" style="1"/>
    <col min="13056" max="13056" width="5.1796875" style="1" customWidth="1"/>
    <col min="13057" max="13057" width="22.81640625" style="1" customWidth="1"/>
    <col min="13058" max="13062" width="12.1796875" style="1" customWidth="1"/>
    <col min="13063" max="13311" width="8.90625" style="1"/>
    <col min="13312" max="13312" width="5.1796875" style="1" customWidth="1"/>
    <col min="13313" max="13313" width="22.81640625" style="1" customWidth="1"/>
    <col min="13314" max="13318" width="12.1796875" style="1" customWidth="1"/>
    <col min="13319" max="13567" width="8.90625" style="1"/>
    <col min="13568" max="13568" width="5.1796875" style="1" customWidth="1"/>
    <col min="13569" max="13569" width="22.81640625" style="1" customWidth="1"/>
    <col min="13570" max="13574" width="12.1796875" style="1" customWidth="1"/>
    <col min="13575" max="13823" width="8.90625" style="1"/>
    <col min="13824" max="13824" width="5.1796875" style="1" customWidth="1"/>
    <col min="13825" max="13825" width="22.81640625" style="1" customWidth="1"/>
    <col min="13826" max="13830" width="12.1796875" style="1" customWidth="1"/>
    <col min="13831" max="14079" width="8.90625" style="1"/>
    <col min="14080" max="14080" width="5.1796875" style="1" customWidth="1"/>
    <col min="14081" max="14081" width="22.81640625" style="1" customWidth="1"/>
    <col min="14082" max="14086" width="12.1796875" style="1" customWidth="1"/>
    <col min="14087" max="14335" width="8.90625" style="1"/>
    <col min="14336" max="14336" width="5.1796875" style="1" customWidth="1"/>
    <col min="14337" max="14337" width="22.81640625" style="1" customWidth="1"/>
    <col min="14338" max="14342" width="12.1796875" style="1" customWidth="1"/>
    <col min="14343" max="14591" width="8.90625" style="1"/>
    <col min="14592" max="14592" width="5.1796875" style="1" customWidth="1"/>
    <col min="14593" max="14593" width="22.81640625" style="1" customWidth="1"/>
    <col min="14594" max="14598" width="12.1796875" style="1" customWidth="1"/>
    <col min="14599" max="14847" width="8.90625" style="1"/>
    <col min="14848" max="14848" width="5.1796875" style="1" customWidth="1"/>
    <col min="14849" max="14849" width="22.81640625" style="1" customWidth="1"/>
    <col min="14850" max="14854" width="12.1796875" style="1" customWidth="1"/>
    <col min="14855" max="15103" width="8.90625" style="1"/>
    <col min="15104" max="15104" width="5.1796875" style="1" customWidth="1"/>
    <col min="15105" max="15105" width="22.81640625" style="1" customWidth="1"/>
    <col min="15106" max="15110" width="12.1796875" style="1" customWidth="1"/>
    <col min="15111" max="15359" width="8.90625" style="1"/>
    <col min="15360" max="15360" width="5.1796875" style="1" customWidth="1"/>
    <col min="15361" max="15361" width="22.81640625" style="1" customWidth="1"/>
    <col min="15362" max="15366" width="12.1796875" style="1" customWidth="1"/>
    <col min="15367" max="15615" width="8.90625" style="1"/>
    <col min="15616" max="15616" width="5.1796875" style="1" customWidth="1"/>
    <col min="15617" max="15617" width="22.81640625" style="1" customWidth="1"/>
    <col min="15618" max="15622" width="12.1796875" style="1" customWidth="1"/>
    <col min="15623" max="15871" width="8.90625" style="1"/>
    <col min="15872" max="15872" width="5.1796875" style="1" customWidth="1"/>
    <col min="15873" max="15873" width="22.81640625" style="1" customWidth="1"/>
    <col min="15874" max="15878" width="12.1796875" style="1" customWidth="1"/>
    <col min="15879" max="16127" width="8.90625" style="1"/>
    <col min="16128" max="16128" width="5.1796875" style="1" customWidth="1"/>
    <col min="16129" max="16129" width="22.81640625" style="1" customWidth="1"/>
    <col min="16130" max="16134" width="12.1796875" style="1" customWidth="1"/>
    <col min="16135" max="16384" width="8.90625" style="1"/>
  </cols>
  <sheetData>
    <row r="1" spans="1:12" ht="15.6">
      <c r="A1" s="465" t="str">
        <f>+'Balance sheet Sched 2'!A1:F1</f>
        <v>ALP Utilities</v>
      </c>
      <c r="B1" s="465"/>
      <c r="C1" s="465"/>
      <c r="D1" s="465"/>
      <c r="E1" s="465"/>
      <c r="F1" s="465"/>
    </row>
    <row r="2" spans="1:12" ht="15.6">
      <c r="A2" s="466" t="s">
        <v>282</v>
      </c>
      <c r="B2" s="466"/>
      <c r="C2" s="466"/>
      <c r="D2" s="466"/>
      <c r="E2" s="466"/>
      <c r="F2" s="466"/>
    </row>
    <row r="3" spans="1:12" ht="15.6">
      <c r="A3" s="466" t="s">
        <v>395</v>
      </c>
      <c r="B3" s="466"/>
      <c r="C3" s="466"/>
      <c r="D3" s="466"/>
      <c r="E3" s="466"/>
      <c r="F3" s="466"/>
    </row>
    <row r="4" spans="1:12" ht="15.6">
      <c r="A4" s="467" t="str">
        <f>+'Balance sheet Sched 2'!A4:F4</f>
        <v>For the 12 months ended 12/31/2015</v>
      </c>
      <c r="B4" s="467"/>
      <c r="C4" s="467"/>
      <c r="D4" s="467"/>
      <c r="E4" s="467"/>
      <c r="F4" s="467"/>
    </row>
    <row r="5" spans="1:12">
      <c r="A5" s="268"/>
      <c r="B5" s="268"/>
      <c r="C5" s="268"/>
    </row>
    <row r="6" spans="1:12">
      <c r="A6" s="468" t="s">
        <v>290</v>
      </c>
      <c r="B6" s="468"/>
      <c r="C6" s="468"/>
      <c r="D6" s="468"/>
      <c r="E6" s="468"/>
      <c r="F6" s="468"/>
    </row>
    <row r="7" spans="1:12" ht="13.2">
      <c r="A7" s="28" t="s">
        <v>4</v>
      </c>
      <c r="B7" s="69"/>
      <c r="C7" s="69" t="s">
        <v>396</v>
      </c>
      <c r="D7" s="69"/>
      <c r="E7" s="69"/>
      <c r="F7" s="69" t="s">
        <v>397</v>
      </c>
      <c r="H7" s="28" t="s">
        <v>398</v>
      </c>
      <c r="I7" s="1"/>
      <c r="J7" s="28" t="s">
        <v>691</v>
      </c>
      <c r="K7" s="1"/>
      <c r="L7" s="1"/>
    </row>
    <row r="8" spans="1:12" ht="13.2">
      <c r="A8" s="29" t="s">
        <v>6</v>
      </c>
      <c r="B8" s="30"/>
      <c r="C8" s="30" t="s">
        <v>399</v>
      </c>
      <c r="D8" s="30" t="s">
        <v>400</v>
      </c>
      <c r="E8" s="30" t="s">
        <v>401</v>
      </c>
      <c r="F8" s="30" t="s">
        <v>399</v>
      </c>
      <c r="H8" s="32" t="s">
        <v>402</v>
      </c>
      <c r="I8" s="1"/>
      <c r="J8" s="32" t="s">
        <v>403</v>
      </c>
      <c r="K8" s="1"/>
      <c r="L8" s="1"/>
    </row>
    <row r="9" spans="1:12" ht="20.100000000000001" customHeight="1">
      <c r="A9" s="33">
        <v>1</v>
      </c>
      <c r="B9" s="34" t="s">
        <v>404</v>
      </c>
      <c r="C9" s="71">
        <v>0</v>
      </c>
      <c r="D9" s="71">
        <v>0</v>
      </c>
      <c r="E9" s="71">
        <v>0</v>
      </c>
      <c r="F9" s="59">
        <f>+C9+D9-E9</f>
        <v>0</v>
      </c>
      <c r="H9" s="71">
        <v>0</v>
      </c>
      <c r="I9" s="1"/>
      <c r="J9" s="71">
        <v>0</v>
      </c>
      <c r="K9" s="1"/>
      <c r="L9" s="1"/>
    </row>
    <row r="10" spans="1:12" ht="12.75" customHeight="1">
      <c r="A10" s="33"/>
      <c r="B10" s="34"/>
      <c r="C10" s="71"/>
      <c r="D10" s="71"/>
      <c r="E10" s="71"/>
      <c r="F10" s="59"/>
      <c r="H10" s="71"/>
      <c r="I10" s="1"/>
      <c r="J10" s="71"/>
      <c r="K10" s="1"/>
      <c r="L10" s="1"/>
    </row>
    <row r="11" spans="1:12" ht="20.100000000000001" customHeight="1">
      <c r="A11" s="33">
        <v>2</v>
      </c>
      <c r="B11" s="34" t="s">
        <v>405</v>
      </c>
      <c r="C11" s="256">
        <v>748432</v>
      </c>
      <c r="D11" s="256">
        <v>0</v>
      </c>
      <c r="E11" s="256">
        <v>10812.99</v>
      </c>
      <c r="F11" s="60">
        <f>+C11+D11-E11</f>
        <v>737619.01</v>
      </c>
      <c r="H11" s="71">
        <v>475224.01</v>
      </c>
      <c r="I11" s="1"/>
      <c r="J11" s="71">
        <v>900.48</v>
      </c>
      <c r="K11" s="1"/>
      <c r="L11" s="1"/>
    </row>
    <row r="12" spans="1:12" ht="20.100000000000001" customHeight="1">
      <c r="A12" s="33">
        <v>3</v>
      </c>
      <c r="B12" s="34" t="s">
        <v>406</v>
      </c>
      <c r="C12" s="256">
        <v>0</v>
      </c>
      <c r="D12" s="256">
        <v>0</v>
      </c>
      <c r="E12" s="256">
        <v>0</v>
      </c>
      <c r="F12" s="60">
        <f>+C12+D12-E12</f>
        <v>0</v>
      </c>
      <c r="H12" s="71"/>
      <c r="I12" s="1"/>
      <c r="J12" s="72"/>
      <c r="K12" s="44"/>
      <c r="L12" s="44"/>
    </row>
    <row r="13" spans="1:12" ht="20.100000000000001" customHeight="1">
      <c r="A13" s="33">
        <v>4</v>
      </c>
      <c r="B13" s="34" t="s">
        <v>407</v>
      </c>
      <c r="C13" s="256">
        <v>0</v>
      </c>
      <c r="D13" s="256">
        <v>0</v>
      </c>
      <c r="E13" s="256">
        <v>0</v>
      </c>
      <c r="F13" s="60">
        <f>+C13+D13-E13</f>
        <v>0</v>
      </c>
      <c r="H13" s="71"/>
      <c r="I13" s="1"/>
      <c r="J13" s="72"/>
      <c r="K13" s="44"/>
      <c r="L13" s="44"/>
    </row>
    <row r="14" spans="1:12" ht="20.100000000000001" customHeight="1" thickBot="1">
      <c r="A14" s="33">
        <v>5</v>
      </c>
      <c r="B14" s="34" t="s">
        <v>408</v>
      </c>
      <c r="C14" s="73">
        <v>2172298</v>
      </c>
      <c r="D14" s="73"/>
      <c r="E14" s="73">
        <v>20865.3</v>
      </c>
      <c r="F14" s="61">
        <f>+C14+D14-E14</f>
        <v>2151432.7000000002</v>
      </c>
      <c r="H14" s="74">
        <v>2085967.77</v>
      </c>
      <c r="I14" s="1"/>
      <c r="J14" s="75">
        <v>8245.4699999999993</v>
      </c>
      <c r="K14" s="44"/>
      <c r="L14" s="44"/>
    </row>
    <row r="15" spans="1:12" ht="20.100000000000001" customHeight="1" thickBot="1">
      <c r="A15" s="33">
        <v>6</v>
      </c>
      <c r="B15" s="43" t="s">
        <v>409</v>
      </c>
      <c r="C15" s="62">
        <f>SUM(C11:C14)</f>
        <v>2920730</v>
      </c>
      <c r="D15" s="63">
        <f>SUM(D11:D14)</f>
        <v>0</v>
      </c>
      <c r="E15" s="63">
        <f>SUM(E11:E14)</f>
        <v>31678.29</v>
      </c>
      <c r="F15" s="58">
        <f>+C15+D15-E15</f>
        <v>2889051.71</v>
      </c>
      <c r="H15" s="52">
        <f>SUM(H11:H14)</f>
        <v>2561191.7800000003</v>
      </c>
      <c r="I15" s="1"/>
      <c r="J15" s="46">
        <f>SUM(J11:J14)</f>
        <v>9145.9499999999989</v>
      </c>
      <c r="K15" s="44"/>
      <c r="L15" s="44"/>
    </row>
    <row r="16" spans="1:12" ht="12" customHeight="1">
      <c r="A16" s="33"/>
      <c r="B16" s="64"/>
      <c r="C16" s="65"/>
      <c r="D16" s="65"/>
      <c r="E16" s="65"/>
      <c r="F16" s="65"/>
      <c r="H16" s="76"/>
      <c r="I16" s="1"/>
      <c r="J16" s="77"/>
      <c r="K16" s="44"/>
      <c r="L16" s="44"/>
    </row>
    <row r="17" spans="1:12" ht="20.100000000000001" customHeight="1">
      <c r="A17" s="33">
        <v>7</v>
      </c>
      <c r="B17" s="34" t="s">
        <v>410</v>
      </c>
      <c r="C17" s="78">
        <v>2487518</v>
      </c>
      <c r="D17" s="78">
        <v>265616.02</v>
      </c>
      <c r="E17" s="78">
        <v>0</v>
      </c>
      <c r="F17" s="60">
        <f>+C17+D17-E17</f>
        <v>2753134.02</v>
      </c>
      <c r="H17" s="72">
        <v>958685.36</v>
      </c>
      <c r="I17" s="44"/>
      <c r="J17" s="72">
        <v>75847.75</v>
      </c>
      <c r="K17" s="44"/>
      <c r="L17" s="44"/>
    </row>
    <row r="18" spans="1:12" ht="20.100000000000001" customHeight="1">
      <c r="A18" s="33">
        <v>8</v>
      </c>
      <c r="B18" s="34" t="s">
        <v>411</v>
      </c>
      <c r="C18" s="78">
        <v>34614644</v>
      </c>
      <c r="D18" s="78">
        <v>3005266.55</v>
      </c>
      <c r="E18" s="78">
        <v>517195.02</v>
      </c>
      <c r="F18" s="60">
        <f>+C18+D18-E18</f>
        <v>37102715.529999994</v>
      </c>
      <c r="H18" s="72">
        <v>17786650.440000001</v>
      </c>
      <c r="I18" s="44"/>
      <c r="J18" s="72">
        <v>880931.59</v>
      </c>
      <c r="K18" s="44"/>
      <c r="L18" s="44"/>
    </row>
    <row r="19" spans="1:12" ht="20.100000000000001" customHeight="1" thickBot="1">
      <c r="A19" s="33">
        <v>9</v>
      </c>
      <c r="B19" s="34" t="s">
        <v>412</v>
      </c>
      <c r="C19" s="73">
        <v>5093735</v>
      </c>
      <c r="D19" s="78">
        <v>144783.69</v>
      </c>
      <c r="E19" s="78">
        <v>1077707.02</v>
      </c>
      <c r="F19" s="61">
        <f>+C19+D19-E19</f>
        <v>4160811.6700000004</v>
      </c>
      <c r="H19" s="72">
        <v>3287920.69</v>
      </c>
      <c r="I19" s="44"/>
      <c r="J19" s="72">
        <v>259354.62</v>
      </c>
      <c r="K19" s="1"/>
      <c r="L19" s="1"/>
    </row>
    <row r="20" spans="1:12" ht="20.100000000000001" customHeight="1" thickBot="1">
      <c r="A20" s="33">
        <v>10</v>
      </c>
      <c r="B20" s="43" t="s">
        <v>413</v>
      </c>
      <c r="C20" s="62">
        <f>SUM(C15:C19)</f>
        <v>45116627</v>
      </c>
      <c r="D20" s="63">
        <f>SUM(D15:D19)</f>
        <v>3415666.26</v>
      </c>
      <c r="E20" s="63">
        <f>SUM(E15:E19)</f>
        <v>1626580.33</v>
      </c>
      <c r="F20" s="58">
        <f>+C20+D20-E20</f>
        <v>46905712.93</v>
      </c>
      <c r="H20" s="52">
        <f>SUM(H15:H19)</f>
        <v>24594448.270000003</v>
      </c>
      <c r="I20" s="1"/>
      <c r="J20" s="52">
        <f>SUM(J15:J19)</f>
        <v>1225279.9099999999</v>
      </c>
      <c r="K20" s="1"/>
      <c r="L20" s="1"/>
    </row>
    <row r="21" spans="1:12" ht="11.25" customHeight="1">
      <c r="A21" s="33"/>
      <c r="B21" s="64"/>
      <c r="C21" s="65"/>
      <c r="D21" s="65"/>
      <c r="E21" s="65"/>
      <c r="F21" s="65"/>
      <c r="H21" s="79"/>
      <c r="I21" s="1"/>
      <c r="J21" s="79"/>
      <c r="K21" s="1"/>
      <c r="L21" s="1"/>
    </row>
    <row r="22" spans="1:12" ht="20.100000000000001" customHeight="1">
      <c r="A22" s="33">
        <v>11</v>
      </c>
      <c r="B22" s="34" t="s">
        <v>414</v>
      </c>
      <c r="C22" s="256">
        <v>0</v>
      </c>
      <c r="D22" s="256">
        <v>0</v>
      </c>
      <c r="E22" s="256">
        <v>0</v>
      </c>
      <c r="F22" s="256">
        <f>+C22+D22+E22</f>
        <v>0</v>
      </c>
      <c r="H22" s="71">
        <v>0</v>
      </c>
      <c r="I22" s="1"/>
      <c r="J22" s="71">
        <v>0</v>
      </c>
      <c r="K22" s="1"/>
      <c r="L22" s="1"/>
    </row>
    <row r="23" spans="1:12" ht="20.100000000000001" customHeight="1">
      <c r="A23" s="33">
        <v>12</v>
      </c>
      <c r="B23" s="34" t="s">
        <v>415</v>
      </c>
      <c r="C23" s="256">
        <v>0</v>
      </c>
      <c r="D23" s="256">
        <v>0</v>
      </c>
      <c r="E23" s="256">
        <v>0</v>
      </c>
      <c r="F23" s="256">
        <f>+C23+D23+E23</f>
        <v>0</v>
      </c>
      <c r="H23" s="71">
        <v>0</v>
      </c>
      <c r="I23" s="1"/>
      <c r="J23" s="71">
        <v>0</v>
      </c>
      <c r="K23" s="1"/>
      <c r="L23" s="1"/>
    </row>
    <row r="24" spans="1:12" ht="20.100000000000001" customHeight="1" thickBot="1">
      <c r="A24" s="33">
        <v>13</v>
      </c>
      <c r="B24" s="34" t="s">
        <v>416</v>
      </c>
      <c r="C24" s="255">
        <v>0</v>
      </c>
      <c r="D24" s="255">
        <v>0</v>
      </c>
      <c r="E24" s="255">
        <v>0</v>
      </c>
      <c r="F24" s="256">
        <f>+C24+D24+E24</f>
        <v>0</v>
      </c>
      <c r="H24" s="74">
        <v>0</v>
      </c>
      <c r="I24" s="1"/>
      <c r="J24" s="74">
        <v>0</v>
      </c>
      <c r="K24" s="1"/>
      <c r="L24" s="1"/>
    </row>
    <row r="25" spans="1:12" ht="20.100000000000001" customHeight="1" thickBot="1">
      <c r="A25" s="33">
        <v>14</v>
      </c>
      <c r="B25" s="43" t="s">
        <v>292</v>
      </c>
      <c r="C25" s="62">
        <f>SUM(C20:C24)</f>
        <v>45116627</v>
      </c>
      <c r="D25" s="63">
        <f>SUM(D20:D24)</f>
        <v>3415666.26</v>
      </c>
      <c r="E25" s="63">
        <f>SUM(E20:E24)</f>
        <v>1626580.33</v>
      </c>
      <c r="F25" s="58">
        <f>+C25+D25-E25</f>
        <v>46905712.93</v>
      </c>
      <c r="H25" s="52">
        <f>SUM(H20:H24)</f>
        <v>24594448.270000003</v>
      </c>
      <c r="I25" s="1"/>
      <c r="J25" s="52">
        <f>SUM(J20:J24)</f>
        <v>1225279.9099999999</v>
      </c>
      <c r="K25" s="1"/>
      <c r="L25" s="1"/>
    </row>
    <row r="26" spans="1:12" ht="11.25" customHeight="1">
      <c r="A26" s="33"/>
      <c r="B26" s="64"/>
      <c r="C26" s="66"/>
      <c r="D26" s="66"/>
      <c r="E26" s="66"/>
      <c r="F26" s="66"/>
      <c r="H26" s="79"/>
      <c r="I26" s="1"/>
      <c r="J26" s="79"/>
      <c r="K26" s="1"/>
      <c r="L26" s="1"/>
    </row>
    <row r="27" spans="1:12" ht="20.100000000000001" customHeight="1" thickBot="1">
      <c r="A27" s="33">
        <v>15</v>
      </c>
      <c r="B27" s="34" t="s">
        <v>417</v>
      </c>
      <c r="C27" s="255">
        <v>2046685</v>
      </c>
      <c r="D27" s="255">
        <v>3037676</v>
      </c>
      <c r="E27" s="255">
        <v>3303995</v>
      </c>
      <c r="F27" s="61">
        <f>+C27+D27-E27</f>
        <v>1780366</v>
      </c>
      <c r="H27" s="74"/>
      <c r="I27" s="1"/>
      <c r="J27" s="74"/>
      <c r="K27" s="1"/>
      <c r="L27" s="1"/>
    </row>
    <row r="28" spans="1:12" ht="20.100000000000001" customHeight="1" thickBot="1">
      <c r="A28" s="33">
        <v>16</v>
      </c>
      <c r="B28" s="43" t="s">
        <v>418</v>
      </c>
      <c r="C28" s="62">
        <f>SUM(C25:C27)</f>
        <v>47163312</v>
      </c>
      <c r="D28" s="63">
        <f>SUM(D25:D27)</f>
        <v>6453342.2599999998</v>
      </c>
      <c r="E28" s="63">
        <f>SUM(E25:E27)</f>
        <v>4930575.33</v>
      </c>
      <c r="F28" s="58">
        <f>+C28+D28-E28</f>
        <v>48686078.93</v>
      </c>
      <c r="H28" s="52">
        <f>SUM(H25:H27)</f>
        <v>24594448.270000003</v>
      </c>
      <c r="I28" s="1"/>
      <c r="J28" s="52">
        <f>SUM(J25:J27)</f>
        <v>1225279.9099999999</v>
      </c>
      <c r="K28" s="1"/>
      <c r="L28" s="1"/>
    </row>
    <row r="29" spans="1:12" ht="20.100000000000001" customHeight="1">
      <c r="F29" s="70" t="s">
        <v>2</v>
      </c>
      <c r="H29" s="1"/>
      <c r="I29" s="1"/>
      <c r="J29" s="1"/>
      <c r="K29" s="1"/>
      <c r="L29" s="1"/>
    </row>
    <row r="30" spans="1:12">
      <c r="H30" s="26"/>
      <c r="I30" s="15"/>
      <c r="J30" s="27"/>
    </row>
    <row r="31" spans="1:12">
      <c r="F31" s="70"/>
    </row>
    <row r="32" spans="1:12">
      <c r="F32" s="70" t="s">
        <v>2</v>
      </c>
      <c r="H32" s="24"/>
    </row>
    <row r="33" spans="8:8">
      <c r="H33" s="24"/>
    </row>
  </sheetData>
  <mergeCells count="5">
    <mergeCell ref="A1:F1"/>
    <mergeCell ref="A2:F2"/>
    <mergeCell ref="A3:F3"/>
    <mergeCell ref="A4:F4"/>
    <mergeCell ref="A6:F6"/>
  </mergeCells>
  <pageMargins left="0.5" right="0.5" top="0.75" bottom="0.5" header="0.5" footer="0.5"/>
  <pageSetup scale="96" orientation="landscape" horizontalDpi="4294967293"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13"/>
  <sheetViews>
    <sheetView zoomScale="80" workbookViewId="0">
      <selection activeCell="G8" sqref="G8:S10"/>
    </sheetView>
  </sheetViews>
  <sheetFormatPr defaultRowHeight="13.2"/>
  <cols>
    <col min="1" max="1" width="2.1796875" style="2" customWidth="1"/>
    <col min="2" max="2" width="38.81640625" style="2" customWidth="1"/>
    <col min="3" max="3" width="9.453125" style="2" customWidth="1"/>
    <col min="4" max="257" width="8.90625" style="2"/>
    <col min="258" max="258" width="35" style="2" customWidth="1"/>
    <col min="259" max="259" width="9.453125" style="2" customWidth="1"/>
    <col min="260" max="513" width="8.90625" style="2"/>
    <col min="514" max="514" width="35" style="2" customWidth="1"/>
    <col min="515" max="515" width="9.453125" style="2" customWidth="1"/>
    <col min="516" max="769" width="8.90625" style="2"/>
    <col min="770" max="770" width="35" style="2" customWidth="1"/>
    <col min="771" max="771" width="9.453125" style="2" customWidth="1"/>
    <col min="772" max="1025" width="8.90625" style="2"/>
    <col min="1026" max="1026" width="35" style="2" customWidth="1"/>
    <col min="1027" max="1027" width="9.453125" style="2" customWidth="1"/>
    <col min="1028" max="1281" width="8.90625" style="2"/>
    <col min="1282" max="1282" width="35" style="2" customWidth="1"/>
    <col min="1283" max="1283" width="9.453125" style="2" customWidth="1"/>
    <col min="1284" max="1537" width="8.90625" style="2"/>
    <col min="1538" max="1538" width="35" style="2" customWidth="1"/>
    <col min="1539" max="1539" width="9.453125" style="2" customWidth="1"/>
    <col min="1540" max="1793" width="8.90625" style="2"/>
    <col min="1794" max="1794" width="35" style="2" customWidth="1"/>
    <col min="1795" max="1795" width="9.453125" style="2" customWidth="1"/>
    <col min="1796" max="2049" width="8.90625" style="2"/>
    <col min="2050" max="2050" width="35" style="2" customWidth="1"/>
    <col min="2051" max="2051" width="9.453125" style="2" customWidth="1"/>
    <col min="2052" max="2305" width="8.90625" style="2"/>
    <col min="2306" max="2306" width="35" style="2" customWidth="1"/>
    <col min="2307" max="2307" width="9.453125" style="2" customWidth="1"/>
    <col min="2308" max="2561" width="8.90625" style="2"/>
    <col min="2562" max="2562" width="35" style="2" customWidth="1"/>
    <col min="2563" max="2563" width="9.453125" style="2" customWidth="1"/>
    <col min="2564" max="2817" width="8.90625" style="2"/>
    <col min="2818" max="2818" width="35" style="2" customWidth="1"/>
    <col min="2819" max="2819" width="9.453125" style="2" customWidth="1"/>
    <col min="2820" max="3073" width="8.90625" style="2"/>
    <col min="3074" max="3074" width="35" style="2" customWidth="1"/>
    <col min="3075" max="3075" width="9.453125" style="2" customWidth="1"/>
    <col min="3076" max="3329" width="8.90625" style="2"/>
    <col min="3330" max="3330" width="35" style="2" customWidth="1"/>
    <col min="3331" max="3331" width="9.453125" style="2" customWidth="1"/>
    <col min="3332" max="3585" width="8.90625" style="2"/>
    <col min="3586" max="3586" width="35" style="2" customWidth="1"/>
    <col min="3587" max="3587" width="9.453125" style="2" customWidth="1"/>
    <col min="3588" max="3841" width="8.90625" style="2"/>
    <col min="3842" max="3842" width="35" style="2" customWidth="1"/>
    <col min="3843" max="3843" width="9.453125" style="2" customWidth="1"/>
    <col min="3844" max="4097" width="8.90625" style="2"/>
    <col min="4098" max="4098" width="35" style="2" customWidth="1"/>
    <col min="4099" max="4099" width="9.453125" style="2" customWidth="1"/>
    <col min="4100" max="4353" width="8.90625" style="2"/>
    <col min="4354" max="4354" width="35" style="2" customWidth="1"/>
    <col min="4355" max="4355" width="9.453125" style="2" customWidth="1"/>
    <col min="4356" max="4609" width="8.90625" style="2"/>
    <col min="4610" max="4610" width="35" style="2" customWidth="1"/>
    <col min="4611" max="4611" width="9.453125" style="2" customWidth="1"/>
    <col min="4612" max="4865" width="8.90625" style="2"/>
    <col min="4866" max="4866" width="35" style="2" customWidth="1"/>
    <col min="4867" max="4867" width="9.453125" style="2" customWidth="1"/>
    <col min="4868" max="5121" width="8.90625" style="2"/>
    <col min="5122" max="5122" width="35" style="2" customWidth="1"/>
    <col min="5123" max="5123" width="9.453125" style="2" customWidth="1"/>
    <col min="5124" max="5377" width="8.90625" style="2"/>
    <col min="5378" max="5378" width="35" style="2" customWidth="1"/>
    <col min="5379" max="5379" width="9.453125" style="2" customWidth="1"/>
    <col min="5380" max="5633" width="8.90625" style="2"/>
    <col min="5634" max="5634" width="35" style="2" customWidth="1"/>
    <col min="5635" max="5635" width="9.453125" style="2" customWidth="1"/>
    <col min="5636" max="5889" width="8.90625" style="2"/>
    <col min="5890" max="5890" width="35" style="2" customWidth="1"/>
    <col min="5891" max="5891" width="9.453125" style="2" customWidth="1"/>
    <col min="5892" max="6145" width="8.90625" style="2"/>
    <col min="6146" max="6146" width="35" style="2" customWidth="1"/>
    <col min="6147" max="6147" width="9.453125" style="2" customWidth="1"/>
    <col min="6148" max="6401" width="8.90625" style="2"/>
    <col min="6402" max="6402" width="35" style="2" customWidth="1"/>
    <col min="6403" max="6403" width="9.453125" style="2" customWidth="1"/>
    <col min="6404" max="6657" width="8.90625" style="2"/>
    <col min="6658" max="6658" width="35" style="2" customWidth="1"/>
    <col min="6659" max="6659" width="9.453125" style="2" customWidth="1"/>
    <col min="6660" max="6913" width="8.90625" style="2"/>
    <col min="6914" max="6914" width="35" style="2" customWidth="1"/>
    <col min="6915" max="6915" width="9.453125" style="2" customWidth="1"/>
    <col min="6916" max="7169" width="8.90625" style="2"/>
    <col min="7170" max="7170" width="35" style="2" customWidth="1"/>
    <col min="7171" max="7171" width="9.453125" style="2" customWidth="1"/>
    <col min="7172" max="7425" width="8.90625" style="2"/>
    <col min="7426" max="7426" width="35" style="2" customWidth="1"/>
    <col min="7427" max="7427" width="9.453125" style="2" customWidth="1"/>
    <col min="7428" max="7681" width="8.90625" style="2"/>
    <col min="7682" max="7682" width="35" style="2" customWidth="1"/>
    <col min="7683" max="7683" width="9.453125" style="2" customWidth="1"/>
    <col min="7684" max="7937" width="8.90625" style="2"/>
    <col min="7938" max="7938" width="35" style="2" customWidth="1"/>
    <col min="7939" max="7939" width="9.453125" style="2" customWidth="1"/>
    <col min="7940" max="8193" width="8.90625" style="2"/>
    <col min="8194" max="8194" width="35" style="2" customWidth="1"/>
    <col min="8195" max="8195" width="9.453125" style="2" customWidth="1"/>
    <col min="8196" max="8449" width="8.90625" style="2"/>
    <col min="8450" max="8450" width="35" style="2" customWidth="1"/>
    <col min="8451" max="8451" width="9.453125" style="2" customWidth="1"/>
    <col min="8452" max="8705" width="8.90625" style="2"/>
    <col min="8706" max="8706" width="35" style="2" customWidth="1"/>
    <col min="8707" max="8707" width="9.453125" style="2" customWidth="1"/>
    <col min="8708" max="8961" width="8.90625" style="2"/>
    <col min="8962" max="8962" width="35" style="2" customWidth="1"/>
    <col min="8963" max="8963" width="9.453125" style="2" customWidth="1"/>
    <col min="8964" max="9217" width="8.90625" style="2"/>
    <col min="9218" max="9218" width="35" style="2" customWidth="1"/>
    <col min="9219" max="9219" width="9.453125" style="2" customWidth="1"/>
    <col min="9220" max="9473" width="8.90625" style="2"/>
    <col min="9474" max="9474" width="35" style="2" customWidth="1"/>
    <col min="9475" max="9475" width="9.453125" style="2" customWidth="1"/>
    <col min="9476" max="9729" width="8.90625" style="2"/>
    <col min="9730" max="9730" width="35" style="2" customWidth="1"/>
    <col min="9731" max="9731" width="9.453125" style="2" customWidth="1"/>
    <col min="9732" max="9985" width="8.90625" style="2"/>
    <col min="9986" max="9986" width="35" style="2" customWidth="1"/>
    <col min="9987" max="9987" width="9.453125" style="2" customWidth="1"/>
    <col min="9988" max="10241" width="8.90625" style="2"/>
    <col min="10242" max="10242" width="35" style="2" customWidth="1"/>
    <col min="10243" max="10243" width="9.453125" style="2" customWidth="1"/>
    <col min="10244" max="10497" width="8.90625" style="2"/>
    <col min="10498" max="10498" width="35" style="2" customWidth="1"/>
    <col min="10499" max="10499" width="9.453125" style="2" customWidth="1"/>
    <col min="10500" max="10753" width="8.90625" style="2"/>
    <col min="10754" max="10754" width="35" style="2" customWidth="1"/>
    <col min="10755" max="10755" width="9.453125" style="2" customWidth="1"/>
    <col min="10756" max="11009" width="8.90625" style="2"/>
    <col min="11010" max="11010" width="35" style="2" customWidth="1"/>
    <col min="11011" max="11011" width="9.453125" style="2" customWidth="1"/>
    <col min="11012" max="11265" width="8.90625" style="2"/>
    <col min="11266" max="11266" width="35" style="2" customWidth="1"/>
    <col min="11267" max="11267" width="9.453125" style="2" customWidth="1"/>
    <col min="11268" max="11521" width="8.90625" style="2"/>
    <col min="11522" max="11522" width="35" style="2" customWidth="1"/>
    <col min="11523" max="11523" width="9.453125" style="2" customWidth="1"/>
    <col min="11524" max="11777" width="8.90625" style="2"/>
    <col min="11778" max="11778" width="35" style="2" customWidth="1"/>
    <col min="11779" max="11779" width="9.453125" style="2" customWidth="1"/>
    <col min="11780" max="12033" width="8.90625" style="2"/>
    <col min="12034" max="12034" width="35" style="2" customWidth="1"/>
    <col min="12035" max="12035" width="9.453125" style="2" customWidth="1"/>
    <col min="12036" max="12289" width="8.90625" style="2"/>
    <col min="12290" max="12290" width="35" style="2" customWidth="1"/>
    <col min="12291" max="12291" width="9.453125" style="2" customWidth="1"/>
    <col min="12292" max="12545" width="8.90625" style="2"/>
    <col min="12546" max="12546" width="35" style="2" customWidth="1"/>
    <col min="12547" max="12547" width="9.453125" style="2" customWidth="1"/>
    <col min="12548" max="12801" width="8.90625" style="2"/>
    <col min="12802" max="12802" width="35" style="2" customWidth="1"/>
    <col min="12803" max="12803" width="9.453125" style="2" customWidth="1"/>
    <col min="12804" max="13057" width="8.90625" style="2"/>
    <col min="13058" max="13058" width="35" style="2" customWidth="1"/>
    <col min="13059" max="13059" width="9.453125" style="2" customWidth="1"/>
    <col min="13060" max="13313" width="8.90625" style="2"/>
    <col min="13314" max="13314" width="35" style="2" customWidth="1"/>
    <col min="13315" max="13315" width="9.453125" style="2" customWidth="1"/>
    <col min="13316" max="13569" width="8.90625" style="2"/>
    <col min="13570" max="13570" width="35" style="2" customWidth="1"/>
    <col min="13571" max="13571" width="9.453125" style="2" customWidth="1"/>
    <col min="13572" max="13825" width="8.90625" style="2"/>
    <col min="13826" max="13826" width="35" style="2" customWidth="1"/>
    <col min="13827" max="13827" width="9.453125" style="2" customWidth="1"/>
    <col min="13828" max="14081" width="8.90625" style="2"/>
    <col min="14082" max="14082" width="35" style="2" customWidth="1"/>
    <col min="14083" max="14083" width="9.453125" style="2" customWidth="1"/>
    <col min="14084" max="14337" width="8.90625" style="2"/>
    <col min="14338" max="14338" width="35" style="2" customWidth="1"/>
    <col min="14339" max="14339" width="9.453125" style="2" customWidth="1"/>
    <col min="14340" max="14593" width="8.90625" style="2"/>
    <col min="14594" max="14594" width="35" style="2" customWidth="1"/>
    <col min="14595" max="14595" width="9.453125" style="2" customWidth="1"/>
    <col min="14596" max="14849" width="8.90625" style="2"/>
    <col min="14850" max="14850" width="35" style="2" customWidth="1"/>
    <col min="14851" max="14851" width="9.453125" style="2" customWidth="1"/>
    <col min="14852" max="15105" width="8.90625" style="2"/>
    <col min="15106" max="15106" width="35" style="2" customWidth="1"/>
    <col min="15107" max="15107" width="9.453125" style="2" customWidth="1"/>
    <col min="15108" max="15361" width="8.90625" style="2"/>
    <col min="15362" max="15362" width="35" style="2" customWidth="1"/>
    <col min="15363" max="15363" width="9.453125" style="2" customWidth="1"/>
    <col min="15364" max="15617" width="8.90625" style="2"/>
    <col min="15618" max="15618" width="35" style="2" customWidth="1"/>
    <col min="15619" max="15619" width="9.453125" style="2" customWidth="1"/>
    <col min="15620" max="15873" width="8.90625" style="2"/>
    <col min="15874" max="15874" width="35" style="2" customWidth="1"/>
    <col min="15875" max="15875" width="9.453125" style="2" customWidth="1"/>
    <col min="15876" max="16129" width="8.90625" style="2"/>
    <col min="16130" max="16130" width="35" style="2" customWidth="1"/>
    <col min="16131" max="16131" width="9.453125" style="2" customWidth="1"/>
    <col min="16132" max="16384" width="8.90625" style="2"/>
  </cols>
  <sheetData>
    <row r="1" spans="1:19" ht="15.6">
      <c r="A1" s="465" t="s">
        <v>650</v>
      </c>
      <c r="B1" s="465"/>
      <c r="C1" s="465"/>
      <c r="D1" s="465"/>
      <c r="E1" s="465"/>
      <c r="F1" s="465"/>
      <c r="G1" s="465"/>
    </row>
    <row r="2" spans="1:19" ht="15">
      <c r="A2" s="466" t="s">
        <v>282</v>
      </c>
      <c r="B2" s="466"/>
      <c r="C2" s="466"/>
      <c r="D2" s="466"/>
      <c r="E2" s="466"/>
      <c r="F2" s="466"/>
      <c r="G2" s="466"/>
    </row>
    <row r="3" spans="1:19" ht="15">
      <c r="A3" s="466" t="s">
        <v>457</v>
      </c>
      <c r="B3" s="466"/>
      <c r="C3" s="466"/>
      <c r="D3" s="466"/>
      <c r="E3" s="466"/>
      <c r="F3" s="466"/>
      <c r="G3" s="466"/>
    </row>
    <row r="4" spans="1:19" ht="15.6">
      <c r="A4" s="467" t="str">
        <f>+'Electric Plant Sched 4'!A4:F4</f>
        <v>For the 12 months ended 12/31/2015</v>
      </c>
      <c r="B4" s="467"/>
      <c r="C4" s="467"/>
      <c r="D4" s="467"/>
      <c r="E4" s="467"/>
      <c r="F4" s="467"/>
      <c r="G4" s="467"/>
    </row>
    <row r="5" spans="1:19">
      <c r="A5" s="53"/>
      <c r="B5" s="53"/>
      <c r="C5" s="53"/>
    </row>
    <row r="6" spans="1:19" ht="14.4">
      <c r="A6" s="11"/>
      <c r="B6" s="11"/>
      <c r="C6" s="11"/>
    </row>
    <row r="7" spans="1:19" ht="14.4">
      <c r="A7" s="11"/>
      <c r="B7" s="11"/>
      <c r="C7" s="11"/>
    </row>
    <row r="8" spans="1:19" ht="14.4">
      <c r="A8" s="11"/>
      <c r="B8" s="11" t="s">
        <v>458</v>
      </c>
      <c r="C8" s="107">
        <v>178109.58</v>
      </c>
      <c r="D8" s="2" t="s">
        <v>654</v>
      </c>
      <c r="G8" s="450"/>
      <c r="H8" s="450"/>
      <c r="I8" s="450"/>
      <c r="J8" s="450"/>
      <c r="K8" s="450"/>
      <c r="L8" s="450"/>
      <c r="M8" s="450"/>
      <c r="N8" s="450"/>
      <c r="O8" s="450"/>
      <c r="P8" s="450"/>
      <c r="Q8" s="450"/>
      <c r="R8" s="452"/>
      <c r="S8" s="452"/>
    </row>
    <row r="9" spans="1:19" ht="14.4">
      <c r="A9" s="11"/>
      <c r="B9" s="11"/>
      <c r="C9" s="11"/>
      <c r="G9" s="452"/>
      <c r="H9" s="452"/>
      <c r="I9" s="452"/>
      <c r="J9" s="452"/>
      <c r="K9" s="452"/>
      <c r="L9" s="452"/>
      <c r="M9" s="452"/>
      <c r="N9" s="452"/>
      <c r="O9" s="452"/>
      <c r="P9" s="452"/>
      <c r="Q9" s="452"/>
      <c r="R9" s="452"/>
      <c r="S9" s="452"/>
    </row>
    <row r="10" spans="1:19" ht="14.4">
      <c r="A10" s="11"/>
      <c r="B10" s="11"/>
      <c r="C10" s="11"/>
      <c r="G10" s="452"/>
      <c r="H10" s="452"/>
      <c r="I10" s="452"/>
      <c r="J10" s="452"/>
      <c r="K10" s="452"/>
      <c r="L10" s="452"/>
      <c r="M10" s="452"/>
      <c r="N10" s="452"/>
      <c r="O10" s="452"/>
      <c r="P10" s="452"/>
      <c r="Q10" s="452"/>
      <c r="R10" s="452"/>
      <c r="S10" s="452"/>
    </row>
    <row r="11" spans="1:19" ht="14.4">
      <c r="A11" s="11"/>
      <c r="B11" s="11"/>
      <c r="C11" s="11"/>
    </row>
    <row r="12" spans="1:19" ht="14.4">
      <c r="A12" s="11"/>
      <c r="B12" s="11"/>
      <c r="C12" s="11"/>
    </row>
    <row r="13" spans="1:19" s="11" customFormat="1" ht="14.4">
      <c r="B13" s="11" t="s">
        <v>651</v>
      </c>
      <c r="C13" s="20">
        <v>1069557.69</v>
      </c>
    </row>
  </sheetData>
  <mergeCells count="4">
    <mergeCell ref="A1:G1"/>
    <mergeCell ref="A2:G2"/>
    <mergeCell ref="A3:G3"/>
    <mergeCell ref="A4:G4"/>
  </mergeCells>
  <pageMargins left="0.75" right="0.75" top="1" bottom="1" header="0.5" footer="0.5"/>
  <pageSetup scale="86" orientation="portrait" horizontalDpi="4294967293"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36"/>
  <sheetViews>
    <sheetView topLeftCell="A7" zoomScale="90" zoomScaleNormal="90" workbookViewId="0">
      <selection activeCell="F19" sqref="F19:F21"/>
    </sheetView>
  </sheetViews>
  <sheetFormatPr defaultRowHeight="13.2"/>
  <cols>
    <col min="1" max="1" width="5.1796875" style="1" customWidth="1"/>
    <col min="2" max="2" width="26.453125" style="1" customWidth="1"/>
    <col min="3" max="6" width="12.1796875" style="1" customWidth="1"/>
    <col min="7" max="7" width="8.90625" style="1"/>
    <col min="8" max="8" width="12.54296875" style="1" customWidth="1"/>
    <col min="9" max="256" width="8.90625" style="1"/>
    <col min="257" max="257" width="5.1796875" style="1" customWidth="1"/>
    <col min="258" max="258" width="23" style="1" customWidth="1"/>
    <col min="259" max="262" width="12.1796875" style="1" customWidth="1"/>
    <col min="263" max="512" width="8.90625" style="1"/>
    <col min="513" max="513" width="5.1796875" style="1" customWidth="1"/>
    <col min="514" max="514" width="23" style="1" customWidth="1"/>
    <col min="515" max="518" width="12.1796875" style="1" customWidth="1"/>
    <col min="519" max="768" width="8.90625" style="1"/>
    <col min="769" max="769" width="5.1796875" style="1" customWidth="1"/>
    <col min="770" max="770" width="23" style="1" customWidth="1"/>
    <col min="771" max="774" width="12.1796875" style="1" customWidth="1"/>
    <col min="775" max="1024" width="8.90625" style="1"/>
    <col min="1025" max="1025" width="5.1796875" style="1" customWidth="1"/>
    <col min="1026" max="1026" width="23" style="1" customWidth="1"/>
    <col min="1027" max="1030" width="12.1796875" style="1" customWidth="1"/>
    <col min="1031" max="1280" width="8.90625" style="1"/>
    <col min="1281" max="1281" width="5.1796875" style="1" customWidth="1"/>
    <col min="1282" max="1282" width="23" style="1" customWidth="1"/>
    <col min="1283" max="1286" width="12.1796875" style="1" customWidth="1"/>
    <col min="1287" max="1536" width="8.90625" style="1"/>
    <col min="1537" max="1537" width="5.1796875" style="1" customWidth="1"/>
    <col min="1538" max="1538" width="23" style="1" customWidth="1"/>
    <col min="1539" max="1542" width="12.1796875" style="1" customWidth="1"/>
    <col min="1543" max="1792" width="8.90625" style="1"/>
    <col min="1793" max="1793" width="5.1796875" style="1" customWidth="1"/>
    <col min="1794" max="1794" width="23" style="1" customWidth="1"/>
    <col min="1795" max="1798" width="12.1796875" style="1" customWidth="1"/>
    <col min="1799" max="2048" width="8.90625" style="1"/>
    <col min="2049" max="2049" width="5.1796875" style="1" customWidth="1"/>
    <col min="2050" max="2050" width="23" style="1" customWidth="1"/>
    <col min="2051" max="2054" width="12.1796875" style="1" customWidth="1"/>
    <col min="2055" max="2304" width="8.90625" style="1"/>
    <col min="2305" max="2305" width="5.1796875" style="1" customWidth="1"/>
    <col min="2306" max="2306" width="23" style="1" customWidth="1"/>
    <col min="2307" max="2310" width="12.1796875" style="1" customWidth="1"/>
    <col min="2311" max="2560" width="8.90625" style="1"/>
    <col min="2561" max="2561" width="5.1796875" style="1" customWidth="1"/>
    <col min="2562" max="2562" width="23" style="1" customWidth="1"/>
    <col min="2563" max="2566" width="12.1796875" style="1" customWidth="1"/>
    <col min="2567" max="2816" width="8.90625" style="1"/>
    <col min="2817" max="2817" width="5.1796875" style="1" customWidth="1"/>
    <col min="2818" max="2818" width="23" style="1" customWidth="1"/>
    <col min="2819" max="2822" width="12.1796875" style="1" customWidth="1"/>
    <col min="2823" max="3072" width="8.90625" style="1"/>
    <col min="3073" max="3073" width="5.1796875" style="1" customWidth="1"/>
    <col min="3074" max="3074" width="23" style="1" customWidth="1"/>
    <col min="3075" max="3078" width="12.1796875" style="1" customWidth="1"/>
    <col min="3079" max="3328" width="8.90625" style="1"/>
    <col min="3329" max="3329" width="5.1796875" style="1" customWidth="1"/>
    <col min="3330" max="3330" width="23" style="1" customWidth="1"/>
    <col min="3331" max="3334" width="12.1796875" style="1" customWidth="1"/>
    <col min="3335" max="3584" width="8.90625" style="1"/>
    <col min="3585" max="3585" width="5.1796875" style="1" customWidth="1"/>
    <col min="3586" max="3586" width="23" style="1" customWidth="1"/>
    <col min="3587" max="3590" width="12.1796875" style="1" customWidth="1"/>
    <col min="3591" max="3840" width="8.90625" style="1"/>
    <col min="3841" max="3841" width="5.1796875" style="1" customWidth="1"/>
    <col min="3842" max="3842" width="23" style="1" customWidth="1"/>
    <col min="3843" max="3846" width="12.1796875" style="1" customWidth="1"/>
    <col min="3847" max="4096" width="8.90625" style="1"/>
    <col min="4097" max="4097" width="5.1796875" style="1" customWidth="1"/>
    <col min="4098" max="4098" width="23" style="1" customWidth="1"/>
    <col min="4099" max="4102" width="12.1796875" style="1" customWidth="1"/>
    <col min="4103" max="4352" width="8.90625" style="1"/>
    <col min="4353" max="4353" width="5.1796875" style="1" customWidth="1"/>
    <col min="4354" max="4354" width="23" style="1" customWidth="1"/>
    <col min="4355" max="4358" width="12.1796875" style="1" customWidth="1"/>
    <col min="4359" max="4608" width="8.90625" style="1"/>
    <col min="4609" max="4609" width="5.1796875" style="1" customWidth="1"/>
    <col min="4610" max="4610" width="23" style="1" customWidth="1"/>
    <col min="4611" max="4614" width="12.1796875" style="1" customWidth="1"/>
    <col min="4615" max="4864" width="8.90625" style="1"/>
    <col min="4865" max="4865" width="5.1796875" style="1" customWidth="1"/>
    <col min="4866" max="4866" width="23" style="1" customWidth="1"/>
    <col min="4867" max="4870" width="12.1796875" style="1" customWidth="1"/>
    <col min="4871" max="5120" width="8.90625" style="1"/>
    <col min="5121" max="5121" width="5.1796875" style="1" customWidth="1"/>
    <col min="5122" max="5122" width="23" style="1" customWidth="1"/>
    <col min="5123" max="5126" width="12.1796875" style="1" customWidth="1"/>
    <col min="5127" max="5376" width="8.90625" style="1"/>
    <col min="5377" max="5377" width="5.1796875" style="1" customWidth="1"/>
    <col min="5378" max="5378" width="23" style="1" customWidth="1"/>
    <col min="5379" max="5382" width="12.1796875" style="1" customWidth="1"/>
    <col min="5383" max="5632" width="8.90625" style="1"/>
    <col min="5633" max="5633" width="5.1796875" style="1" customWidth="1"/>
    <col min="5634" max="5634" width="23" style="1" customWidth="1"/>
    <col min="5635" max="5638" width="12.1796875" style="1" customWidth="1"/>
    <col min="5639" max="5888" width="8.90625" style="1"/>
    <col min="5889" max="5889" width="5.1796875" style="1" customWidth="1"/>
    <col min="5890" max="5890" width="23" style="1" customWidth="1"/>
    <col min="5891" max="5894" width="12.1796875" style="1" customWidth="1"/>
    <col min="5895" max="6144" width="8.90625" style="1"/>
    <col min="6145" max="6145" width="5.1796875" style="1" customWidth="1"/>
    <col min="6146" max="6146" width="23" style="1" customWidth="1"/>
    <col min="6147" max="6150" width="12.1796875" style="1" customWidth="1"/>
    <col min="6151" max="6400" width="8.90625" style="1"/>
    <col min="6401" max="6401" width="5.1796875" style="1" customWidth="1"/>
    <col min="6402" max="6402" width="23" style="1" customWidth="1"/>
    <col min="6403" max="6406" width="12.1796875" style="1" customWidth="1"/>
    <col min="6407" max="6656" width="8.90625" style="1"/>
    <col min="6657" max="6657" width="5.1796875" style="1" customWidth="1"/>
    <col min="6658" max="6658" width="23" style="1" customWidth="1"/>
    <col min="6659" max="6662" width="12.1796875" style="1" customWidth="1"/>
    <col min="6663" max="6912" width="8.90625" style="1"/>
    <col min="6913" max="6913" width="5.1796875" style="1" customWidth="1"/>
    <col min="6914" max="6914" width="23" style="1" customWidth="1"/>
    <col min="6915" max="6918" width="12.1796875" style="1" customWidth="1"/>
    <col min="6919" max="7168" width="8.90625" style="1"/>
    <col min="7169" max="7169" width="5.1796875" style="1" customWidth="1"/>
    <col min="7170" max="7170" width="23" style="1" customWidth="1"/>
    <col min="7171" max="7174" width="12.1796875" style="1" customWidth="1"/>
    <col min="7175" max="7424" width="8.90625" style="1"/>
    <col min="7425" max="7425" width="5.1796875" style="1" customWidth="1"/>
    <col min="7426" max="7426" width="23" style="1" customWidth="1"/>
    <col min="7427" max="7430" width="12.1796875" style="1" customWidth="1"/>
    <col min="7431" max="7680" width="8.90625" style="1"/>
    <col min="7681" max="7681" width="5.1796875" style="1" customWidth="1"/>
    <col min="7682" max="7682" width="23" style="1" customWidth="1"/>
    <col min="7683" max="7686" width="12.1796875" style="1" customWidth="1"/>
    <col min="7687" max="7936" width="8.90625" style="1"/>
    <col min="7937" max="7937" width="5.1796875" style="1" customWidth="1"/>
    <col min="7938" max="7938" width="23" style="1" customWidth="1"/>
    <col min="7939" max="7942" width="12.1796875" style="1" customWidth="1"/>
    <col min="7943" max="8192" width="8.90625" style="1"/>
    <col min="8193" max="8193" width="5.1796875" style="1" customWidth="1"/>
    <col min="8194" max="8194" width="23" style="1" customWidth="1"/>
    <col min="8195" max="8198" width="12.1796875" style="1" customWidth="1"/>
    <col min="8199" max="8448" width="8.90625" style="1"/>
    <col min="8449" max="8449" width="5.1796875" style="1" customWidth="1"/>
    <col min="8450" max="8450" width="23" style="1" customWidth="1"/>
    <col min="8451" max="8454" width="12.1796875" style="1" customWidth="1"/>
    <col min="8455" max="8704" width="8.90625" style="1"/>
    <col min="8705" max="8705" width="5.1796875" style="1" customWidth="1"/>
    <col min="8706" max="8706" width="23" style="1" customWidth="1"/>
    <col min="8707" max="8710" width="12.1796875" style="1" customWidth="1"/>
    <col min="8711" max="8960" width="8.90625" style="1"/>
    <col min="8961" max="8961" width="5.1796875" style="1" customWidth="1"/>
    <col min="8962" max="8962" width="23" style="1" customWidth="1"/>
    <col min="8963" max="8966" width="12.1796875" style="1" customWidth="1"/>
    <col min="8967" max="9216" width="8.90625" style="1"/>
    <col min="9217" max="9217" width="5.1796875" style="1" customWidth="1"/>
    <col min="9218" max="9218" width="23" style="1" customWidth="1"/>
    <col min="9219" max="9222" width="12.1796875" style="1" customWidth="1"/>
    <col min="9223" max="9472" width="8.90625" style="1"/>
    <col min="9473" max="9473" width="5.1796875" style="1" customWidth="1"/>
    <col min="9474" max="9474" width="23" style="1" customWidth="1"/>
    <col min="9475" max="9478" width="12.1796875" style="1" customWidth="1"/>
    <col min="9479" max="9728" width="8.90625" style="1"/>
    <col min="9729" max="9729" width="5.1796875" style="1" customWidth="1"/>
    <col min="9730" max="9730" width="23" style="1" customWidth="1"/>
    <col min="9731" max="9734" width="12.1796875" style="1" customWidth="1"/>
    <col min="9735" max="9984" width="8.90625" style="1"/>
    <col min="9985" max="9985" width="5.1796875" style="1" customWidth="1"/>
    <col min="9986" max="9986" width="23" style="1" customWidth="1"/>
    <col min="9987" max="9990" width="12.1796875" style="1" customWidth="1"/>
    <col min="9991" max="10240" width="8.90625" style="1"/>
    <col min="10241" max="10241" width="5.1796875" style="1" customWidth="1"/>
    <col min="10242" max="10242" width="23" style="1" customWidth="1"/>
    <col min="10243" max="10246" width="12.1796875" style="1" customWidth="1"/>
    <col min="10247" max="10496" width="8.90625" style="1"/>
    <col min="10497" max="10497" width="5.1796875" style="1" customWidth="1"/>
    <col min="10498" max="10498" width="23" style="1" customWidth="1"/>
    <col min="10499" max="10502" width="12.1796875" style="1" customWidth="1"/>
    <col min="10503" max="10752" width="8.90625" style="1"/>
    <col min="10753" max="10753" width="5.1796875" style="1" customWidth="1"/>
    <col min="10754" max="10754" width="23" style="1" customWidth="1"/>
    <col min="10755" max="10758" width="12.1796875" style="1" customWidth="1"/>
    <col min="10759" max="11008" width="8.90625" style="1"/>
    <col min="11009" max="11009" width="5.1796875" style="1" customWidth="1"/>
    <col min="11010" max="11010" width="23" style="1" customWidth="1"/>
    <col min="11011" max="11014" width="12.1796875" style="1" customWidth="1"/>
    <col min="11015" max="11264" width="8.90625" style="1"/>
    <col min="11265" max="11265" width="5.1796875" style="1" customWidth="1"/>
    <col min="11266" max="11266" width="23" style="1" customWidth="1"/>
    <col min="11267" max="11270" width="12.1796875" style="1" customWidth="1"/>
    <col min="11271" max="11520" width="8.90625" style="1"/>
    <col min="11521" max="11521" width="5.1796875" style="1" customWidth="1"/>
    <col min="11522" max="11522" width="23" style="1" customWidth="1"/>
    <col min="11523" max="11526" width="12.1796875" style="1" customWidth="1"/>
    <col min="11527" max="11776" width="8.90625" style="1"/>
    <col min="11777" max="11777" width="5.1796875" style="1" customWidth="1"/>
    <col min="11778" max="11778" width="23" style="1" customWidth="1"/>
    <col min="11779" max="11782" width="12.1796875" style="1" customWidth="1"/>
    <col min="11783" max="12032" width="8.90625" style="1"/>
    <col min="12033" max="12033" width="5.1796875" style="1" customWidth="1"/>
    <col min="12034" max="12034" width="23" style="1" customWidth="1"/>
    <col min="12035" max="12038" width="12.1796875" style="1" customWidth="1"/>
    <col min="12039" max="12288" width="8.90625" style="1"/>
    <col min="12289" max="12289" width="5.1796875" style="1" customWidth="1"/>
    <col min="12290" max="12290" width="23" style="1" customWidth="1"/>
    <col min="12291" max="12294" width="12.1796875" style="1" customWidth="1"/>
    <col min="12295" max="12544" width="8.90625" style="1"/>
    <col min="12545" max="12545" width="5.1796875" style="1" customWidth="1"/>
    <col min="12546" max="12546" width="23" style="1" customWidth="1"/>
    <col min="12547" max="12550" width="12.1796875" style="1" customWidth="1"/>
    <col min="12551" max="12800" width="8.90625" style="1"/>
    <col min="12801" max="12801" width="5.1796875" style="1" customWidth="1"/>
    <col min="12802" max="12802" width="23" style="1" customWidth="1"/>
    <col min="12803" max="12806" width="12.1796875" style="1" customWidth="1"/>
    <col min="12807" max="13056" width="8.90625" style="1"/>
    <col min="13057" max="13057" width="5.1796875" style="1" customWidth="1"/>
    <col min="13058" max="13058" width="23" style="1" customWidth="1"/>
    <col min="13059" max="13062" width="12.1796875" style="1" customWidth="1"/>
    <col min="13063" max="13312" width="8.90625" style="1"/>
    <col min="13313" max="13313" width="5.1796875" style="1" customWidth="1"/>
    <col min="13314" max="13314" width="23" style="1" customWidth="1"/>
    <col min="13315" max="13318" width="12.1796875" style="1" customWidth="1"/>
    <col min="13319" max="13568" width="8.90625" style="1"/>
    <col min="13569" max="13569" width="5.1796875" style="1" customWidth="1"/>
    <col min="13570" max="13570" width="23" style="1" customWidth="1"/>
    <col min="13571" max="13574" width="12.1796875" style="1" customWidth="1"/>
    <col min="13575" max="13824" width="8.90625" style="1"/>
    <col min="13825" max="13825" width="5.1796875" style="1" customWidth="1"/>
    <col min="13826" max="13826" width="23" style="1" customWidth="1"/>
    <col min="13827" max="13830" width="12.1796875" style="1" customWidth="1"/>
    <col min="13831" max="14080" width="8.90625" style="1"/>
    <col min="14081" max="14081" width="5.1796875" style="1" customWidth="1"/>
    <col min="14082" max="14082" width="23" style="1" customWidth="1"/>
    <col min="14083" max="14086" width="12.1796875" style="1" customWidth="1"/>
    <col min="14087" max="14336" width="8.90625" style="1"/>
    <col min="14337" max="14337" width="5.1796875" style="1" customWidth="1"/>
    <col min="14338" max="14338" width="23" style="1" customWidth="1"/>
    <col min="14339" max="14342" width="12.1796875" style="1" customWidth="1"/>
    <col min="14343" max="14592" width="8.90625" style="1"/>
    <col min="14593" max="14593" width="5.1796875" style="1" customWidth="1"/>
    <col min="14594" max="14594" width="23" style="1" customWidth="1"/>
    <col min="14595" max="14598" width="12.1796875" style="1" customWidth="1"/>
    <col min="14599" max="14848" width="8.90625" style="1"/>
    <col min="14849" max="14849" width="5.1796875" style="1" customWidth="1"/>
    <col min="14850" max="14850" width="23" style="1" customWidth="1"/>
    <col min="14851" max="14854" width="12.1796875" style="1" customWidth="1"/>
    <col min="14855" max="15104" width="8.90625" style="1"/>
    <col min="15105" max="15105" width="5.1796875" style="1" customWidth="1"/>
    <col min="15106" max="15106" width="23" style="1" customWidth="1"/>
    <col min="15107" max="15110" width="12.1796875" style="1" customWidth="1"/>
    <col min="15111" max="15360" width="8.90625" style="1"/>
    <col min="15361" max="15361" width="5.1796875" style="1" customWidth="1"/>
    <col min="15362" max="15362" width="23" style="1" customWidth="1"/>
    <col min="15363" max="15366" width="12.1796875" style="1" customWidth="1"/>
    <col min="15367" max="15616" width="8.90625" style="1"/>
    <col min="15617" max="15617" width="5.1796875" style="1" customWidth="1"/>
    <col min="15618" max="15618" width="23" style="1" customWidth="1"/>
    <col min="15619" max="15622" width="12.1796875" style="1" customWidth="1"/>
    <col min="15623" max="15872" width="8.90625" style="1"/>
    <col min="15873" max="15873" width="5.1796875" style="1" customWidth="1"/>
    <col min="15874" max="15874" width="23" style="1" customWidth="1"/>
    <col min="15875" max="15878" width="12.1796875" style="1" customWidth="1"/>
    <col min="15879" max="16128" width="8.90625" style="1"/>
    <col min="16129" max="16129" width="5.1796875" style="1" customWidth="1"/>
    <col min="16130" max="16130" width="23" style="1" customWidth="1"/>
    <col min="16131" max="16134" width="12.1796875" style="1" customWidth="1"/>
    <col min="16135" max="16384" width="8.90625" style="1"/>
  </cols>
  <sheetData>
    <row r="1" spans="1:8" ht="15.6">
      <c r="A1" s="465" t="s">
        <v>650</v>
      </c>
      <c r="B1" s="465"/>
      <c r="C1" s="465"/>
      <c r="D1" s="465"/>
      <c r="E1" s="465"/>
      <c r="F1" s="465"/>
      <c r="G1" s="109"/>
    </row>
    <row r="2" spans="1:8" ht="15">
      <c r="A2" s="466" t="s">
        <v>282</v>
      </c>
      <c r="B2" s="466"/>
      <c r="C2" s="466"/>
      <c r="D2" s="466"/>
      <c r="E2" s="466"/>
      <c r="F2" s="466"/>
      <c r="G2" s="109"/>
    </row>
    <row r="3" spans="1:8" ht="15">
      <c r="A3" s="466" t="s">
        <v>419</v>
      </c>
      <c r="B3" s="466"/>
      <c r="C3" s="466"/>
      <c r="D3" s="466"/>
      <c r="E3" s="466"/>
      <c r="F3" s="466"/>
      <c r="G3" s="109"/>
    </row>
    <row r="4" spans="1:8" ht="15.6">
      <c r="A4" s="467" t="str">
        <f>+'Taxes Sched 5'!A4:G4</f>
        <v>For the 12 months ended 12/31/2015</v>
      </c>
      <c r="B4" s="467"/>
      <c r="C4" s="467"/>
      <c r="D4" s="467"/>
      <c r="E4" s="467"/>
      <c r="F4" s="467"/>
      <c r="G4" s="6"/>
    </row>
    <row r="6" spans="1:8">
      <c r="A6" s="464" t="s">
        <v>420</v>
      </c>
      <c r="B6" s="464"/>
      <c r="C6" s="464"/>
      <c r="D6" s="464"/>
      <c r="E6" s="464"/>
      <c r="F6" s="464"/>
    </row>
    <row r="7" spans="1:8">
      <c r="A7" s="28" t="s">
        <v>4</v>
      </c>
      <c r="B7" s="224"/>
      <c r="C7" s="224" t="s">
        <v>475</v>
      </c>
      <c r="D7" s="224" t="s">
        <v>476</v>
      </c>
      <c r="E7" s="224" t="s">
        <v>477</v>
      </c>
      <c r="F7" s="224" t="s">
        <v>478</v>
      </c>
    </row>
    <row r="8" spans="1:8">
      <c r="A8" s="29" t="s">
        <v>288</v>
      </c>
      <c r="B8" s="30"/>
      <c r="C8" s="224" t="s">
        <v>421</v>
      </c>
      <c r="D8" s="30" t="s">
        <v>422</v>
      </c>
      <c r="E8" s="30" t="s">
        <v>423</v>
      </c>
      <c r="F8" s="30" t="s">
        <v>9</v>
      </c>
    </row>
    <row r="9" spans="1:8">
      <c r="A9" s="225">
        <v>1</v>
      </c>
      <c r="B9" s="226" t="s">
        <v>424</v>
      </c>
      <c r="C9" s="227"/>
      <c r="D9" s="228"/>
      <c r="E9" s="228"/>
      <c r="F9" s="228"/>
    </row>
    <row r="10" spans="1:8">
      <c r="A10" s="229"/>
      <c r="B10" s="230" t="s">
        <v>425</v>
      </c>
      <c r="C10" s="79">
        <v>0</v>
      </c>
      <c r="D10" s="7">
        <v>0</v>
      </c>
      <c r="E10" s="7">
        <v>0</v>
      </c>
      <c r="F10" s="7">
        <f>SUM(C10:E10)</f>
        <v>0</v>
      </c>
    </row>
    <row r="11" spans="1:8">
      <c r="A11" s="229">
        <v>2</v>
      </c>
      <c r="B11" s="230" t="s">
        <v>426</v>
      </c>
      <c r="C11" s="253">
        <v>0</v>
      </c>
      <c r="D11" s="8">
        <v>0</v>
      </c>
      <c r="E11" s="8">
        <v>0</v>
      </c>
      <c r="F11" s="8">
        <f>SUM(C11:E11)</f>
        <v>0</v>
      </c>
    </row>
    <row r="12" spans="1:8">
      <c r="A12" s="225">
        <v>3</v>
      </c>
      <c r="B12" s="226" t="s">
        <v>427</v>
      </c>
      <c r="C12" s="259"/>
      <c r="D12" s="9"/>
      <c r="E12" s="9"/>
      <c r="F12" s="9"/>
      <c r="H12" s="265"/>
    </row>
    <row r="13" spans="1:8">
      <c r="A13" s="229"/>
      <c r="B13" s="231" t="s">
        <v>428</v>
      </c>
      <c r="C13" s="253">
        <v>0</v>
      </c>
      <c r="D13" s="8">
        <v>0</v>
      </c>
      <c r="E13" s="8">
        <v>0</v>
      </c>
      <c r="F13" s="8">
        <f>SUM(C13:E13)</f>
        <v>0</v>
      </c>
      <c r="H13" s="265"/>
    </row>
    <row r="14" spans="1:8">
      <c r="A14" s="232">
        <v>4</v>
      </c>
      <c r="B14" s="233" t="s">
        <v>429</v>
      </c>
      <c r="C14" s="259"/>
      <c r="D14" s="9"/>
      <c r="E14" s="9"/>
      <c r="F14" s="9"/>
      <c r="H14" s="265"/>
    </row>
    <row r="15" spans="1:8">
      <c r="A15" s="229"/>
      <c r="B15" s="234" t="s">
        <v>430</v>
      </c>
      <c r="C15" s="257">
        <v>11691</v>
      </c>
      <c r="D15" s="271">
        <v>8711</v>
      </c>
      <c r="E15" s="8">
        <v>28246</v>
      </c>
      <c r="F15" s="8">
        <f>SUM(C15:E15)</f>
        <v>48648</v>
      </c>
      <c r="H15" s="265"/>
    </row>
    <row r="16" spans="1:8">
      <c r="A16" s="235">
        <v>5</v>
      </c>
      <c r="B16" s="236" t="s">
        <v>431</v>
      </c>
      <c r="C16" s="78"/>
      <c r="D16" s="270">
        <v>14821095.85</v>
      </c>
      <c r="E16" s="67"/>
      <c r="F16" s="67">
        <f>SUM(C16:E16)</f>
        <v>14821095.85</v>
      </c>
      <c r="H16" s="265"/>
    </row>
    <row r="17" spans="1:11">
      <c r="A17" s="225">
        <v>6</v>
      </c>
      <c r="B17" s="226" t="s">
        <v>432</v>
      </c>
      <c r="C17" s="259"/>
      <c r="D17" s="9"/>
      <c r="E17" s="9"/>
      <c r="F17" s="9"/>
      <c r="H17" s="265"/>
    </row>
    <row r="18" spans="1:11" ht="13.8" thickBot="1">
      <c r="A18" s="229"/>
      <c r="B18" s="231" t="s">
        <v>433</v>
      </c>
      <c r="C18" s="259"/>
      <c r="D18" s="9">
        <v>131</v>
      </c>
      <c r="E18" s="9"/>
      <c r="F18" s="9">
        <f>SUM(C18:E18)</f>
        <v>131</v>
      </c>
      <c r="H18" s="266"/>
    </row>
    <row r="19" spans="1:11" ht="13.8" thickBot="1">
      <c r="A19" s="34">
        <v>7</v>
      </c>
      <c r="B19" s="237" t="s">
        <v>434</v>
      </c>
      <c r="C19" s="62">
        <f>SUM(C10:C18)</f>
        <v>11691</v>
      </c>
      <c r="D19" s="68">
        <f>SUM(D10:D18)</f>
        <v>14829937.85</v>
      </c>
      <c r="E19" s="68">
        <f>SUM(E10:E18)</f>
        <v>28246</v>
      </c>
      <c r="F19" s="10">
        <f>SUM(C19:E19)</f>
        <v>14869874.85</v>
      </c>
      <c r="H19" s="265"/>
    </row>
    <row r="20" spans="1:11">
      <c r="A20" s="225">
        <v>8</v>
      </c>
      <c r="B20" s="238" t="s">
        <v>435</v>
      </c>
      <c r="C20" s="228"/>
      <c r="D20" s="228"/>
      <c r="E20" s="228"/>
      <c r="F20" s="228"/>
      <c r="H20" s="265"/>
      <c r="K20" s="44"/>
    </row>
    <row r="21" spans="1:11">
      <c r="A21" s="229"/>
      <c r="B21" s="239" t="s">
        <v>436</v>
      </c>
      <c r="C21" s="272" t="s">
        <v>437</v>
      </c>
      <c r="D21" s="271">
        <v>3367657.76</v>
      </c>
      <c r="E21" s="271">
        <v>0</v>
      </c>
      <c r="F21" s="271">
        <f>SUM(D21:E21)</f>
        <v>3367657.76</v>
      </c>
      <c r="G21" s="1" t="s">
        <v>2</v>
      </c>
      <c r="H21" s="406"/>
      <c r="I21" s="44"/>
      <c r="J21" s="407"/>
      <c r="K21" s="407"/>
    </row>
    <row r="22" spans="1:11">
      <c r="A22" s="225">
        <v>9</v>
      </c>
      <c r="B22" s="238" t="s">
        <v>438</v>
      </c>
      <c r="C22" s="273"/>
      <c r="D22" s="274"/>
      <c r="E22" s="274"/>
      <c r="F22" s="9"/>
      <c r="H22" s="265"/>
      <c r="K22" s="44"/>
    </row>
    <row r="23" spans="1:11">
      <c r="A23" s="229"/>
      <c r="B23" s="239" t="s">
        <v>439</v>
      </c>
      <c r="C23" s="272" t="s">
        <v>437</v>
      </c>
      <c r="D23" s="271">
        <v>782764</v>
      </c>
      <c r="E23" s="271">
        <v>740213</v>
      </c>
      <c r="F23" s="8">
        <f>+D23+E23</f>
        <v>1522977</v>
      </c>
      <c r="H23" s="265"/>
      <c r="K23" s="44"/>
    </row>
    <row r="24" spans="1:11">
      <c r="A24" s="225">
        <v>10</v>
      </c>
      <c r="B24" s="238" t="s">
        <v>440</v>
      </c>
      <c r="C24" s="273"/>
      <c r="D24" s="274"/>
      <c r="E24" s="274"/>
      <c r="F24" s="9"/>
      <c r="H24" s="265"/>
      <c r="K24" s="44"/>
    </row>
    <row r="25" spans="1:11">
      <c r="A25" s="229"/>
      <c r="B25" s="239" t="s">
        <v>441</v>
      </c>
      <c r="C25" s="272" t="s">
        <v>437</v>
      </c>
      <c r="D25" s="271">
        <v>618693</v>
      </c>
      <c r="E25" s="271"/>
      <c r="F25" s="8">
        <f>+D25+E25</f>
        <v>618693</v>
      </c>
      <c r="G25" s="1" t="s">
        <v>671</v>
      </c>
      <c r="K25" s="407"/>
    </row>
    <row r="26" spans="1:11">
      <c r="A26" s="225">
        <v>11</v>
      </c>
      <c r="B26" s="238" t="s">
        <v>442</v>
      </c>
      <c r="C26" s="273"/>
      <c r="D26" s="274"/>
      <c r="E26" s="274"/>
      <c r="F26" s="9"/>
      <c r="K26" s="44"/>
    </row>
    <row r="27" spans="1:11">
      <c r="A27" s="229"/>
      <c r="B27" s="239" t="s">
        <v>443</v>
      </c>
      <c r="C27" s="272" t="s">
        <v>437</v>
      </c>
      <c r="D27" s="271"/>
      <c r="E27" s="271"/>
      <c r="F27" s="8">
        <f>+D27+E27</f>
        <v>0</v>
      </c>
      <c r="K27" s="44"/>
    </row>
    <row r="28" spans="1:11">
      <c r="A28" s="34">
        <v>12</v>
      </c>
      <c r="B28" s="240" t="s">
        <v>444</v>
      </c>
      <c r="C28" s="275" t="s">
        <v>437</v>
      </c>
      <c r="D28" s="270"/>
      <c r="E28" s="270"/>
      <c r="F28" s="8">
        <f>+D28+E28</f>
        <v>0</v>
      </c>
      <c r="K28" s="44"/>
    </row>
    <row r="29" spans="1:11">
      <c r="A29" s="34">
        <v>13</v>
      </c>
      <c r="B29" s="240" t="s">
        <v>445</v>
      </c>
      <c r="C29" s="275" t="s">
        <v>437</v>
      </c>
      <c r="D29" s="270">
        <f>847294+605429+1</f>
        <v>1452724</v>
      </c>
      <c r="E29" s="270"/>
      <c r="F29" s="8">
        <f>+D29+E29</f>
        <v>1452724</v>
      </c>
      <c r="G29" s="1" t="s">
        <v>671</v>
      </c>
      <c r="K29" s="407"/>
    </row>
    <row r="30" spans="1:11" ht="13.8" thickBot="1">
      <c r="A30" s="225">
        <v>14</v>
      </c>
      <c r="B30" s="238" t="s">
        <v>446</v>
      </c>
      <c r="C30" s="276"/>
      <c r="D30" s="228"/>
      <c r="E30" s="228"/>
      <c r="F30" s="228"/>
      <c r="K30" s="44"/>
    </row>
    <row r="31" spans="1:11" ht="13.8" thickBot="1">
      <c r="A31" s="229"/>
      <c r="B31" s="231" t="s">
        <v>447</v>
      </c>
      <c r="C31" s="62">
        <f>+C19</f>
        <v>11691</v>
      </c>
      <c r="D31" s="68">
        <f>SUM(D19:D29)</f>
        <v>21051776.609999999</v>
      </c>
      <c r="E31" s="68">
        <f>SUM(E19:E29)</f>
        <v>768459</v>
      </c>
      <c r="F31" s="10">
        <f>SUM(F19:F30)</f>
        <v>21831926.609999999</v>
      </c>
      <c r="K31" s="44"/>
    </row>
    <row r="32" spans="1:11">
      <c r="C32" s="70"/>
      <c r="D32" s="70"/>
      <c r="E32" s="70"/>
      <c r="F32" s="70"/>
      <c r="K32" s="44"/>
    </row>
    <row r="33" spans="2:11">
      <c r="B33" s="469" t="s">
        <v>448</v>
      </c>
      <c r="C33" s="470"/>
      <c r="D33" s="286"/>
      <c r="E33" s="70"/>
      <c r="F33" s="70"/>
      <c r="K33" s="44"/>
    </row>
    <row r="34" spans="2:11">
      <c r="B34" s="241" t="s">
        <v>449</v>
      </c>
      <c r="C34" s="242"/>
      <c r="D34" s="277"/>
      <c r="E34" s="70"/>
      <c r="F34" s="70"/>
    </row>
    <row r="35" spans="2:11">
      <c r="C35" s="70"/>
      <c r="D35" s="70"/>
      <c r="E35" s="70"/>
      <c r="F35" s="70"/>
    </row>
    <row r="36" spans="2:11">
      <c r="B36" s="1" t="s">
        <v>479</v>
      </c>
      <c r="F36" s="265"/>
    </row>
  </sheetData>
  <mergeCells count="6">
    <mergeCell ref="B33:C33"/>
    <mergeCell ref="A1:F1"/>
    <mergeCell ref="A2:F2"/>
    <mergeCell ref="A3:F3"/>
    <mergeCell ref="A4:F4"/>
    <mergeCell ref="A6:F6"/>
  </mergeCells>
  <pageMargins left="0.75" right="0.75" top="1" bottom="1" header="0.5" footer="0.5"/>
  <pageSetup scale="83" orientation="portrait" horizontalDpi="4294967293" r:id="rId1"/>
  <headerFooter alignWithMargins="0">
    <oddFooter>&amp;L&amp;Z&amp;F</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57"/>
  <sheetViews>
    <sheetView zoomScale="90" zoomScaleNormal="90" workbookViewId="0">
      <selection activeCell="K16" sqref="K16:L16"/>
    </sheetView>
  </sheetViews>
  <sheetFormatPr defaultColWidth="8.90625" defaultRowHeight="14.4"/>
  <cols>
    <col min="1" max="1" width="2.6328125" style="11" customWidth="1"/>
    <col min="2" max="2" width="28" style="11" customWidth="1"/>
    <col min="3" max="3" width="1.81640625" style="11" customWidth="1"/>
    <col min="4" max="5" width="18.36328125" style="11" customWidth="1"/>
    <col min="6" max="6" width="2.08984375" style="11" customWidth="1"/>
    <col min="7" max="7" width="18.36328125" style="11" customWidth="1"/>
    <col min="8" max="10" width="8.90625" style="11"/>
    <col min="11" max="11" width="7.6328125" style="107" bestFit="1" customWidth="1"/>
    <col min="12" max="12" width="19.81640625" style="24" customWidth="1"/>
    <col min="13" max="13" width="10.36328125" style="11" bestFit="1" customWidth="1"/>
    <col min="14" max="15" width="8.90625" style="11"/>
    <col min="16" max="16" width="10.36328125" style="11" customWidth="1"/>
    <col min="17" max="16384" width="8.90625" style="11"/>
  </cols>
  <sheetData>
    <row r="1" spans="1:12">
      <c r="A1" s="475" t="s">
        <v>503</v>
      </c>
      <c r="B1" s="475"/>
      <c r="C1" s="475"/>
      <c r="D1" s="475"/>
      <c r="E1" s="475"/>
      <c r="F1" s="475"/>
      <c r="G1" s="475"/>
    </row>
    <row r="2" spans="1:12">
      <c r="A2" s="476">
        <v>42369</v>
      </c>
      <c r="B2" s="476"/>
      <c r="C2" s="476"/>
      <c r="D2" s="476"/>
      <c r="E2" s="476"/>
      <c r="F2" s="476"/>
      <c r="G2" s="476"/>
    </row>
    <row r="3" spans="1:12">
      <c r="A3" s="475" t="s">
        <v>450</v>
      </c>
      <c r="B3" s="475"/>
      <c r="C3" s="475"/>
      <c r="D3" s="475"/>
      <c r="E3" s="475"/>
      <c r="F3" s="475"/>
      <c r="G3" s="475"/>
    </row>
    <row r="4" spans="1:12">
      <c r="A4" s="475"/>
      <c r="B4" s="475"/>
      <c r="C4" s="475"/>
      <c r="D4" s="475"/>
      <c r="E4" s="475"/>
      <c r="F4" s="475"/>
      <c r="G4" s="475"/>
      <c r="I4" s="302"/>
      <c r="J4" s="12"/>
      <c r="K4" s="303"/>
      <c r="L4" s="296"/>
    </row>
    <row r="5" spans="1:12">
      <c r="A5" s="475" t="s">
        <v>451</v>
      </c>
      <c r="B5" s="475"/>
      <c r="C5" s="475"/>
      <c r="D5" s="475"/>
      <c r="E5" s="475"/>
      <c r="F5" s="475"/>
      <c r="G5" s="475"/>
    </row>
    <row r="7" spans="1:12">
      <c r="A7" s="13"/>
      <c r="B7" s="14"/>
      <c r="C7" s="15"/>
      <c r="D7" s="477" t="s">
        <v>452</v>
      </c>
      <c r="E7" s="477"/>
      <c r="F7" s="17"/>
      <c r="G7" s="16"/>
    </row>
    <row r="8" spans="1:12">
      <c r="A8" s="473" t="s">
        <v>453</v>
      </c>
      <c r="B8" s="474"/>
      <c r="C8" s="18"/>
      <c r="D8" s="80" t="s">
        <v>422</v>
      </c>
      <c r="E8" s="80" t="s">
        <v>423</v>
      </c>
      <c r="F8" s="17"/>
      <c r="G8" s="19" t="s">
        <v>9</v>
      </c>
    </row>
    <row r="9" spans="1:12">
      <c r="A9" s="18" t="s">
        <v>613</v>
      </c>
      <c r="B9" s="18"/>
      <c r="C9" s="18"/>
      <c r="D9" s="17"/>
      <c r="E9" s="17"/>
      <c r="F9" s="17"/>
      <c r="G9" s="17"/>
    </row>
    <row r="10" spans="1:12">
      <c r="B10" s="11" t="s">
        <v>533</v>
      </c>
      <c r="D10" s="20">
        <v>0</v>
      </c>
      <c r="E10" s="20">
        <v>0</v>
      </c>
      <c r="F10" s="21"/>
      <c r="G10" s="20">
        <f>SUM(D10:E10)</f>
        <v>0</v>
      </c>
      <c r="H10" s="20" t="s">
        <v>614</v>
      </c>
      <c r="I10" s="20"/>
      <c r="J10" s="20"/>
    </row>
    <row r="11" spans="1:12" ht="15" thickBot="1">
      <c r="B11" s="11" t="s">
        <v>615</v>
      </c>
      <c r="D11" s="20">
        <v>2655.21</v>
      </c>
      <c r="E11" s="20">
        <f>2572.24+5357.52+131.26</f>
        <v>8061.02</v>
      </c>
      <c r="F11" s="21"/>
      <c r="G11" s="20">
        <f>SUM(D11:E11)</f>
        <v>10716.23</v>
      </c>
      <c r="H11" s="22">
        <f>SUM(G9:G11)</f>
        <v>10716.23</v>
      </c>
      <c r="I11" s="20"/>
      <c r="J11" s="20"/>
    </row>
    <row r="12" spans="1:12" ht="15" thickTop="1">
      <c r="D12" s="20"/>
      <c r="E12" s="20"/>
      <c r="F12" s="21"/>
      <c r="G12" s="20"/>
      <c r="H12" s="20"/>
      <c r="I12" s="20"/>
      <c r="J12" s="20"/>
    </row>
    <row r="13" spans="1:12">
      <c r="A13" s="11" t="s">
        <v>616</v>
      </c>
      <c r="D13" s="20"/>
      <c r="E13" s="20"/>
      <c r="F13" s="21"/>
      <c r="G13" s="20"/>
      <c r="H13" s="20"/>
      <c r="I13" s="20"/>
      <c r="J13" s="20"/>
    </row>
    <row r="14" spans="1:12">
      <c r="B14" s="11" t="s">
        <v>617</v>
      </c>
      <c r="D14" s="20">
        <v>0</v>
      </c>
      <c r="E14" s="20">
        <v>0</v>
      </c>
      <c r="F14" s="21"/>
      <c r="G14" s="20">
        <f>SUM(D14:E14)</f>
        <v>0</v>
      </c>
      <c r="H14" s="20"/>
      <c r="I14" s="20"/>
      <c r="J14" s="20"/>
    </row>
    <row r="15" spans="1:12">
      <c r="B15" s="11" t="s">
        <v>454</v>
      </c>
      <c r="D15" s="20">
        <v>0</v>
      </c>
      <c r="E15" s="20">
        <v>0</v>
      </c>
      <c r="F15" s="21"/>
      <c r="G15" s="20">
        <f>SUM(D15:E15)</f>
        <v>0</v>
      </c>
      <c r="H15" s="25" t="s">
        <v>618</v>
      </c>
      <c r="I15" s="25"/>
      <c r="J15" s="25"/>
      <c r="K15" s="303"/>
      <c r="L15" s="296"/>
    </row>
    <row r="16" spans="1:12" ht="15" thickBot="1">
      <c r="B16" s="11" t="s">
        <v>455</v>
      </c>
      <c r="D16" s="20">
        <v>0</v>
      </c>
      <c r="E16" s="20">
        <v>0</v>
      </c>
      <c r="F16" s="21"/>
      <c r="G16" s="20">
        <f>SUM(D16:E16)</f>
        <v>0</v>
      </c>
      <c r="H16" s="295">
        <f>SUM(G14:G16)</f>
        <v>0</v>
      </c>
      <c r="I16" s="25"/>
      <c r="J16" s="25"/>
      <c r="K16" s="455"/>
      <c r="L16" s="296"/>
    </row>
    <row r="17" spans="1:10" ht="15" thickTop="1">
      <c r="D17" s="20"/>
      <c r="E17" s="20"/>
      <c r="F17" s="21"/>
      <c r="G17" s="20"/>
      <c r="H17" s="20"/>
      <c r="I17" s="20"/>
      <c r="J17" s="20"/>
    </row>
    <row r="18" spans="1:10">
      <c r="A18" s="11" t="s">
        <v>619</v>
      </c>
      <c r="D18" s="20"/>
      <c r="E18" s="20"/>
      <c r="F18" s="21"/>
      <c r="G18" s="20"/>
      <c r="H18" s="20"/>
      <c r="I18" s="20"/>
      <c r="J18" s="20"/>
    </row>
    <row r="19" spans="1:10">
      <c r="B19" s="86" t="s">
        <v>551</v>
      </c>
      <c r="D19" s="20">
        <v>462.38</v>
      </c>
      <c r="E19" s="20">
        <v>0</v>
      </c>
      <c r="F19" s="21"/>
      <c r="G19" s="20">
        <f t="shared" ref="G19:G24" si="0">SUM(D19:E19)</f>
        <v>462.38</v>
      </c>
      <c r="H19" s="20"/>
      <c r="I19" s="20"/>
      <c r="J19" s="20"/>
    </row>
    <row r="20" spans="1:10">
      <c r="B20" s="86" t="s">
        <v>620</v>
      </c>
      <c r="D20" s="20">
        <v>15016.87</v>
      </c>
      <c r="E20" s="20">
        <v>0</v>
      </c>
      <c r="F20" s="21"/>
      <c r="G20" s="20">
        <f t="shared" si="0"/>
        <v>15016.87</v>
      </c>
      <c r="H20" s="20"/>
      <c r="I20" s="20"/>
      <c r="J20" s="20"/>
    </row>
    <row r="21" spans="1:10">
      <c r="B21" s="86" t="s">
        <v>621</v>
      </c>
      <c r="D21" s="20">
        <v>173753.66</v>
      </c>
      <c r="E21" s="20">
        <v>0</v>
      </c>
      <c r="F21" s="21"/>
      <c r="G21" s="20">
        <f t="shared" si="0"/>
        <v>173753.66</v>
      </c>
      <c r="H21" s="20"/>
      <c r="I21" s="20"/>
      <c r="J21" s="20"/>
    </row>
    <row r="22" spans="1:10">
      <c r="B22" s="86" t="s">
        <v>622</v>
      </c>
      <c r="D22" s="20">
        <v>54368.81</v>
      </c>
      <c r="E22" s="20">
        <v>0</v>
      </c>
      <c r="F22" s="21"/>
      <c r="G22" s="20">
        <f t="shared" si="0"/>
        <v>54368.81</v>
      </c>
      <c r="H22" s="20"/>
      <c r="I22" s="20"/>
      <c r="J22" s="20"/>
    </row>
    <row r="23" spans="1:10">
      <c r="B23" s="86" t="s">
        <v>623</v>
      </c>
      <c r="D23" s="20">
        <v>11127.76</v>
      </c>
      <c r="E23" s="20">
        <v>0</v>
      </c>
      <c r="F23" s="21"/>
      <c r="G23" s="20">
        <f t="shared" si="0"/>
        <v>11127.76</v>
      </c>
      <c r="H23" s="20" t="s">
        <v>624</v>
      </c>
      <c r="I23" s="20"/>
      <c r="J23" s="20"/>
    </row>
    <row r="24" spans="1:10" ht="15" thickBot="1">
      <c r="B24" s="86" t="s">
        <v>556</v>
      </c>
      <c r="D24" s="20">
        <v>18331.669999999998</v>
      </c>
      <c r="E24" s="20">
        <v>0</v>
      </c>
      <c r="F24" s="21"/>
      <c r="G24" s="20">
        <f t="shared" si="0"/>
        <v>18331.669999999998</v>
      </c>
      <c r="H24" s="22">
        <f>SUM(G19:G24)</f>
        <v>273061.15000000002</v>
      </c>
      <c r="I24" s="20"/>
      <c r="J24" s="20"/>
    </row>
    <row r="25" spans="1:10" ht="15" thickTop="1">
      <c r="B25" s="86"/>
      <c r="D25" s="20"/>
      <c r="E25" s="20"/>
      <c r="F25" s="21"/>
      <c r="G25" s="20"/>
      <c r="H25" s="20"/>
      <c r="I25" s="20"/>
      <c r="J25" s="20"/>
    </row>
    <row r="26" spans="1:10">
      <c r="A26" s="11" t="s">
        <v>625</v>
      </c>
      <c r="D26" s="20"/>
      <c r="E26" s="20"/>
      <c r="F26" s="21"/>
      <c r="G26" s="20"/>
      <c r="H26" s="20"/>
      <c r="I26" s="20"/>
      <c r="J26" s="20"/>
    </row>
    <row r="27" spans="1:10">
      <c r="B27" s="86" t="s">
        <v>551</v>
      </c>
      <c r="D27" s="20">
        <v>0</v>
      </c>
      <c r="E27" s="25">
        <v>25757.75</v>
      </c>
      <c r="F27" s="294"/>
      <c r="G27" s="25">
        <f t="shared" ref="G27:G34" si="1">SUM(D27:E27)</f>
        <v>25757.75</v>
      </c>
      <c r="H27" s="25"/>
      <c r="I27" s="25"/>
      <c r="J27" s="25"/>
    </row>
    <row r="28" spans="1:10">
      <c r="B28" s="86" t="s">
        <v>563</v>
      </c>
      <c r="D28" s="20">
        <v>0</v>
      </c>
      <c r="E28" s="25">
        <v>77630.2</v>
      </c>
      <c r="F28" s="294"/>
      <c r="G28" s="25">
        <f t="shared" si="1"/>
        <v>77630.2</v>
      </c>
      <c r="H28" s="25"/>
      <c r="I28" s="25"/>
      <c r="J28" s="25"/>
    </row>
    <row r="29" spans="1:10">
      <c r="B29" s="86" t="s">
        <v>564</v>
      </c>
      <c r="D29" s="20">
        <v>0</v>
      </c>
      <c r="E29" s="25">
        <v>282186.95</v>
      </c>
      <c r="F29" s="294"/>
      <c r="G29" s="25">
        <f t="shared" si="1"/>
        <v>282186.95</v>
      </c>
      <c r="H29" s="25"/>
      <c r="I29" s="25"/>
      <c r="J29" s="25"/>
    </row>
    <row r="30" spans="1:10">
      <c r="B30" s="86" t="s">
        <v>565</v>
      </c>
      <c r="D30" s="20">
        <v>0</v>
      </c>
      <c r="E30" s="25">
        <v>9930.1200000000008</v>
      </c>
      <c r="F30" s="294"/>
      <c r="G30" s="25">
        <f t="shared" si="1"/>
        <v>9930.1200000000008</v>
      </c>
      <c r="H30" s="25"/>
      <c r="I30" s="25"/>
      <c r="J30" s="25"/>
    </row>
    <row r="31" spans="1:10">
      <c r="B31" s="86" t="s">
        <v>566</v>
      </c>
      <c r="D31" s="20">
        <v>0</v>
      </c>
      <c r="E31" s="25">
        <v>9533.02</v>
      </c>
      <c r="F31" s="294"/>
      <c r="G31" s="25">
        <f t="shared" si="1"/>
        <v>9533.02</v>
      </c>
      <c r="H31" s="25"/>
      <c r="I31" s="25"/>
      <c r="J31" s="25"/>
    </row>
    <row r="32" spans="1:10">
      <c r="B32" s="86" t="s">
        <v>567</v>
      </c>
      <c r="D32" s="20">
        <v>0</v>
      </c>
      <c r="E32" s="25">
        <v>28399.03</v>
      </c>
      <c r="F32" s="294"/>
      <c r="G32" s="25">
        <f t="shared" si="1"/>
        <v>28399.03</v>
      </c>
      <c r="H32" s="25"/>
      <c r="I32" s="25"/>
      <c r="J32" s="25"/>
    </row>
    <row r="33" spans="1:18">
      <c r="B33" s="86" t="s">
        <v>568</v>
      </c>
      <c r="D33" s="20">
        <v>0</v>
      </c>
      <c r="E33" s="25">
        <v>39352.33</v>
      </c>
      <c r="F33" s="294"/>
      <c r="G33" s="25">
        <f t="shared" si="1"/>
        <v>39352.33</v>
      </c>
      <c r="H33" s="25" t="s">
        <v>626</v>
      </c>
      <c r="I33" s="25"/>
      <c r="J33" s="25"/>
    </row>
    <row r="34" spans="1:18" ht="15" thickBot="1">
      <c r="B34" s="86" t="s">
        <v>569</v>
      </c>
      <c r="D34" s="20">
        <v>0</v>
      </c>
      <c r="E34" s="25">
        <v>2777.19</v>
      </c>
      <c r="F34" s="294"/>
      <c r="G34" s="25">
        <f t="shared" si="1"/>
        <v>2777.19</v>
      </c>
      <c r="H34" s="295">
        <f>SUM(G27:G34)</f>
        <v>475566.59000000008</v>
      </c>
      <c r="I34" s="25"/>
      <c r="J34" s="25"/>
    </row>
    <row r="35" spans="1:18" ht="15" thickTop="1">
      <c r="B35" s="86"/>
      <c r="D35" s="20"/>
      <c r="E35" s="25"/>
      <c r="F35" s="294"/>
      <c r="G35" s="25"/>
      <c r="H35" s="25"/>
      <c r="I35" s="25"/>
      <c r="J35" s="25"/>
      <c r="K35" s="472" t="s">
        <v>657</v>
      </c>
      <c r="L35" s="472"/>
      <c r="M35" s="472"/>
    </row>
    <row r="36" spans="1:18">
      <c r="A36" s="11" t="s">
        <v>627</v>
      </c>
      <c r="D36" s="20"/>
      <c r="E36" s="25"/>
      <c r="F36" s="294"/>
      <c r="G36" s="25"/>
      <c r="H36" s="25"/>
      <c r="I36" s="25"/>
      <c r="J36" s="25"/>
      <c r="K36" s="472" t="s">
        <v>658</v>
      </c>
      <c r="L36" s="472"/>
      <c r="M36" s="472"/>
    </row>
    <row r="37" spans="1:18">
      <c r="B37" s="86" t="s">
        <v>456</v>
      </c>
      <c r="D37" s="20">
        <v>116192.2</v>
      </c>
      <c r="E37" s="20">
        <v>0</v>
      </c>
      <c r="F37" s="21"/>
      <c r="G37" s="20">
        <f t="shared" ref="G37:G42" si="2">SUM(D37:E37)</f>
        <v>116192.2</v>
      </c>
      <c r="H37" s="20"/>
      <c r="I37" s="20"/>
      <c r="J37" s="20"/>
      <c r="K37" s="471">
        <v>42369</v>
      </c>
      <c r="L37" s="471"/>
      <c r="M37" s="471"/>
      <c r="N37" s="12"/>
      <c r="O37" s="12"/>
      <c r="P37" s="12"/>
      <c r="Q37" s="12"/>
      <c r="R37" s="12"/>
    </row>
    <row r="38" spans="1:18">
      <c r="B38" s="86" t="s">
        <v>572</v>
      </c>
      <c r="D38" s="20">
        <v>14243.15</v>
      </c>
      <c r="E38" s="20">
        <v>0</v>
      </c>
      <c r="F38" s="21"/>
      <c r="G38" s="20">
        <f t="shared" si="2"/>
        <v>14243.15</v>
      </c>
      <c r="H38" s="20"/>
      <c r="I38" s="20"/>
      <c r="J38" s="20"/>
      <c r="K38" s="288"/>
      <c r="L38" s="288"/>
      <c r="M38" s="288"/>
      <c r="N38" s="12"/>
      <c r="O38" s="12"/>
      <c r="P38" s="12"/>
      <c r="Q38" s="12"/>
      <c r="R38" s="12"/>
    </row>
    <row r="39" spans="1:18">
      <c r="B39" s="103" t="s">
        <v>573</v>
      </c>
      <c r="D39" s="20">
        <v>213810.16</v>
      </c>
      <c r="E39" s="20">
        <v>0</v>
      </c>
      <c r="F39" s="21"/>
      <c r="G39" s="20">
        <f t="shared" si="2"/>
        <v>213810.16</v>
      </c>
      <c r="H39" s="20" t="s">
        <v>667</v>
      </c>
      <c r="I39" s="20"/>
      <c r="J39" s="20"/>
      <c r="K39" s="289" t="s">
        <v>659</v>
      </c>
      <c r="L39" s="288"/>
      <c r="M39" s="289">
        <v>2015</v>
      </c>
      <c r="N39" s="12"/>
      <c r="O39" s="12"/>
      <c r="P39" s="12"/>
      <c r="Q39" s="12"/>
      <c r="R39" s="12"/>
    </row>
    <row r="40" spans="1:18">
      <c r="B40" s="86" t="s">
        <v>574</v>
      </c>
      <c r="D40" s="20">
        <v>0</v>
      </c>
      <c r="E40" s="20">
        <v>0</v>
      </c>
      <c r="F40" s="21"/>
      <c r="G40" s="20">
        <f t="shared" si="2"/>
        <v>0</v>
      </c>
      <c r="H40" s="20"/>
      <c r="I40" s="20"/>
      <c r="J40" s="20"/>
      <c r="K40" s="290" t="s">
        <v>660</v>
      </c>
      <c r="L40" s="290" t="s">
        <v>661</v>
      </c>
      <c r="M40" s="290" t="s">
        <v>662</v>
      </c>
      <c r="N40" s="12"/>
      <c r="O40" s="12"/>
      <c r="P40" s="12"/>
      <c r="Q40" s="12"/>
      <c r="R40" s="12"/>
    </row>
    <row r="41" spans="1:18">
      <c r="B41" s="103" t="s">
        <v>575</v>
      </c>
      <c r="D41" s="20">
        <v>58388.38</v>
      </c>
      <c r="E41" s="20">
        <v>0</v>
      </c>
      <c r="F41" s="21"/>
      <c r="G41" s="20">
        <f t="shared" si="2"/>
        <v>58388.38</v>
      </c>
      <c r="H41" s="20"/>
      <c r="I41" s="20"/>
      <c r="J41" s="20"/>
      <c r="K41" s="289">
        <v>605</v>
      </c>
      <c r="L41" s="288" t="s">
        <v>663</v>
      </c>
      <c r="M41" s="107">
        <v>35546.160000000003</v>
      </c>
      <c r="N41" s="25"/>
      <c r="O41" s="25"/>
      <c r="P41" s="25"/>
      <c r="Q41" s="25"/>
      <c r="R41" s="12"/>
    </row>
    <row r="42" spans="1:18">
      <c r="B42" s="86" t="s">
        <v>577</v>
      </c>
      <c r="D42" s="20">
        <v>0</v>
      </c>
      <c r="E42" s="20">
        <v>0</v>
      </c>
      <c r="F42" s="21"/>
      <c r="G42" s="20">
        <f t="shared" si="2"/>
        <v>0</v>
      </c>
      <c r="H42" s="20"/>
      <c r="I42" s="20"/>
      <c r="J42" s="20"/>
      <c r="K42" s="289">
        <v>610</v>
      </c>
      <c r="L42" s="288" t="s">
        <v>663</v>
      </c>
      <c r="M42" s="107">
        <v>27069.94</v>
      </c>
    </row>
    <row r="43" spans="1:18">
      <c r="D43" s="20"/>
      <c r="E43" s="20"/>
      <c r="F43" s="21"/>
      <c r="G43" s="20"/>
      <c r="H43" s="20"/>
      <c r="I43" s="20"/>
      <c r="J43" s="20"/>
      <c r="K43" s="289">
        <v>616</v>
      </c>
      <c r="L43" s="288" t="s">
        <v>664</v>
      </c>
      <c r="M43" s="107">
        <v>47809.97</v>
      </c>
    </row>
    <row r="44" spans="1:18">
      <c r="A44" s="11" t="s">
        <v>471</v>
      </c>
      <c r="D44" s="20"/>
      <c r="E44" s="20"/>
      <c r="F44" s="21"/>
      <c r="G44" s="20"/>
      <c r="H44" s="20"/>
      <c r="I44" s="20"/>
      <c r="J44" s="20"/>
      <c r="K44" s="289">
        <v>619</v>
      </c>
      <c r="L44" s="288" t="s">
        <v>663</v>
      </c>
      <c r="M44" s="107">
        <v>47822.57</v>
      </c>
    </row>
    <row r="45" spans="1:18">
      <c r="B45" s="97" t="s">
        <v>581</v>
      </c>
      <c r="D45" s="20">
        <v>0</v>
      </c>
      <c r="E45" s="20">
        <v>0</v>
      </c>
      <c r="F45" s="21"/>
      <c r="G45" s="20">
        <f>SUM(D45:E45)</f>
        <v>0</v>
      </c>
      <c r="H45" s="20" t="s">
        <v>628</v>
      </c>
      <c r="I45" s="20"/>
      <c r="J45" s="20"/>
      <c r="K45" s="289">
        <v>620</v>
      </c>
      <c r="L45" s="288" t="s">
        <v>665</v>
      </c>
      <c r="M45" s="107">
        <v>55561.5</v>
      </c>
    </row>
    <row r="46" spans="1:18" ht="15" thickBot="1">
      <c r="B46" s="97" t="s">
        <v>582</v>
      </c>
      <c r="D46" s="20">
        <v>0</v>
      </c>
      <c r="E46" s="20">
        <v>0</v>
      </c>
      <c r="F46" s="21"/>
      <c r="G46" s="20">
        <f>SUM(D46:E46)</f>
        <v>0</v>
      </c>
      <c r="H46" s="22">
        <f>SUM(G36:G46)</f>
        <v>402633.89</v>
      </c>
      <c r="I46" s="20"/>
      <c r="J46" s="20"/>
      <c r="K46" s="289">
        <v>818</v>
      </c>
      <c r="L46" s="288" t="s">
        <v>666</v>
      </c>
      <c r="M46" s="291">
        <v>0</v>
      </c>
      <c r="N46" s="11" t="s">
        <v>694</v>
      </c>
    </row>
    <row r="47" spans="1:18" ht="15" thickTop="1">
      <c r="D47" s="20"/>
      <c r="E47" s="20"/>
      <c r="F47" s="21"/>
      <c r="G47" s="20"/>
      <c r="H47" s="20"/>
      <c r="I47" s="20"/>
      <c r="J47" s="20"/>
      <c r="K47" s="288"/>
      <c r="L47" s="288" t="s">
        <v>670</v>
      </c>
      <c r="M47" s="107">
        <f>SUM(M41:M46)</f>
        <v>213810.14</v>
      </c>
    </row>
    <row r="48" spans="1:18" ht="15" thickBot="1">
      <c r="B48" s="11" t="s">
        <v>9</v>
      </c>
      <c r="D48" s="22">
        <f>SUM(D10:D47)</f>
        <v>678350.25</v>
      </c>
      <c r="E48" s="22">
        <f>SUM(E10:E47)</f>
        <v>483627.6100000001</v>
      </c>
      <c r="F48" s="21"/>
      <c r="G48" s="22">
        <f>SUM(G10:G47)</f>
        <v>1161977.8599999999</v>
      </c>
      <c r="H48" s="296">
        <f>+SUM(H11:H46)-G48</f>
        <v>0</v>
      </c>
      <c r="K48" s="288"/>
      <c r="M48" s="24"/>
    </row>
    <row r="49" spans="2:14" ht="15" thickTop="1">
      <c r="F49" s="15"/>
      <c r="L49" s="293" t="s">
        <v>668</v>
      </c>
      <c r="M49" s="107">
        <f>SUM(M41:M45)</f>
        <v>213810.14</v>
      </c>
      <c r="N49" s="11" t="s">
        <v>672</v>
      </c>
    </row>
    <row r="50" spans="2:14">
      <c r="F50" s="15"/>
      <c r="L50" s="288" t="s">
        <v>669</v>
      </c>
      <c r="M50" s="107">
        <f>+M46</f>
        <v>0</v>
      </c>
      <c r="N50" s="11" t="s">
        <v>673</v>
      </c>
    </row>
    <row r="51" spans="2:14">
      <c r="B51" s="108" t="s">
        <v>629</v>
      </c>
      <c r="F51" s="15"/>
      <c r="K51" s="288"/>
    </row>
    <row r="52" spans="2:14">
      <c r="K52" s="288"/>
      <c r="L52" s="288"/>
      <c r="M52" s="292"/>
    </row>
    <row r="53" spans="2:14">
      <c r="M53" s="24"/>
    </row>
    <row r="54" spans="2:14">
      <c r="M54" s="24"/>
    </row>
    <row r="55" spans="2:14">
      <c r="M55" s="24"/>
    </row>
    <row r="56" spans="2:14">
      <c r="M56" s="24"/>
    </row>
    <row r="57" spans="2:14">
      <c r="M57" s="24"/>
    </row>
  </sheetData>
  <mergeCells count="10">
    <mergeCell ref="K37:M37"/>
    <mergeCell ref="K35:M35"/>
    <mergeCell ref="K36:M36"/>
    <mergeCell ref="A8:B8"/>
    <mergeCell ref="A1:G1"/>
    <mergeCell ref="A2:G2"/>
    <mergeCell ref="A3:G3"/>
    <mergeCell ref="A4:G4"/>
    <mergeCell ref="A5:G5"/>
    <mergeCell ref="D7:E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215"/>
  <sheetViews>
    <sheetView topLeftCell="A22" zoomScale="90" zoomScaleNormal="90" workbookViewId="0">
      <selection activeCell="F32" sqref="F32:H37"/>
    </sheetView>
  </sheetViews>
  <sheetFormatPr defaultColWidth="7.1796875" defaultRowHeight="13.2" customHeight="1"/>
  <cols>
    <col min="1" max="1" width="7.08984375" style="86" customWidth="1"/>
    <col min="2" max="2" width="30.6328125" style="86" customWidth="1"/>
    <col min="3" max="3" width="1.90625" style="86" customWidth="1"/>
    <col min="4" max="4" width="14.1796875" style="23" customWidth="1"/>
    <col min="5" max="5" width="1.90625" style="86" customWidth="1"/>
    <col min="6" max="6" width="15" style="23" customWidth="1"/>
    <col min="7" max="7" width="2.6328125" style="86" customWidth="1"/>
    <col min="8" max="8" width="15.90625" style="23" customWidth="1"/>
    <col min="9" max="9" width="7.453125" style="86" bestFit="1" customWidth="1"/>
    <col min="10" max="10" width="7.1796875" style="86"/>
    <col min="11" max="11" width="7.453125" style="86" bestFit="1" customWidth="1"/>
    <col min="12" max="16384" width="7.1796875" style="86"/>
  </cols>
  <sheetData>
    <row r="1" spans="1:10" ht="13.2" customHeight="1">
      <c r="A1" s="85"/>
      <c r="B1" s="85"/>
    </row>
    <row r="2" spans="1:10" ht="13.2" customHeight="1">
      <c r="A2" s="478" t="s">
        <v>504</v>
      </c>
      <c r="B2" s="478"/>
      <c r="C2" s="478"/>
      <c r="D2" s="478"/>
    </row>
    <row r="3" spans="1:10" ht="13.2" customHeight="1">
      <c r="A3" s="478" t="s">
        <v>459</v>
      </c>
      <c r="B3" s="478"/>
      <c r="C3" s="478"/>
      <c r="D3" s="478"/>
    </row>
    <row r="4" spans="1:10" ht="13.2" customHeight="1">
      <c r="A4" s="478" t="s">
        <v>505</v>
      </c>
      <c r="B4" s="478"/>
      <c r="C4" s="478"/>
      <c r="D4" s="478"/>
      <c r="F4" s="302"/>
      <c r="G4" s="12"/>
      <c r="H4" s="303"/>
      <c r="I4" s="296"/>
      <c r="J4" s="103"/>
    </row>
    <row r="5" spans="1:10" ht="13.2" customHeight="1">
      <c r="A5" s="478" t="s">
        <v>689</v>
      </c>
      <c r="B5" s="478"/>
      <c r="C5" s="478"/>
      <c r="D5" s="478"/>
      <c r="F5" s="91"/>
      <c r="G5" s="103"/>
      <c r="H5" s="91"/>
      <c r="I5" s="103"/>
      <c r="J5" s="103"/>
    </row>
    <row r="6" spans="1:10" ht="13.2" customHeight="1" thickBot="1">
      <c r="A6" s="87"/>
      <c r="B6" s="88"/>
      <c r="C6" s="88"/>
      <c r="D6" s="88"/>
      <c r="F6" s="91"/>
      <c r="G6" s="103"/>
      <c r="H6" s="91"/>
      <c r="I6" s="103"/>
      <c r="J6" s="103"/>
    </row>
    <row r="7" spans="1:10" ht="15" customHeight="1" thickTop="1">
      <c r="A7" s="89"/>
      <c r="B7" s="89"/>
      <c r="F7" s="91"/>
      <c r="G7" s="103"/>
      <c r="H7" s="91"/>
      <c r="I7" s="103"/>
      <c r="J7" s="103"/>
    </row>
    <row r="8" spans="1:10" ht="15" customHeight="1">
      <c r="A8" s="89"/>
    </row>
    <row r="9" spans="1:10" ht="15" customHeight="1">
      <c r="A9" s="89" t="s">
        <v>460</v>
      </c>
      <c r="B9" s="89"/>
    </row>
    <row r="10" spans="1:10" ht="15" customHeight="1">
      <c r="A10" s="90">
        <v>440</v>
      </c>
      <c r="B10" s="86" t="s">
        <v>506</v>
      </c>
      <c r="D10" s="91">
        <f>5908440.18+1450489.05+162278.36+30589.71</f>
        <v>7551797.2999999998</v>
      </c>
    </row>
    <row r="11" spans="1:10" ht="15" customHeight="1">
      <c r="A11" s="90">
        <v>442</v>
      </c>
      <c r="B11" s="86" t="s">
        <v>507</v>
      </c>
      <c r="D11" s="91">
        <f>3276910.99+13204032.92+176789.36-72+7534.35</f>
        <v>16665195.619999999</v>
      </c>
    </row>
    <row r="12" spans="1:10" ht="15" customHeight="1">
      <c r="A12" s="90"/>
      <c r="B12" s="86" t="s">
        <v>508</v>
      </c>
      <c r="D12" s="91"/>
    </row>
    <row r="13" spans="1:10" ht="15" customHeight="1">
      <c r="A13" s="90">
        <v>444</v>
      </c>
      <c r="B13" s="86" t="s">
        <v>509</v>
      </c>
      <c r="D13" s="91">
        <f>151104.51+4661.73</f>
        <v>155766.24000000002</v>
      </c>
    </row>
    <row r="14" spans="1:10" ht="15" customHeight="1">
      <c r="A14" s="90">
        <v>445</v>
      </c>
      <c r="B14" s="86" t="s">
        <v>510</v>
      </c>
      <c r="D14" s="91">
        <v>83076.91</v>
      </c>
    </row>
    <row r="15" spans="1:10" ht="15" customHeight="1">
      <c r="A15" s="90">
        <v>448</v>
      </c>
      <c r="B15" s="86" t="s">
        <v>511</v>
      </c>
      <c r="D15" s="91">
        <v>128732.66</v>
      </c>
    </row>
    <row r="16" spans="1:10" ht="15" customHeight="1">
      <c r="A16" s="90">
        <v>443</v>
      </c>
      <c r="B16" s="86" t="s">
        <v>512</v>
      </c>
      <c r="D16" s="91"/>
    </row>
    <row r="17" spans="1:8" ht="15" customHeight="1">
      <c r="B17" s="92" t="s">
        <v>513</v>
      </c>
      <c r="D17" s="93">
        <f>SUM(D10:D16)</f>
        <v>24584568.729999997</v>
      </c>
    </row>
    <row r="18" spans="1:8" ht="15" customHeight="1">
      <c r="A18" s="94"/>
      <c r="B18" s="95"/>
      <c r="D18" s="91"/>
    </row>
    <row r="19" spans="1:8" ht="15" customHeight="1">
      <c r="A19" s="92" t="s">
        <v>514</v>
      </c>
      <c r="D19" s="91"/>
      <c r="F19" s="23" t="s">
        <v>733</v>
      </c>
    </row>
    <row r="20" spans="1:8" ht="15" customHeight="1">
      <c r="A20" s="90">
        <v>450</v>
      </c>
      <c r="B20" s="86" t="s">
        <v>515</v>
      </c>
      <c r="D20" s="91">
        <v>140481.85</v>
      </c>
    </row>
    <row r="21" spans="1:8" ht="15" customHeight="1">
      <c r="A21" s="90">
        <v>451</v>
      </c>
      <c r="B21" s="96" t="s">
        <v>516</v>
      </c>
      <c r="D21" s="91">
        <f>15100+1220+26220</f>
        <v>42540</v>
      </c>
    </row>
    <row r="22" spans="1:8" ht="15" customHeight="1">
      <c r="A22" s="90">
        <v>454</v>
      </c>
      <c r="B22" s="97" t="s">
        <v>517</v>
      </c>
      <c r="D22" s="91">
        <v>0</v>
      </c>
      <c r="F22" s="23" t="s">
        <v>518</v>
      </c>
    </row>
    <row r="23" spans="1:8" ht="15" customHeight="1">
      <c r="A23" s="90">
        <v>454</v>
      </c>
      <c r="B23" s="97" t="s">
        <v>519</v>
      </c>
      <c r="D23" s="91">
        <f>52251</f>
        <v>52251</v>
      </c>
      <c r="E23" s="103"/>
      <c r="F23" s="91" t="s">
        <v>520</v>
      </c>
      <c r="G23" s="103"/>
      <c r="H23" s="91"/>
    </row>
    <row r="24" spans="1:8" ht="15" customHeight="1">
      <c r="A24" s="90">
        <v>454</v>
      </c>
      <c r="B24" s="97" t="s">
        <v>521</v>
      </c>
      <c r="D24" s="91">
        <v>26186</v>
      </c>
      <c r="E24" s="103"/>
      <c r="F24" s="91" t="s">
        <v>522</v>
      </c>
      <c r="G24" s="103"/>
      <c r="H24" s="91"/>
    </row>
    <row r="25" spans="1:8" ht="15" customHeight="1">
      <c r="A25" s="90">
        <v>456</v>
      </c>
      <c r="B25" s="97" t="s">
        <v>523</v>
      </c>
      <c r="D25" s="91">
        <f>1598.32+80228.7</f>
        <v>81827.02</v>
      </c>
      <c r="E25" s="103"/>
      <c r="F25" s="91"/>
      <c r="G25" s="103"/>
      <c r="H25" s="91"/>
    </row>
    <row r="26" spans="1:8" ht="15" customHeight="1">
      <c r="A26" s="90">
        <v>456.1</v>
      </c>
      <c r="B26" s="97" t="s">
        <v>734</v>
      </c>
      <c r="D26" s="91">
        <v>10958.59</v>
      </c>
      <c r="E26" s="103"/>
      <c r="F26" s="91"/>
      <c r="G26" s="103"/>
      <c r="H26" s="91"/>
    </row>
    <row r="27" spans="1:8" ht="15" customHeight="1">
      <c r="A27" s="90"/>
      <c r="B27" s="97" t="s">
        <v>524</v>
      </c>
      <c r="D27" s="91"/>
      <c r="E27" s="103"/>
      <c r="F27" s="91"/>
      <c r="G27" s="103"/>
      <c r="H27" s="91"/>
    </row>
    <row r="28" spans="1:8" ht="15" customHeight="1">
      <c r="A28" s="90"/>
      <c r="B28" s="92" t="s">
        <v>525</v>
      </c>
      <c r="D28" s="93">
        <f>SUM(D20:D27)</f>
        <v>354244.46</v>
      </c>
      <c r="E28" s="103"/>
      <c r="F28" s="91"/>
      <c r="G28" s="103"/>
      <c r="H28" s="91"/>
    </row>
    <row r="29" spans="1:8" ht="15" customHeight="1">
      <c r="A29" s="90"/>
      <c r="B29" s="92"/>
      <c r="D29" s="98"/>
      <c r="E29" s="103"/>
      <c r="F29" s="91"/>
      <c r="G29" s="103"/>
      <c r="H29" s="91"/>
    </row>
    <row r="30" spans="1:8" ht="15" customHeight="1">
      <c r="A30" s="99" t="s">
        <v>461</v>
      </c>
      <c r="B30" s="92"/>
      <c r="D30" s="100">
        <f>+D28+D17</f>
        <v>24938813.189999998</v>
      </c>
    </row>
    <row r="31" spans="1:8" ht="15" customHeight="1">
      <c r="A31" s="90"/>
      <c r="B31" s="92"/>
      <c r="D31" s="91"/>
    </row>
    <row r="32" spans="1:8" ht="15" customHeight="1">
      <c r="A32" s="101" t="s">
        <v>526</v>
      </c>
      <c r="D32" s="91"/>
      <c r="F32" s="23" t="s">
        <v>675</v>
      </c>
    </row>
    <row r="33" spans="1:11" ht="15" customHeight="1">
      <c r="B33" s="102" t="s">
        <v>527</v>
      </c>
      <c r="D33" s="91"/>
      <c r="F33" s="23">
        <v>2992979.62</v>
      </c>
      <c r="H33" s="23" t="s">
        <v>528</v>
      </c>
    </row>
    <row r="34" spans="1:11" ht="15" customHeight="1">
      <c r="B34" s="103" t="s">
        <v>528</v>
      </c>
      <c r="D34" s="91">
        <v>2992979.62</v>
      </c>
      <c r="F34" s="23">
        <v>11828116.23</v>
      </c>
      <c r="H34" s="23" t="s">
        <v>647</v>
      </c>
    </row>
    <row r="35" spans="1:11" ht="15" customHeight="1">
      <c r="B35" s="103" t="s">
        <v>529</v>
      </c>
      <c r="D35" s="91">
        <v>15195773.99</v>
      </c>
      <c r="F35" s="23">
        <v>1125934.48</v>
      </c>
      <c r="H35" s="23" t="s">
        <v>649</v>
      </c>
    </row>
    <row r="36" spans="1:11" ht="15" customHeight="1">
      <c r="B36" s="103" t="s">
        <v>530</v>
      </c>
      <c r="D36" s="91"/>
      <c r="F36" s="280">
        <v>2241723.2799999998</v>
      </c>
      <c r="H36" s="23" t="s">
        <v>646</v>
      </c>
    </row>
    <row r="37" spans="1:11" ht="15" customHeight="1">
      <c r="B37" s="103" t="s">
        <v>531</v>
      </c>
      <c r="D37" s="93">
        <f>SUM(D33:D36)</f>
        <v>18188753.609999999</v>
      </c>
      <c r="F37" s="223">
        <f>SUM(F33:F36)</f>
        <v>18188753.610000003</v>
      </c>
      <c r="H37" s="23" t="s">
        <v>648</v>
      </c>
      <c r="K37" s="408"/>
    </row>
    <row r="38" spans="1:11" ht="15" customHeight="1">
      <c r="B38" s="103"/>
      <c r="D38" s="91"/>
    </row>
    <row r="39" spans="1:11" ht="15" customHeight="1">
      <c r="A39" s="92" t="s">
        <v>532</v>
      </c>
      <c r="B39" s="96"/>
      <c r="D39" s="91"/>
    </row>
    <row r="40" spans="1:11" ht="15" customHeight="1">
      <c r="A40" s="90">
        <v>546</v>
      </c>
      <c r="B40" s="86" t="s">
        <v>533</v>
      </c>
      <c r="D40" s="91"/>
    </row>
    <row r="41" spans="1:11" ht="15" customHeight="1">
      <c r="A41" s="90">
        <v>547</v>
      </c>
      <c r="B41" s="86" t="s">
        <v>534</v>
      </c>
      <c r="D41" s="91">
        <v>1624.72</v>
      </c>
    </row>
    <row r="42" spans="1:11" ht="15" customHeight="1">
      <c r="A42" s="104">
        <v>547.1</v>
      </c>
      <c r="B42" s="86" t="s">
        <v>535</v>
      </c>
      <c r="D42" s="91">
        <v>10066.24</v>
      </c>
    </row>
    <row r="43" spans="1:11" ht="15" customHeight="1">
      <c r="A43" s="90">
        <v>549</v>
      </c>
      <c r="B43" s="86" t="s">
        <v>536</v>
      </c>
      <c r="D43" s="91">
        <v>8710.6200000000008</v>
      </c>
    </row>
    <row r="44" spans="1:11" ht="15" customHeight="1">
      <c r="A44" s="90">
        <v>552</v>
      </c>
      <c r="B44" s="86" t="s">
        <v>537</v>
      </c>
      <c r="D44" s="91">
        <v>5616.9</v>
      </c>
    </row>
    <row r="45" spans="1:11" ht="15" customHeight="1">
      <c r="A45" s="90">
        <v>553</v>
      </c>
      <c r="B45" s="86" t="s">
        <v>538</v>
      </c>
      <c r="D45" s="91">
        <v>22628.76</v>
      </c>
    </row>
    <row r="46" spans="1:11" ht="15" customHeight="1">
      <c r="A46" s="90"/>
      <c r="B46" s="86" t="s">
        <v>539</v>
      </c>
      <c r="D46" s="93">
        <f>SUM(D40:D45)</f>
        <v>48647.240000000005</v>
      </c>
      <c r="F46" s="23">
        <f>+D46+D37</f>
        <v>18237400.849999998</v>
      </c>
    </row>
    <row r="47" spans="1:11" ht="15" customHeight="1">
      <c r="B47" s="96"/>
      <c r="D47" s="91"/>
    </row>
    <row r="48" spans="1:11" ht="15" customHeight="1">
      <c r="A48" s="92" t="s">
        <v>540</v>
      </c>
      <c r="B48" s="96"/>
      <c r="D48" s="91"/>
    </row>
    <row r="49" spans="1:4" ht="15" customHeight="1">
      <c r="A49" s="90">
        <v>556</v>
      </c>
      <c r="B49" s="96" t="s">
        <v>541</v>
      </c>
      <c r="D49" s="279">
        <v>131.26</v>
      </c>
    </row>
    <row r="50" spans="1:4" ht="15" customHeight="1">
      <c r="A50" s="92"/>
      <c r="B50" s="97" t="s">
        <v>542</v>
      </c>
      <c r="D50" s="93">
        <f>+D49</f>
        <v>131.26</v>
      </c>
    </row>
    <row r="51" spans="1:4" ht="15" customHeight="1">
      <c r="A51" s="92"/>
      <c r="B51" s="96"/>
      <c r="D51" s="91"/>
    </row>
    <row r="52" spans="1:4" ht="15" customHeight="1">
      <c r="A52" s="92" t="s">
        <v>543</v>
      </c>
      <c r="D52" s="91"/>
    </row>
    <row r="53" spans="1:4" ht="15" customHeight="1">
      <c r="A53" s="90" t="s">
        <v>544</v>
      </c>
      <c r="B53" s="96" t="s">
        <v>545</v>
      </c>
      <c r="D53" s="91">
        <v>0</v>
      </c>
    </row>
    <row r="54" spans="1:4" ht="15" customHeight="1">
      <c r="A54" s="90"/>
      <c r="B54" s="96" t="s">
        <v>546</v>
      </c>
      <c r="D54" s="91">
        <v>0</v>
      </c>
    </row>
    <row r="55" spans="1:4" ht="15" customHeight="1">
      <c r="A55" s="90"/>
      <c r="B55" s="96" t="s">
        <v>547</v>
      </c>
      <c r="D55" s="91"/>
    </row>
    <row r="56" spans="1:4" ht="15" customHeight="1">
      <c r="B56" s="97" t="s">
        <v>548</v>
      </c>
      <c r="D56" s="93">
        <f>SUM(D53:D55)</f>
        <v>0</v>
      </c>
    </row>
    <row r="57" spans="1:4" ht="15" customHeight="1">
      <c r="D57" s="91"/>
    </row>
    <row r="58" spans="1:4" ht="15" customHeight="1">
      <c r="A58" s="92" t="s">
        <v>549</v>
      </c>
      <c r="B58" s="96"/>
      <c r="D58" s="91"/>
    </row>
    <row r="59" spans="1:4" ht="15" customHeight="1">
      <c r="A59" s="92" t="s">
        <v>550</v>
      </c>
      <c r="B59" s="96"/>
      <c r="D59" s="91"/>
    </row>
    <row r="60" spans="1:4" ht="15" customHeight="1">
      <c r="A60" s="105">
        <v>580</v>
      </c>
      <c r="B60" s="86" t="s">
        <v>551</v>
      </c>
      <c r="D60" s="91">
        <v>0</v>
      </c>
    </row>
    <row r="61" spans="1:4" ht="15" customHeight="1">
      <c r="A61" s="90">
        <v>582</v>
      </c>
      <c r="B61" s="86" t="s">
        <v>552</v>
      </c>
      <c r="D61" s="91">
        <v>43179.67</v>
      </c>
    </row>
    <row r="62" spans="1:4" ht="15" customHeight="1">
      <c r="A62" s="90">
        <v>583</v>
      </c>
      <c r="B62" s="86" t="s">
        <v>553</v>
      </c>
      <c r="D62" s="91">
        <v>210164.9</v>
      </c>
    </row>
    <row r="63" spans="1:4" ht="15" customHeight="1">
      <c r="A63" s="90">
        <v>584</v>
      </c>
      <c r="B63" s="86" t="s">
        <v>554</v>
      </c>
      <c r="D63" s="91">
        <v>64949.47</v>
      </c>
    </row>
    <row r="64" spans="1:4" ht="15" customHeight="1">
      <c r="A64" s="90">
        <v>585</v>
      </c>
      <c r="B64" s="86" t="s">
        <v>692</v>
      </c>
      <c r="D64" s="91">
        <v>3888.55</v>
      </c>
    </row>
    <row r="65" spans="1:4" ht="15" customHeight="1">
      <c r="A65" s="90">
        <v>586</v>
      </c>
      <c r="B65" s="86" t="s">
        <v>555</v>
      </c>
      <c r="D65" s="91">
        <v>11960.05</v>
      </c>
    </row>
    <row r="66" spans="1:4" ht="15" customHeight="1">
      <c r="A66" s="90">
        <v>587</v>
      </c>
      <c r="B66" s="86" t="s">
        <v>556</v>
      </c>
      <c r="D66" s="91">
        <v>24651.39</v>
      </c>
    </row>
    <row r="67" spans="1:4" ht="15" customHeight="1">
      <c r="A67" s="90">
        <v>588</v>
      </c>
      <c r="B67" s="86" t="s">
        <v>557</v>
      </c>
      <c r="D67" s="91">
        <f>136062.69</f>
        <v>136062.69</v>
      </c>
    </row>
    <row r="68" spans="1:4" ht="15" customHeight="1">
      <c r="A68" s="90">
        <v>588</v>
      </c>
      <c r="B68" s="86" t="s">
        <v>558</v>
      </c>
      <c r="D68" s="91">
        <v>138235.49</v>
      </c>
    </row>
    <row r="69" spans="1:4" ht="15" customHeight="1">
      <c r="A69" s="90">
        <v>588</v>
      </c>
      <c r="B69" s="86" t="s">
        <v>559</v>
      </c>
      <c r="D69" s="91">
        <v>96921.2</v>
      </c>
    </row>
    <row r="70" spans="1:4" ht="15" customHeight="1">
      <c r="A70" s="90">
        <v>589</v>
      </c>
      <c r="B70" s="86" t="s">
        <v>560</v>
      </c>
      <c r="D70" s="91">
        <v>4261.8999999999996</v>
      </c>
    </row>
    <row r="71" spans="1:4" ht="15" customHeight="1">
      <c r="A71" s="90">
        <v>589.29999999999995</v>
      </c>
      <c r="B71" s="86" t="s">
        <v>463</v>
      </c>
      <c r="D71" s="91">
        <v>48488.87</v>
      </c>
    </row>
    <row r="72" spans="1:4" ht="15" customHeight="1">
      <c r="A72" s="90"/>
      <c r="B72" s="86" t="s">
        <v>561</v>
      </c>
      <c r="D72" s="93">
        <f>SUM(D60:D71)</f>
        <v>782764.17999999993</v>
      </c>
    </row>
    <row r="73" spans="1:4" ht="15" customHeight="1">
      <c r="B73" s="96"/>
      <c r="D73" s="91"/>
    </row>
    <row r="74" spans="1:4" ht="15" customHeight="1">
      <c r="A74" s="92" t="s">
        <v>562</v>
      </c>
      <c r="B74" s="96"/>
      <c r="D74" s="91"/>
    </row>
    <row r="75" spans="1:4" ht="15" customHeight="1">
      <c r="A75" s="90">
        <v>590</v>
      </c>
      <c r="B75" s="86" t="s">
        <v>551</v>
      </c>
      <c r="D75" s="91">
        <v>26900.38</v>
      </c>
    </row>
    <row r="76" spans="1:4" ht="15" customHeight="1">
      <c r="A76" s="90">
        <v>592</v>
      </c>
      <c r="B76" s="86" t="s">
        <v>563</v>
      </c>
      <c r="D76" s="91">
        <f>221.28+117830.03</f>
        <v>118051.31</v>
      </c>
    </row>
    <row r="77" spans="1:4" ht="15" customHeight="1">
      <c r="A77" s="90">
        <v>593</v>
      </c>
      <c r="B77" s="86" t="s">
        <v>564</v>
      </c>
      <c r="D77" s="91">
        <v>357277.98</v>
      </c>
    </row>
    <row r="78" spans="1:4" ht="15" customHeight="1">
      <c r="A78" s="90">
        <v>594</v>
      </c>
      <c r="B78" s="86" t="s">
        <v>565</v>
      </c>
      <c r="D78" s="91">
        <v>101894.54</v>
      </c>
    </row>
    <row r="79" spans="1:4" ht="15" customHeight="1">
      <c r="A79" s="90">
        <v>595</v>
      </c>
      <c r="B79" s="86" t="s">
        <v>566</v>
      </c>
      <c r="D79" s="91">
        <v>11368.36</v>
      </c>
    </row>
    <row r="80" spans="1:4" ht="15" customHeight="1">
      <c r="A80" s="90">
        <v>596</v>
      </c>
      <c r="B80" s="86" t="s">
        <v>567</v>
      </c>
      <c r="D80" s="91">
        <v>54058.99</v>
      </c>
    </row>
    <row r="81" spans="1:12" ht="15" customHeight="1">
      <c r="A81" s="90">
        <v>597</v>
      </c>
      <c r="B81" s="86" t="s">
        <v>568</v>
      </c>
      <c r="D81" s="91">
        <v>55672.959999999999</v>
      </c>
    </row>
    <row r="82" spans="1:12" ht="15" customHeight="1">
      <c r="A82" s="90">
        <v>598.1</v>
      </c>
      <c r="B82" s="86" t="s">
        <v>569</v>
      </c>
      <c r="D82" s="91">
        <v>14988.51</v>
      </c>
    </row>
    <row r="83" spans="1:12" ht="15" customHeight="1">
      <c r="B83" s="96" t="s">
        <v>570</v>
      </c>
      <c r="D83" s="93">
        <f>SUM(D75:D82)</f>
        <v>740213.02999999991</v>
      </c>
    </row>
    <row r="84" spans="1:12" ht="15" customHeight="1">
      <c r="B84" s="96"/>
      <c r="D84" s="91"/>
      <c r="F84" s="98"/>
      <c r="G84" s="97"/>
      <c r="H84" s="98"/>
      <c r="I84" s="97"/>
      <c r="J84" s="97"/>
      <c r="K84" s="97"/>
      <c r="L84" s="97"/>
    </row>
    <row r="85" spans="1:12" ht="15" customHeight="1">
      <c r="A85" s="92" t="s">
        <v>571</v>
      </c>
      <c r="B85" s="96"/>
      <c r="D85" s="91"/>
      <c r="F85" s="410"/>
      <c r="G85" s="97"/>
      <c r="H85" s="410"/>
      <c r="I85" s="97"/>
      <c r="J85" s="453"/>
      <c r="K85" s="97"/>
      <c r="L85" s="97"/>
    </row>
    <row r="86" spans="1:12" ht="15" customHeight="1">
      <c r="A86" s="90">
        <v>902</v>
      </c>
      <c r="B86" s="86" t="s">
        <v>456</v>
      </c>
      <c r="D86" s="91">
        <v>124964.26</v>
      </c>
      <c r="F86" s="98"/>
      <c r="G86" s="97"/>
      <c r="H86" s="98"/>
      <c r="I86" s="97"/>
      <c r="J86" s="97"/>
      <c r="K86" s="97"/>
      <c r="L86" s="97"/>
    </row>
    <row r="87" spans="1:12" ht="15" customHeight="1">
      <c r="A87" s="90">
        <v>903</v>
      </c>
      <c r="B87" s="86" t="s">
        <v>572</v>
      </c>
      <c r="D87" s="91">
        <v>130598.11</v>
      </c>
      <c r="F87" s="98"/>
      <c r="G87" s="97"/>
      <c r="H87" s="98"/>
      <c r="I87" s="97"/>
      <c r="J87" s="97"/>
      <c r="K87" s="97"/>
      <c r="L87" s="97"/>
    </row>
    <row r="88" spans="1:12" ht="15" customHeight="1">
      <c r="A88" s="104">
        <v>903.1</v>
      </c>
      <c r="B88" s="86" t="s">
        <v>573</v>
      </c>
      <c r="D88" s="91">
        <v>213810.16</v>
      </c>
      <c r="F88" s="98"/>
      <c r="G88" s="97"/>
      <c r="H88" s="98"/>
      <c r="I88" s="97"/>
      <c r="J88" s="97"/>
      <c r="K88" s="97"/>
      <c r="L88" s="97"/>
    </row>
    <row r="89" spans="1:12" ht="15" customHeight="1">
      <c r="A89" s="90">
        <v>904</v>
      </c>
      <c r="B89" s="86" t="s">
        <v>574</v>
      </c>
      <c r="D89" s="91">
        <v>15763.76</v>
      </c>
      <c r="F89" s="98"/>
      <c r="G89" s="97"/>
      <c r="H89" s="98"/>
      <c r="I89" s="97"/>
      <c r="J89" s="97"/>
      <c r="K89" s="97"/>
      <c r="L89" s="97"/>
    </row>
    <row r="90" spans="1:12" ht="15" customHeight="1">
      <c r="A90" s="90">
        <v>905</v>
      </c>
      <c r="B90" s="86" t="s">
        <v>575</v>
      </c>
      <c r="D90" s="91">
        <v>58461.55</v>
      </c>
      <c r="E90" s="103"/>
      <c r="F90" s="98"/>
      <c r="G90" s="97"/>
      <c r="H90" s="98"/>
      <c r="I90" s="97"/>
      <c r="J90" s="97"/>
      <c r="K90" s="97"/>
      <c r="L90" s="97"/>
    </row>
    <row r="91" spans="1:12" ht="15" customHeight="1">
      <c r="A91" s="90">
        <v>906</v>
      </c>
      <c r="B91" s="86" t="s">
        <v>576</v>
      </c>
      <c r="D91" s="91">
        <v>0</v>
      </c>
      <c r="E91" s="103"/>
      <c r="F91" s="98"/>
      <c r="G91" s="97"/>
      <c r="H91" s="98"/>
      <c r="I91" s="97"/>
      <c r="J91" s="97"/>
      <c r="K91" s="97"/>
      <c r="L91" s="97"/>
    </row>
    <row r="92" spans="1:12" ht="15" customHeight="1">
      <c r="A92" s="90">
        <v>908</v>
      </c>
      <c r="B92" s="86" t="s">
        <v>577</v>
      </c>
      <c r="D92" s="91">
        <f>55311+2339</f>
        <v>57650</v>
      </c>
      <c r="E92" s="103"/>
      <c r="F92" s="98"/>
      <c r="G92" s="97"/>
      <c r="H92" s="98"/>
      <c r="I92" s="97"/>
      <c r="J92" s="97"/>
      <c r="K92" s="97"/>
      <c r="L92" s="97"/>
    </row>
    <row r="93" spans="1:12" ht="15" customHeight="1">
      <c r="A93" s="90">
        <v>909</v>
      </c>
      <c r="B93" s="86" t="s">
        <v>578</v>
      </c>
      <c r="D93" s="91">
        <v>17444.79</v>
      </c>
      <c r="E93" s="103"/>
      <c r="F93" s="98"/>
      <c r="G93" s="97"/>
      <c r="H93" s="98"/>
      <c r="I93" s="97"/>
      <c r="J93" s="97"/>
      <c r="K93" s="97"/>
      <c r="L93" s="97"/>
    </row>
    <row r="94" spans="1:12" ht="15" customHeight="1">
      <c r="A94" s="90"/>
      <c r="B94" s="86" t="s">
        <v>579</v>
      </c>
      <c r="D94" s="93">
        <f>SUM(D86:D93)</f>
        <v>618692.63000000012</v>
      </c>
      <c r="E94" s="103"/>
      <c r="F94" s="98"/>
      <c r="G94" s="97"/>
      <c r="H94" s="98"/>
      <c r="I94" s="97"/>
      <c r="J94" s="97"/>
      <c r="K94" s="97"/>
      <c r="L94" s="97"/>
    </row>
    <row r="95" spans="1:12" ht="15" customHeight="1">
      <c r="A95" s="90"/>
      <c r="D95" s="91"/>
      <c r="E95" s="103"/>
      <c r="F95" s="98"/>
      <c r="G95" s="97"/>
      <c r="H95" s="98"/>
      <c r="I95" s="97"/>
      <c r="J95" s="97"/>
      <c r="K95" s="97"/>
      <c r="L95" s="97"/>
    </row>
    <row r="96" spans="1:12" ht="15" customHeight="1">
      <c r="A96" s="92" t="s">
        <v>580</v>
      </c>
      <c r="B96" s="96"/>
      <c r="D96" s="91"/>
      <c r="E96" s="103"/>
      <c r="F96" s="98"/>
      <c r="G96" s="97"/>
      <c r="H96" s="410"/>
      <c r="I96" s="97"/>
      <c r="J96" s="97"/>
      <c r="K96" s="97"/>
      <c r="L96" s="97"/>
    </row>
    <row r="97" spans="1:12" ht="15" customHeight="1">
      <c r="A97" s="90">
        <v>920</v>
      </c>
      <c r="B97" s="97" t="s">
        <v>581</v>
      </c>
      <c r="D97" s="91">
        <v>194438.33</v>
      </c>
      <c r="E97" s="103"/>
      <c r="F97" s="98"/>
      <c r="G97" s="98"/>
      <c r="H97" s="98"/>
      <c r="I97" s="97"/>
      <c r="J97" s="97"/>
      <c r="K97" s="97"/>
      <c r="L97" s="97"/>
    </row>
    <row r="98" spans="1:12" ht="15" customHeight="1">
      <c r="A98" s="90">
        <v>920.1</v>
      </c>
      <c r="B98" s="97" t="s">
        <v>582</v>
      </c>
      <c r="D98" s="91">
        <v>4105.8</v>
      </c>
      <c r="E98" s="103"/>
      <c r="F98" s="98"/>
      <c r="G98" s="98"/>
      <c r="H98" s="98"/>
      <c r="I98" s="97"/>
      <c r="J98" s="97"/>
      <c r="K98" s="97"/>
      <c r="L98" s="97"/>
    </row>
    <row r="99" spans="1:12" ht="15" customHeight="1">
      <c r="A99" s="90">
        <v>921</v>
      </c>
      <c r="B99" s="97" t="s">
        <v>583</v>
      </c>
      <c r="D99" s="91">
        <v>83724.83</v>
      </c>
      <c r="E99" s="103"/>
      <c r="F99" s="98"/>
      <c r="G99" s="98"/>
      <c r="H99" s="98"/>
      <c r="I99" s="97"/>
      <c r="J99" s="97"/>
      <c r="K99" s="97"/>
      <c r="L99" s="97"/>
    </row>
    <row r="100" spans="1:12" ht="15" customHeight="1">
      <c r="A100" s="90">
        <v>923</v>
      </c>
      <c r="B100" s="97" t="s">
        <v>584</v>
      </c>
      <c r="D100" s="91">
        <f>152527-125581</f>
        <v>26946</v>
      </c>
      <c r="E100" s="103"/>
      <c r="F100" s="98"/>
      <c r="G100" s="98"/>
      <c r="H100" s="98"/>
      <c r="I100" s="409"/>
      <c r="J100" s="420"/>
      <c r="K100" s="97"/>
      <c r="L100" s="97"/>
    </row>
    <row r="101" spans="1:12" ht="15" customHeight="1">
      <c r="A101" s="90">
        <v>924</v>
      </c>
      <c r="B101" s="97" t="s">
        <v>585</v>
      </c>
      <c r="D101" s="91">
        <v>78992.34</v>
      </c>
      <c r="E101" s="103"/>
      <c r="F101" s="98"/>
      <c r="G101" s="98"/>
      <c r="H101" s="98"/>
      <c r="I101" s="409"/>
      <c r="J101" s="409"/>
      <c r="K101" s="97"/>
      <c r="L101" s="97"/>
    </row>
    <row r="102" spans="1:12" ht="15" customHeight="1">
      <c r="A102" s="90">
        <v>925</v>
      </c>
      <c r="B102" s="97" t="s">
        <v>586</v>
      </c>
      <c r="D102" s="91">
        <v>65114.33</v>
      </c>
      <c r="E102" s="103"/>
      <c r="F102" s="98"/>
      <c r="G102" s="98"/>
      <c r="H102" s="98"/>
      <c r="I102" s="409"/>
      <c r="J102" s="409"/>
      <c r="K102" s="97"/>
      <c r="L102" s="97"/>
    </row>
    <row r="103" spans="1:12" ht="15" customHeight="1">
      <c r="A103" s="90">
        <v>926</v>
      </c>
      <c r="B103" s="97" t="s">
        <v>587</v>
      </c>
      <c r="D103" s="91">
        <f>661747.82-8892</f>
        <v>652855.81999999995</v>
      </c>
      <c r="E103" s="103"/>
      <c r="F103" s="98"/>
      <c r="G103" s="98"/>
      <c r="H103" s="98"/>
      <c r="I103" s="409"/>
      <c r="J103" s="409"/>
      <c r="K103" s="97"/>
      <c r="L103" s="97"/>
    </row>
    <row r="104" spans="1:12" ht="15" customHeight="1">
      <c r="A104" s="90">
        <v>926.1</v>
      </c>
      <c r="B104" s="97" t="s">
        <v>588</v>
      </c>
      <c r="D104" s="91">
        <v>18772.849999999999</v>
      </c>
      <c r="E104" s="103"/>
      <c r="F104" s="98"/>
      <c r="G104" s="98"/>
      <c r="H104" s="98"/>
      <c r="I104" s="409"/>
      <c r="J104" s="409"/>
      <c r="K104" s="97"/>
      <c r="L104" s="97"/>
    </row>
    <row r="105" spans="1:12" ht="15" customHeight="1">
      <c r="A105" s="90">
        <v>926.2</v>
      </c>
      <c r="B105" s="97" t="s">
        <v>589</v>
      </c>
      <c r="D105" s="91">
        <v>867</v>
      </c>
      <c r="E105" s="103"/>
      <c r="F105" s="98"/>
      <c r="G105" s="98"/>
      <c r="H105" s="98"/>
      <c r="I105" s="409"/>
      <c r="J105" s="409"/>
      <c r="K105" s="97"/>
      <c r="L105" s="97"/>
    </row>
    <row r="106" spans="1:12" ht="15" customHeight="1">
      <c r="A106" s="90">
        <v>926.3</v>
      </c>
      <c r="B106" s="97" t="s">
        <v>590</v>
      </c>
      <c r="D106" s="91">
        <v>43201.36</v>
      </c>
      <c r="E106" s="103"/>
      <c r="F106" s="98"/>
      <c r="G106" s="98"/>
      <c r="H106" s="98"/>
      <c r="I106" s="409"/>
      <c r="J106" s="409"/>
      <c r="K106" s="97"/>
      <c r="L106" s="97"/>
    </row>
    <row r="107" spans="1:12" ht="15" customHeight="1">
      <c r="A107" s="90">
        <v>928</v>
      </c>
      <c r="B107" s="97" t="s">
        <v>591</v>
      </c>
      <c r="D107" s="91">
        <v>29782.69</v>
      </c>
      <c r="E107" s="103"/>
      <c r="F107" s="98"/>
      <c r="G107" s="98"/>
      <c r="H107" s="98"/>
      <c r="I107" s="98"/>
      <c r="J107" s="409"/>
      <c r="K107" s="97"/>
      <c r="L107" s="97"/>
    </row>
    <row r="108" spans="1:12" ht="15" customHeight="1">
      <c r="A108" s="90">
        <v>930</v>
      </c>
      <c r="B108" s="97" t="s">
        <v>592</v>
      </c>
      <c r="D108" s="91">
        <f>61880-2340</f>
        <v>59540</v>
      </c>
      <c r="E108" s="103"/>
      <c r="F108" s="98"/>
      <c r="G108" s="98"/>
      <c r="H108" s="98"/>
      <c r="I108" s="97"/>
      <c r="J108" s="409"/>
      <c r="K108" s="97"/>
      <c r="L108" s="97"/>
    </row>
    <row r="109" spans="1:12" ht="15" customHeight="1">
      <c r="A109" s="90">
        <v>932</v>
      </c>
      <c r="B109" s="97" t="s">
        <v>593</v>
      </c>
      <c r="D109" s="91">
        <f>159085.03+32737.94+361.55+2196.96</f>
        <v>194381.47999999998</v>
      </c>
      <c r="E109" s="103"/>
      <c r="F109" s="98"/>
      <c r="G109" s="98"/>
      <c r="H109" s="98"/>
      <c r="I109" s="409"/>
      <c r="J109" s="409"/>
      <c r="K109" s="97"/>
      <c r="L109" s="97"/>
    </row>
    <row r="110" spans="1:12" ht="15" customHeight="1">
      <c r="A110" s="92"/>
      <c r="B110" s="97" t="s">
        <v>594</v>
      </c>
      <c r="D110" s="93">
        <f>SUM(D97:D109)</f>
        <v>1452722.83</v>
      </c>
      <c r="E110" s="103"/>
      <c r="F110" s="98"/>
      <c r="G110" s="278"/>
      <c r="H110" s="98"/>
      <c r="I110" s="409"/>
      <c r="J110" s="409"/>
      <c r="K110" s="97"/>
      <c r="L110" s="97"/>
    </row>
    <row r="111" spans="1:12" ht="15" customHeight="1">
      <c r="A111" s="90"/>
      <c r="B111" s="97"/>
      <c r="D111" s="91"/>
      <c r="E111" s="103"/>
      <c r="F111" s="98"/>
      <c r="G111" s="409"/>
      <c r="H111" s="98"/>
      <c r="I111" s="409"/>
      <c r="J111" s="409"/>
      <c r="K111" s="97"/>
      <c r="L111" s="97"/>
    </row>
    <row r="112" spans="1:12" ht="15" customHeight="1">
      <c r="A112" s="90">
        <v>403</v>
      </c>
      <c r="B112" s="97" t="s">
        <v>595</v>
      </c>
      <c r="D112" s="91">
        <v>1225279.9099999999</v>
      </c>
      <c r="E112" s="103"/>
      <c r="F112" s="98"/>
      <c r="G112" s="409"/>
      <c r="H112" s="98"/>
      <c r="I112" s="409"/>
      <c r="J112" s="409"/>
      <c r="K112" s="97"/>
      <c r="L112" s="97"/>
    </row>
    <row r="113" spans="1:12" ht="15" customHeight="1">
      <c r="A113" s="90">
        <v>407</v>
      </c>
      <c r="B113" s="97" t="s">
        <v>596</v>
      </c>
      <c r="D113" s="91"/>
      <c r="E113" s="103"/>
      <c r="F113" s="98"/>
      <c r="G113" s="97"/>
      <c r="H113" s="98"/>
      <c r="I113" s="97"/>
      <c r="J113" s="97"/>
      <c r="K113" s="97"/>
      <c r="L113" s="97"/>
    </row>
    <row r="114" spans="1:12" ht="15" customHeight="1">
      <c r="A114" s="90"/>
      <c r="B114" s="97" t="s">
        <v>597</v>
      </c>
      <c r="D114" s="93">
        <f>SUM(D112:D113)</f>
        <v>1225279.9099999999</v>
      </c>
      <c r="F114" s="98"/>
      <c r="G114" s="97"/>
      <c r="H114" s="98"/>
      <c r="I114" s="97"/>
      <c r="J114" s="97"/>
      <c r="K114" s="97"/>
      <c r="L114" s="97"/>
    </row>
    <row r="115" spans="1:12" ht="15" customHeight="1">
      <c r="A115" s="90"/>
      <c r="B115" s="97"/>
      <c r="D115" s="98"/>
      <c r="F115" s="98"/>
      <c r="G115" s="97"/>
      <c r="H115" s="98"/>
      <c r="I115" s="97"/>
      <c r="J115" s="97"/>
      <c r="K115" s="97"/>
      <c r="L115" s="97"/>
    </row>
    <row r="116" spans="1:12" ht="15" customHeight="1">
      <c r="A116" s="99" t="s">
        <v>598</v>
      </c>
      <c r="B116" s="97"/>
      <c r="D116" s="100">
        <f>+D114+D110+D94+D83+D46+D37+D72+D56+D50</f>
        <v>23057204.690000001</v>
      </c>
      <c r="F116" s="98"/>
      <c r="G116" s="97"/>
      <c r="H116" s="98"/>
      <c r="I116" s="97"/>
      <c r="J116" s="97"/>
      <c r="K116" s="97"/>
      <c r="L116" s="97"/>
    </row>
    <row r="117" spans="1:12" ht="15" customHeight="1">
      <c r="A117" s="90"/>
      <c r="B117" s="97"/>
      <c r="D117" s="98"/>
      <c r="F117" s="98"/>
      <c r="G117" s="97"/>
      <c r="H117" s="98"/>
      <c r="I117" s="97"/>
      <c r="J117" s="97"/>
      <c r="K117" s="97"/>
      <c r="L117" s="97"/>
    </row>
    <row r="118" spans="1:12" ht="15" customHeight="1">
      <c r="A118" s="99" t="s">
        <v>462</v>
      </c>
      <c r="B118" s="97"/>
      <c r="D118" s="100">
        <f>+D30-D116</f>
        <v>1881608.4999999963</v>
      </c>
      <c r="F118" s="98"/>
      <c r="G118" s="97"/>
      <c r="H118" s="98"/>
      <c r="I118" s="97"/>
      <c r="J118" s="97"/>
      <c r="K118" s="97"/>
      <c r="L118" s="97"/>
    </row>
    <row r="119" spans="1:12" ht="15" customHeight="1">
      <c r="A119" s="90"/>
      <c r="B119" s="97"/>
      <c r="D119" s="91"/>
      <c r="F119" s="98"/>
      <c r="G119" s="97"/>
      <c r="H119" s="98"/>
      <c r="I119" s="97"/>
      <c r="J119" s="97"/>
      <c r="K119" s="97"/>
      <c r="L119" s="97"/>
    </row>
    <row r="120" spans="1:12" ht="15" customHeight="1">
      <c r="A120" s="92" t="s">
        <v>599</v>
      </c>
      <c r="B120" s="96"/>
      <c r="D120" s="91"/>
      <c r="F120" s="98"/>
      <c r="G120" s="97"/>
      <c r="H120" s="98"/>
      <c r="I120" s="97"/>
      <c r="J120" s="97"/>
      <c r="K120" s="97"/>
      <c r="L120" s="97"/>
    </row>
    <row r="121" spans="1:12" ht="15" customHeight="1">
      <c r="A121" s="90" t="s">
        <v>600</v>
      </c>
      <c r="B121" s="96" t="s">
        <v>601</v>
      </c>
      <c r="D121" s="91">
        <v>32942.559999999998</v>
      </c>
      <c r="F121" s="98"/>
      <c r="G121" s="97"/>
      <c r="H121" s="98"/>
      <c r="I121" s="97"/>
      <c r="J121" s="97"/>
      <c r="K121" s="97"/>
      <c r="L121" s="97"/>
    </row>
    <row r="122" spans="1:12" ht="15" customHeight="1">
      <c r="A122" s="90" t="s">
        <v>602</v>
      </c>
      <c r="B122" s="96" t="s">
        <v>603</v>
      </c>
      <c r="D122" s="91">
        <v>0</v>
      </c>
      <c r="F122" s="98"/>
      <c r="G122" s="97"/>
      <c r="H122" s="98"/>
      <c r="I122" s="97"/>
      <c r="J122" s="97"/>
      <c r="K122" s="97"/>
      <c r="L122" s="97"/>
    </row>
    <row r="123" spans="1:12" ht="15" customHeight="1">
      <c r="A123" s="90">
        <v>418.1</v>
      </c>
      <c r="B123" s="96" t="s">
        <v>604</v>
      </c>
      <c r="D123" s="91">
        <v>0</v>
      </c>
      <c r="F123" s="98"/>
      <c r="G123" s="97"/>
      <c r="H123" s="98"/>
      <c r="I123" s="97"/>
      <c r="J123" s="97"/>
      <c r="K123" s="97"/>
      <c r="L123" s="97"/>
    </row>
    <row r="124" spans="1:12" ht="15" customHeight="1">
      <c r="A124" s="90">
        <v>419</v>
      </c>
      <c r="B124" s="97" t="s">
        <v>605</v>
      </c>
      <c r="D124" s="91">
        <v>124024.47</v>
      </c>
      <c r="F124" s="98"/>
      <c r="G124" s="97"/>
      <c r="H124" s="98"/>
      <c r="I124" s="97"/>
      <c r="J124" s="97"/>
      <c r="K124" s="97"/>
      <c r="L124" s="97"/>
    </row>
    <row r="125" spans="1:12" ht="15" customHeight="1">
      <c r="A125" s="90">
        <v>420</v>
      </c>
      <c r="B125" s="97" t="s">
        <v>606</v>
      </c>
      <c r="D125" s="91">
        <v>55018.21</v>
      </c>
      <c r="F125" s="98"/>
      <c r="G125" s="97"/>
      <c r="H125" s="98"/>
      <c r="I125" s="97"/>
      <c r="J125" s="97"/>
      <c r="K125" s="97"/>
      <c r="L125" s="97"/>
    </row>
    <row r="126" spans="1:12" ht="15" customHeight="1">
      <c r="A126" s="90">
        <v>430</v>
      </c>
      <c r="B126" s="97" t="s">
        <v>631</v>
      </c>
      <c r="D126" s="91">
        <v>-9600.7999999999993</v>
      </c>
      <c r="F126" s="98"/>
      <c r="G126" s="97"/>
      <c r="H126" s="98"/>
      <c r="I126" s="97"/>
      <c r="J126" s="97"/>
      <c r="K126" s="97"/>
      <c r="L126" s="97"/>
    </row>
    <row r="127" spans="1:12" ht="15" customHeight="1">
      <c r="A127" s="90"/>
      <c r="B127" s="97" t="s">
        <v>607</v>
      </c>
      <c r="D127" s="93">
        <f>SUM(D121:D126)</f>
        <v>202384.44</v>
      </c>
      <c r="F127" s="98"/>
      <c r="G127" s="97"/>
      <c r="H127" s="98"/>
      <c r="I127" s="97"/>
      <c r="J127" s="97"/>
      <c r="K127" s="97"/>
      <c r="L127" s="97"/>
    </row>
    <row r="128" spans="1:12" ht="15" customHeight="1">
      <c r="A128" s="90"/>
      <c r="B128" s="96"/>
      <c r="D128" s="91"/>
      <c r="F128" s="98"/>
      <c r="G128" s="97"/>
      <c r="H128" s="98"/>
      <c r="I128" s="97"/>
      <c r="J128" s="97"/>
      <c r="K128" s="97"/>
      <c r="L128" s="97"/>
    </row>
    <row r="129" spans="1:12" ht="15" customHeight="1">
      <c r="A129" s="92" t="s">
        <v>608</v>
      </c>
      <c r="B129" s="96"/>
      <c r="D129" s="91"/>
      <c r="F129" s="98"/>
      <c r="G129" s="97"/>
      <c r="H129" s="98"/>
      <c r="I129" s="97"/>
      <c r="J129" s="97"/>
      <c r="K129" s="97"/>
      <c r="L129" s="97"/>
    </row>
    <row r="130" spans="1:12" ht="15" customHeight="1">
      <c r="A130" s="90">
        <v>427</v>
      </c>
      <c r="B130" s="97" t="s">
        <v>609</v>
      </c>
      <c r="D130" s="91">
        <v>131858.87</v>
      </c>
      <c r="F130" s="98"/>
      <c r="G130" s="97"/>
      <c r="H130" s="98"/>
      <c r="I130" s="97"/>
      <c r="J130" s="97"/>
      <c r="K130" s="97"/>
      <c r="L130" s="97"/>
    </row>
    <row r="131" spans="1:12" ht="15" customHeight="1">
      <c r="A131" s="90">
        <v>431</v>
      </c>
      <c r="B131" s="86" t="s">
        <v>630</v>
      </c>
      <c r="D131" s="91">
        <v>348.35</v>
      </c>
      <c r="F131" s="98"/>
      <c r="G131" s="97"/>
      <c r="H131" s="98"/>
      <c r="I131" s="97"/>
      <c r="J131" s="97"/>
      <c r="K131" s="97"/>
      <c r="L131" s="97"/>
    </row>
    <row r="132" spans="1:12" ht="15" customHeight="1">
      <c r="A132" s="90"/>
      <c r="B132" s="96" t="s">
        <v>610</v>
      </c>
      <c r="D132" s="93">
        <f>SUM(D130:D131)</f>
        <v>132207.22</v>
      </c>
      <c r="F132" s="98"/>
      <c r="G132" s="97"/>
      <c r="H132" s="98"/>
      <c r="I132" s="97"/>
      <c r="J132" s="97"/>
      <c r="K132" s="97"/>
      <c r="L132" s="97"/>
    </row>
    <row r="133" spans="1:12" ht="15" customHeight="1">
      <c r="A133" s="90"/>
      <c r="B133" s="96"/>
      <c r="D133" s="91"/>
      <c r="F133" s="98"/>
      <c r="G133" s="97"/>
      <c r="H133" s="98"/>
      <c r="I133" s="97"/>
      <c r="J133" s="97"/>
      <c r="K133" s="97"/>
      <c r="L133" s="97"/>
    </row>
    <row r="134" spans="1:12" ht="15" customHeight="1">
      <c r="A134" s="90">
        <v>425</v>
      </c>
      <c r="B134" s="97" t="s">
        <v>611</v>
      </c>
      <c r="D134" s="93">
        <v>1069557.69</v>
      </c>
      <c r="F134" s="98"/>
      <c r="G134" s="97"/>
      <c r="H134" s="98"/>
      <c r="I134" s="97"/>
      <c r="J134" s="97"/>
      <c r="K134" s="97"/>
      <c r="L134" s="97"/>
    </row>
    <row r="135" spans="1:12" ht="15" customHeight="1">
      <c r="F135" s="98"/>
      <c r="G135" s="97"/>
      <c r="H135" s="98"/>
      <c r="I135" s="97"/>
      <c r="J135" s="97"/>
      <c r="K135" s="97"/>
      <c r="L135" s="97"/>
    </row>
    <row r="136" spans="1:12" ht="15" customHeight="1">
      <c r="A136" s="92" t="s">
        <v>612</v>
      </c>
      <c r="D136" s="106">
        <f>+D118+D127-D132-D134</f>
        <v>882228.0299999963</v>
      </c>
      <c r="F136" s="98"/>
      <c r="G136" s="97"/>
      <c r="H136" s="98"/>
      <c r="I136" s="97"/>
      <c r="J136" s="97"/>
      <c r="K136" s="97"/>
      <c r="L136" s="97"/>
    </row>
    <row r="137" spans="1:12" ht="15" customHeight="1">
      <c r="F137" s="98"/>
      <c r="G137" s="97"/>
      <c r="H137" s="98"/>
      <c r="I137" s="97"/>
      <c r="J137" s="97"/>
      <c r="K137" s="97"/>
      <c r="L137" s="97"/>
    </row>
    <row r="138" spans="1:12" ht="15" customHeight="1">
      <c r="F138" s="98"/>
      <c r="G138" s="97"/>
      <c r="H138" s="98"/>
      <c r="I138" s="97"/>
      <c r="J138" s="97"/>
      <c r="K138" s="97"/>
      <c r="L138" s="97"/>
    </row>
    <row r="139" spans="1:12" ht="15" customHeight="1">
      <c r="F139" s="98"/>
      <c r="G139" s="97"/>
      <c r="H139" s="98"/>
      <c r="I139" s="97"/>
      <c r="J139" s="97"/>
      <c r="K139" s="97"/>
      <c r="L139" s="97"/>
    </row>
    <row r="140" spans="1:12" ht="15" customHeight="1">
      <c r="F140" s="98"/>
      <c r="G140" s="97"/>
      <c r="H140" s="98"/>
      <c r="I140" s="97"/>
      <c r="J140" s="97"/>
      <c r="K140" s="97"/>
      <c r="L140" s="97"/>
    </row>
    <row r="141" spans="1:12" ht="15" customHeight="1">
      <c r="F141" s="98"/>
      <c r="G141" s="97"/>
      <c r="H141" s="98"/>
      <c r="I141" s="97"/>
      <c r="J141" s="97"/>
      <c r="K141" s="97"/>
      <c r="L141" s="97"/>
    </row>
    <row r="142" spans="1:12" ht="15" customHeight="1">
      <c r="F142" s="98"/>
      <c r="G142" s="97"/>
      <c r="H142" s="98"/>
      <c r="I142" s="97"/>
      <c r="J142" s="97"/>
      <c r="K142" s="97"/>
      <c r="L142" s="97"/>
    </row>
    <row r="143" spans="1:12" ht="15" customHeight="1">
      <c r="F143" s="98"/>
      <c r="G143" s="97"/>
      <c r="H143" s="98"/>
      <c r="I143" s="97"/>
      <c r="J143" s="97"/>
      <c r="K143" s="97"/>
      <c r="L143" s="97"/>
    </row>
    <row r="144" spans="1:12" ht="15" customHeight="1">
      <c r="F144" s="98"/>
      <c r="G144" s="97"/>
      <c r="H144" s="98"/>
      <c r="I144" s="97"/>
      <c r="J144" s="97"/>
      <c r="K144" s="97"/>
      <c r="L144" s="97"/>
    </row>
    <row r="145" spans="6:12" ht="15" customHeight="1">
      <c r="F145" s="98"/>
      <c r="G145" s="97"/>
      <c r="H145" s="98"/>
      <c r="I145" s="97"/>
      <c r="J145" s="97"/>
      <c r="K145" s="97"/>
      <c r="L145" s="97"/>
    </row>
    <row r="146" spans="6:12" ht="15" customHeight="1">
      <c r="F146" s="98"/>
      <c r="G146" s="97"/>
      <c r="H146" s="98"/>
      <c r="I146" s="97"/>
      <c r="J146" s="97"/>
      <c r="K146" s="97"/>
      <c r="L146" s="97"/>
    </row>
    <row r="147" spans="6:12" ht="15" customHeight="1">
      <c r="F147" s="98"/>
      <c r="G147" s="97"/>
      <c r="H147" s="98"/>
      <c r="I147" s="97"/>
      <c r="J147" s="97"/>
      <c r="K147" s="97"/>
      <c r="L147" s="97"/>
    </row>
    <row r="148" spans="6:12" ht="15" customHeight="1">
      <c r="F148" s="98"/>
      <c r="G148" s="97"/>
      <c r="H148" s="98"/>
      <c r="I148" s="97"/>
      <c r="J148" s="97"/>
      <c r="K148" s="97"/>
      <c r="L148" s="97"/>
    </row>
    <row r="149" spans="6:12" ht="15" customHeight="1">
      <c r="F149" s="98"/>
      <c r="G149" s="97"/>
      <c r="H149" s="98"/>
      <c r="I149" s="97"/>
      <c r="J149" s="97"/>
      <c r="K149" s="97"/>
      <c r="L149" s="97"/>
    </row>
    <row r="150" spans="6:12" ht="15" customHeight="1">
      <c r="F150" s="98"/>
      <c r="G150" s="97"/>
      <c r="H150" s="98"/>
      <c r="I150" s="97"/>
      <c r="J150" s="97"/>
      <c r="K150" s="97"/>
      <c r="L150" s="97"/>
    </row>
    <row r="151" spans="6:12" ht="15" customHeight="1">
      <c r="F151" s="98"/>
      <c r="G151" s="97"/>
      <c r="H151" s="98"/>
      <c r="I151" s="97"/>
      <c r="J151" s="97"/>
      <c r="K151" s="97"/>
      <c r="L151" s="97"/>
    </row>
    <row r="152" spans="6:12" ht="15" customHeight="1">
      <c r="F152" s="98"/>
      <c r="G152" s="97"/>
      <c r="H152" s="98"/>
      <c r="I152" s="97"/>
      <c r="J152" s="97"/>
      <c r="K152" s="97"/>
      <c r="L152" s="97"/>
    </row>
    <row r="153" spans="6:12" ht="15" customHeight="1">
      <c r="F153" s="98"/>
      <c r="G153" s="97"/>
      <c r="H153" s="98"/>
      <c r="I153" s="97"/>
      <c r="J153" s="97"/>
      <c r="K153" s="97"/>
      <c r="L153" s="97"/>
    </row>
    <row r="154" spans="6:12" ht="15" customHeight="1">
      <c r="F154" s="98"/>
      <c r="G154" s="97"/>
      <c r="H154" s="98"/>
      <c r="I154" s="97"/>
      <c r="J154" s="97"/>
      <c r="K154" s="97"/>
      <c r="L154" s="97"/>
    </row>
    <row r="155" spans="6:12" ht="15" customHeight="1">
      <c r="F155" s="98"/>
      <c r="G155" s="97"/>
      <c r="H155" s="98"/>
      <c r="I155" s="97"/>
      <c r="J155" s="97"/>
      <c r="K155" s="97"/>
      <c r="L155" s="97"/>
    </row>
    <row r="156" spans="6:12" ht="15" customHeight="1">
      <c r="F156" s="98"/>
      <c r="G156" s="97"/>
      <c r="H156" s="98"/>
      <c r="I156" s="97"/>
      <c r="J156" s="97"/>
      <c r="K156" s="97"/>
      <c r="L156" s="97"/>
    </row>
    <row r="157" spans="6:12" ht="15" customHeight="1">
      <c r="F157" s="98"/>
      <c r="G157" s="97"/>
      <c r="H157" s="98"/>
      <c r="I157" s="97"/>
      <c r="J157" s="97"/>
      <c r="K157" s="97"/>
      <c r="L157" s="97"/>
    </row>
    <row r="158" spans="6:12" ht="15" customHeight="1">
      <c r="F158" s="98"/>
      <c r="G158" s="97"/>
      <c r="H158" s="98"/>
      <c r="I158" s="97"/>
      <c r="J158" s="97"/>
      <c r="K158" s="97"/>
      <c r="L158" s="97"/>
    </row>
    <row r="159" spans="6:12" ht="15" customHeight="1">
      <c r="F159" s="98"/>
      <c r="G159" s="97"/>
      <c r="H159" s="98"/>
      <c r="I159" s="97"/>
      <c r="J159" s="97"/>
      <c r="K159" s="97"/>
      <c r="L159" s="97"/>
    </row>
    <row r="160" spans="6:12" ht="15" customHeight="1">
      <c r="F160" s="98"/>
      <c r="G160" s="97"/>
      <c r="H160" s="98"/>
      <c r="I160" s="97"/>
      <c r="J160" s="97"/>
      <c r="K160" s="97"/>
      <c r="L160" s="97"/>
    </row>
    <row r="161" spans="6:12" ht="15" customHeight="1">
      <c r="F161" s="98"/>
      <c r="G161" s="97"/>
      <c r="H161" s="98"/>
      <c r="I161" s="97"/>
      <c r="J161" s="97"/>
      <c r="K161" s="97"/>
      <c r="L161" s="97"/>
    </row>
    <row r="162" spans="6:12" ht="15" customHeight="1">
      <c r="F162" s="98"/>
      <c r="G162" s="97"/>
      <c r="H162" s="98"/>
      <c r="I162" s="97"/>
      <c r="J162" s="97"/>
      <c r="K162" s="97"/>
      <c r="L162" s="97"/>
    </row>
    <row r="163" spans="6:12" ht="15" customHeight="1">
      <c r="F163" s="98"/>
      <c r="G163" s="97"/>
      <c r="H163" s="98"/>
      <c r="I163" s="97"/>
      <c r="J163" s="97"/>
      <c r="K163" s="97"/>
      <c r="L163" s="97"/>
    </row>
    <row r="164" spans="6:12" ht="15" customHeight="1">
      <c r="F164" s="98"/>
      <c r="G164" s="97"/>
      <c r="H164" s="98"/>
      <c r="I164" s="97"/>
      <c r="J164" s="97"/>
      <c r="K164" s="97"/>
      <c r="L164" s="97"/>
    </row>
    <row r="165" spans="6:12" ht="15" customHeight="1">
      <c r="F165" s="98"/>
      <c r="G165" s="97"/>
      <c r="H165" s="98"/>
      <c r="I165" s="97"/>
      <c r="J165" s="97"/>
      <c r="K165" s="97"/>
      <c r="L165" s="97"/>
    </row>
    <row r="166" spans="6:12" ht="15" customHeight="1">
      <c r="F166" s="98"/>
      <c r="G166" s="97"/>
      <c r="H166" s="98"/>
      <c r="I166" s="97"/>
      <c r="J166" s="97"/>
      <c r="K166" s="97"/>
      <c r="L166" s="97"/>
    </row>
    <row r="167" spans="6:12" ht="15" customHeight="1">
      <c r="F167" s="98"/>
      <c r="G167" s="97"/>
      <c r="H167" s="98"/>
      <c r="I167" s="97"/>
      <c r="J167" s="97"/>
      <c r="K167" s="97"/>
      <c r="L167" s="97"/>
    </row>
    <row r="168" spans="6:12" ht="15" customHeight="1">
      <c r="F168" s="98"/>
      <c r="G168" s="97"/>
      <c r="H168" s="98"/>
      <c r="I168" s="97"/>
      <c r="J168" s="97"/>
      <c r="K168" s="97"/>
      <c r="L168" s="97"/>
    </row>
    <row r="169" spans="6:12" ht="15" customHeight="1">
      <c r="F169" s="98"/>
      <c r="G169" s="97"/>
      <c r="H169" s="98"/>
      <c r="I169" s="97"/>
      <c r="J169" s="97"/>
      <c r="K169" s="97"/>
      <c r="L169" s="97"/>
    </row>
    <row r="170" spans="6:12" ht="15" customHeight="1">
      <c r="F170" s="98"/>
      <c r="G170" s="97"/>
      <c r="H170" s="98"/>
      <c r="I170" s="97"/>
      <c r="J170" s="97"/>
      <c r="K170" s="97"/>
      <c r="L170" s="97"/>
    </row>
    <row r="171" spans="6:12" ht="15" customHeight="1">
      <c r="F171" s="98"/>
      <c r="G171" s="97"/>
      <c r="H171" s="98"/>
      <c r="I171" s="97"/>
      <c r="J171" s="97"/>
      <c r="K171" s="97"/>
      <c r="L171" s="97"/>
    </row>
    <row r="172" spans="6:12" ht="15" customHeight="1">
      <c r="F172" s="98"/>
      <c r="G172" s="97"/>
      <c r="H172" s="98"/>
      <c r="I172" s="97"/>
      <c r="J172" s="97"/>
      <c r="K172" s="97"/>
      <c r="L172" s="97"/>
    </row>
    <row r="173" spans="6:12" ht="15" customHeight="1">
      <c r="F173" s="98"/>
      <c r="G173" s="97"/>
      <c r="H173" s="98"/>
      <c r="I173" s="97"/>
      <c r="J173" s="97"/>
      <c r="K173" s="97"/>
      <c r="L173" s="97"/>
    </row>
    <row r="174" spans="6:12" ht="15" customHeight="1">
      <c r="F174" s="98"/>
      <c r="G174" s="97"/>
      <c r="H174" s="98"/>
      <c r="I174" s="97"/>
      <c r="J174" s="97"/>
      <c r="K174" s="97"/>
      <c r="L174" s="97"/>
    </row>
    <row r="175" spans="6:12" ht="15" customHeight="1">
      <c r="F175" s="98"/>
      <c r="G175" s="97"/>
      <c r="H175" s="98"/>
      <c r="I175" s="97"/>
      <c r="J175" s="97"/>
      <c r="K175" s="97"/>
      <c r="L175" s="97"/>
    </row>
    <row r="176" spans="6:12" ht="15" customHeight="1">
      <c r="F176" s="98"/>
      <c r="G176" s="97"/>
      <c r="H176" s="98"/>
      <c r="I176" s="97"/>
      <c r="J176" s="97"/>
      <c r="K176" s="97"/>
      <c r="L176" s="97"/>
    </row>
    <row r="177" spans="6:12" ht="15" customHeight="1">
      <c r="F177" s="98"/>
      <c r="G177" s="97"/>
      <c r="H177" s="98"/>
      <c r="I177" s="97"/>
      <c r="J177" s="97"/>
      <c r="K177" s="97"/>
      <c r="L177" s="97"/>
    </row>
    <row r="178" spans="6:12" ht="15" customHeight="1">
      <c r="F178" s="98"/>
      <c r="G178" s="97"/>
      <c r="H178" s="98"/>
      <c r="I178" s="97"/>
      <c r="J178" s="97"/>
      <c r="K178" s="97"/>
      <c r="L178" s="97"/>
    </row>
    <row r="179" spans="6:12" ht="15" customHeight="1">
      <c r="F179" s="98"/>
      <c r="G179" s="97"/>
      <c r="H179" s="98"/>
      <c r="I179" s="97"/>
      <c r="J179" s="97"/>
      <c r="K179" s="97"/>
      <c r="L179" s="97"/>
    </row>
    <row r="180" spans="6:12" ht="15" customHeight="1"/>
    <row r="181" spans="6:12" ht="15" customHeight="1"/>
    <row r="182" spans="6:12" ht="15" customHeight="1"/>
    <row r="183" spans="6:12" ht="15" customHeight="1"/>
    <row r="184" spans="6:12" ht="15" customHeight="1"/>
    <row r="185" spans="6:12" ht="15" customHeight="1"/>
    <row r="186" spans="6:12" ht="15" customHeight="1"/>
    <row r="187" spans="6:12" ht="15" customHeight="1"/>
    <row r="188" spans="6:12" ht="15" customHeight="1"/>
    <row r="189" spans="6:12" ht="15" customHeight="1"/>
    <row r="190" spans="6:12" ht="15" customHeight="1"/>
    <row r="191" spans="6:12" ht="15" customHeight="1"/>
    <row r="192" spans="6:1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sheetData>
  <mergeCells count="4">
    <mergeCell ref="A2:D2"/>
    <mergeCell ref="A3:D3"/>
    <mergeCell ref="A4:D4"/>
    <mergeCell ref="A5:D5"/>
  </mergeCells>
  <pageMargins left="0.75" right="0.5" top="0" bottom="0" header="0" footer="0"/>
  <pageSetup scale="3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36"/>
  <sheetViews>
    <sheetView zoomScale="90" zoomScaleNormal="90" workbookViewId="0">
      <selection activeCell="A7" sqref="A7:XFD7"/>
    </sheetView>
  </sheetViews>
  <sheetFormatPr defaultColWidth="8.90625" defaultRowHeight="15.6"/>
  <cols>
    <col min="1" max="1" width="7.08984375" style="84" bestFit="1" customWidth="1"/>
    <col min="2" max="2" width="38.81640625" style="81" customWidth="1"/>
    <col min="3" max="3" width="1.81640625" style="81" customWidth="1"/>
    <col min="4" max="4" width="10.453125" style="110" customWidth="1"/>
    <col min="5" max="16384" width="8.90625" style="81"/>
  </cols>
  <sheetData>
    <row r="1" spans="1:18">
      <c r="A1" s="479" t="s">
        <v>650</v>
      </c>
      <c r="B1" s="480"/>
      <c r="C1" s="480"/>
      <c r="D1" s="480"/>
      <c r="E1" s="480"/>
    </row>
    <row r="2" spans="1:18">
      <c r="A2" s="481"/>
      <c r="B2" s="481"/>
      <c r="C2" s="481"/>
      <c r="D2" s="481"/>
      <c r="E2" s="481"/>
    </row>
    <row r="3" spans="1:18">
      <c r="A3" s="481" t="s">
        <v>480</v>
      </c>
      <c r="B3" s="481"/>
      <c r="C3" s="481"/>
      <c r="D3" s="481"/>
      <c r="E3" s="481"/>
    </row>
    <row r="4" spans="1:18">
      <c r="A4" s="482" t="s">
        <v>690</v>
      </c>
      <c r="B4" s="482"/>
      <c r="C4" s="482"/>
      <c r="D4" s="482"/>
      <c r="E4" s="482"/>
    </row>
    <row r="5" spans="1:18">
      <c r="A5" s="483"/>
      <c r="B5" s="483"/>
      <c r="C5" s="483"/>
      <c r="D5" s="483"/>
      <c r="E5" s="483"/>
    </row>
    <row r="6" spans="1:18">
      <c r="A6" s="82" t="s">
        <v>481</v>
      </c>
      <c r="E6" s="110"/>
    </row>
    <row r="7" spans="1:18" s="110" customFormat="1">
      <c r="A7" s="454">
        <v>1</v>
      </c>
      <c r="B7" s="110" t="s">
        <v>482</v>
      </c>
      <c r="D7" s="113">
        <f>+'Detailed Income &amp; Exp'!D23</f>
        <v>52251</v>
      </c>
      <c r="E7" s="110" t="s">
        <v>645</v>
      </c>
    </row>
    <row r="8" spans="1:18">
      <c r="B8" s="81" t="s">
        <v>483</v>
      </c>
      <c r="E8" s="110"/>
      <c r="J8" s="396"/>
      <c r="K8" s="110"/>
      <c r="L8" s="110"/>
      <c r="M8" s="110"/>
      <c r="N8" s="110"/>
      <c r="O8" s="110"/>
      <c r="P8" s="110"/>
      <c r="Q8" s="110"/>
      <c r="R8" s="110"/>
    </row>
    <row r="9" spans="1:18">
      <c r="B9" s="81" t="s">
        <v>484</v>
      </c>
    </row>
    <row r="11" spans="1:18">
      <c r="A11" s="83">
        <v>2</v>
      </c>
      <c r="B11" s="81" t="s">
        <v>485</v>
      </c>
    </row>
    <row r="12" spans="1:18">
      <c r="B12" s="81" t="s">
        <v>486</v>
      </c>
      <c r="D12" s="112"/>
    </row>
    <row r="13" spans="1:18">
      <c r="B13" s="81" t="s">
        <v>487</v>
      </c>
      <c r="D13" s="112"/>
    </row>
    <row r="14" spans="1:18">
      <c r="B14" s="81" t="s">
        <v>502</v>
      </c>
      <c r="D14" s="112"/>
    </row>
    <row r="15" spans="1:18">
      <c r="B15" s="81" t="s">
        <v>488</v>
      </c>
      <c r="D15" s="111">
        <f>SUM(D12:D14)</f>
        <v>0</v>
      </c>
      <c r="E15" s="110" t="s">
        <v>653</v>
      </c>
    </row>
    <row r="17" spans="1:14">
      <c r="A17" s="83">
        <v>3</v>
      </c>
      <c r="B17" s="81" t="s">
        <v>489</v>
      </c>
      <c r="D17" s="113">
        <v>29783</v>
      </c>
    </row>
    <row r="18" spans="1:14">
      <c r="B18" s="81" t="s">
        <v>490</v>
      </c>
    </row>
    <row r="20" spans="1:14">
      <c r="A20" s="83">
        <v>4</v>
      </c>
      <c r="B20" s="81" t="s">
        <v>489</v>
      </c>
      <c r="D20" s="113">
        <v>0</v>
      </c>
    </row>
    <row r="21" spans="1:14">
      <c r="B21" s="81" t="s">
        <v>491</v>
      </c>
    </row>
    <row r="22" spans="1:14">
      <c r="B22" s="81" t="s">
        <v>490</v>
      </c>
    </row>
    <row r="24" spans="1:14">
      <c r="A24" s="83">
        <v>5</v>
      </c>
      <c r="B24" s="81" t="s">
        <v>492</v>
      </c>
      <c r="G24" s="396"/>
      <c r="H24" s="110"/>
      <c r="I24" s="110"/>
      <c r="J24" s="110"/>
      <c r="K24" s="110"/>
      <c r="L24" s="110"/>
      <c r="M24" s="110"/>
      <c r="N24" s="110"/>
    </row>
    <row r="25" spans="1:14">
      <c r="B25" s="81" t="s">
        <v>493</v>
      </c>
      <c r="D25" s="112">
        <v>16620</v>
      </c>
      <c r="G25" s="110"/>
      <c r="H25" s="110"/>
      <c r="I25" s="110"/>
      <c r="J25" s="110"/>
      <c r="K25" s="110"/>
      <c r="L25" s="110"/>
      <c r="M25" s="110"/>
      <c r="N25" s="110"/>
    </row>
    <row r="26" spans="1:14">
      <c r="B26" s="81" t="s">
        <v>494</v>
      </c>
      <c r="D26" s="112">
        <v>825</v>
      </c>
    </row>
    <row r="27" spans="1:14">
      <c r="B27" s="81" t="s">
        <v>495</v>
      </c>
      <c r="D27" s="114">
        <f>SUM(D25:D26)</f>
        <v>17445</v>
      </c>
      <c r="E27" s="81" t="s">
        <v>674</v>
      </c>
    </row>
    <row r="29" spans="1:14">
      <c r="A29" s="83">
        <v>6</v>
      </c>
      <c r="B29" s="81" t="s">
        <v>496</v>
      </c>
      <c r="D29" s="113">
        <f>'Detailed Income &amp; Exp'!F35+'Detailed Income &amp; Exp'!F36</f>
        <v>3367657.76</v>
      </c>
    </row>
    <row r="30" spans="1:14">
      <c r="B30" s="81" t="s">
        <v>497</v>
      </c>
    </row>
    <row r="32" spans="1:14">
      <c r="A32" s="83">
        <v>7</v>
      </c>
      <c r="B32" s="81" t="s">
        <v>498</v>
      </c>
      <c r="D32" s="113">
        <f>+'Acct 456.1'!H37</f>
        <v>10958.589999999998</v>
      </c>
      <c r="E32" s="81" t="s">
        <v>730</v>
      </c>
      <c r="F32" s="396"/>
      <c r="G32" s="110"/>
      <c r="H32" s="110"/>
      <c r="I32" s="110"/>
      <c r="J32" s="110"/>
      <c r="K32" s="110"/>
    </row>
    <row r="33" spans="1:4">
      <c r="B33" s="81" t="s">
        <v>499</v>
      </c>
    </row>
    <row r="35" spans="1:4">
      <c r="A35" s="83">
        <v>8</v>
      </c>
      <c r="B35" s="81" t="s">
        <v>500</v>
      </c>
      <c r="D35" s="113">
        <v>0</v>
      </c>
    </row>
    <row r="36" spans="1:4">
      <c r="B36" s="81" t="s">
        <v>501</v>
      </c>
    </row>
  </sheetData>
  <mergeCells count="5">
    <mergeCell ref="A1:E1"/>
    <mergeCell ref="A2:E2"/>
    <mergeCell ref="A3:E3"/>
    <mergeCell ref="A4:E4"/>
    <mergeCell ref="A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Nonlevelized-EIA 412</vt:lpstr>
      <vt:lpstr>Balance sheet Sched 2</vt:lpstr>
      <vt:lpstr>Income Statement Sched 3</vt:lpstr>
      <vt:lpstr>Electric Plant Sched 4</vt:lpstr>
      <vt:lpstr>Taxes Sched 5</vt:lpstr>
      <vt:lpstr>Op &amp; Maint Sched 7</vt:lpstr>
      <vt:lpstr>Salaries</vt:lpstr>
      <vt:lpstr>Detailed Income &amp; Exp</vt:lpstr>
      <vt:lpstr>Other Data</vt:lpstr>
      <vt:lpstr>Acct 456.1</vt:lpstr>
      <vt:lpstr>'Income Statement Sched 3'!Print_Area</vt:lpstr>
      <vt:lpstr>'Nonlevelized-EIA 412'!Print_Area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Weeden</dc:creator>
  <cp:lastModifiedBy>Kristina Sipma</cp:lastModifiedBy>
  <cp:lastPrinted>2016-03-30T19:05:23Z</cp:lastPrinted>
  <dcterms:created xsi:type="dcterms:W3CDTF">2008-03-20T17:17:49Z</dcterms:created>
  <dcterms:modified xsi:type="dcterms:W3CDTF">2016-06-02T16:49:58Z</dcterms:modified>
</cp:coreProperties>
</file>