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_MERLIN\MYDATA\XLS\MISO TO\2016\"/>
    </mc:Choice>
  </mc:AlternateContent>
  <bookViews>
    <workbookView xWindow="0" yWindow="0" windowWidth="19296" windowHeight="5160" activeTab="1"/>
  </bookViews>
  <sheets>
    <sheet name="Coversheet" sheetId="2" r:id="rId1"/>
    <sheet name="Nonlevelized-EIA 412" sheetId="17" r:id="rId2"/>
    <sheet name="Divisor" sheetId="1" r:id="rId3"/>
    <sheet name="Plant" sheetId="4" r:id="rId4"/>
    <sheet name="CWIP" sheetId="5" r:id="rId5"/>
    <sheet name="Adj to Rate Base" sheetId="3" r:id="rId6"/>
    <sheet name="Abandoned Plant" sheetId="6" r:id="rId7"/>
    <sheet name="Land Held for Future Use" sheetId="7" r:id="rId8"/>
    <sheet name="Materials and Prepayments" sheetId="8" r:id="rId9"/>
    <sheet name="Capital Structure" sheetId="9" r:id="rId10"/>
    <sheet name="Trans_OM" sheetId="14" r:id="rId11"/>
    <sheet name="A&amp;G" sheetId="13" r:id="rId12"/>
    <sheet name="Other_Exp_Inc" sheetId="15" r:id="rId13"/>
    <sheet name="Interest_Rates" sheetId="18" r:id="rId14"/>
  </sheets>
  <externalReferences>
    <externalReference r:id="rId15"/>
  </externalReferences>
  <definedNames>
    <definedName name="CH_COS">#REF!</definedName>
    <definedName name="NSP_COS">#REF!</definedName>
    <definedName name="_xlnm.Print_Area" localSheetId="9">'Capital Structure'!$B$1:$G$24</definedName>
    <definedName name="_xlnm.Print_Area" localSheetId="1">'Nonlevelized-EIA 412'!$A$1:$K$336</definedName>
    <definedName name="_xlnm.Print_Titles" localSheetId="3">Plant!$B:$C</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I270" i="17" l="1"/>
  <c r="K249" i="17"/>
  <c r="D154" i="17"/>
  <c r="S82" i="4" l="1"/>
  <c r="Q97" i="17" l="1"/>
  <c r="P97" i="17"/>
  <c r="N101" i="17"/>
  <c r="N97" i="17"/>
  <c r="N95" i="17"/>
  <c r="N96" i="17"/>
  <c r="I27" i="17"/>
  <c r="C21" i="18"/>
  <c r="C22" i="18" s="1"/>
  <c r="S75" i="4" l="1"/>
  <c r="S74" i="4"/>
  <c r="R15" i="4"/>
  <c r="T8" i="4"/>
  <c r="B19" i="14" l="1"/>
  <c r="D36" i="14" l="1"/>
  <c r="E11" i="15" l="1"/>
  <c r="E12" i="15"/>
  <c r="E11" i="13"/>
  <c r="E24" i="13"/>
  <c r="E9" i="9"/>
  <c r="E8" i="9"/>
  <c r="F26" i="9"/>
  <c r="F30" i="9"/>
  <c r="I27" i="4"/>
  <c r="E60" i="4"/>
  <c r="S64" i="4"/>
  <c r="S81" i="4"/>
  <c r="Q81" i="4"/>
  <c r="P27" i="4"/>
  <c r="G27" i="4"/>
  <c r="F59" i="4"/>
  <c r="F60" i="4"/>
  <c r="E59" i="4"/>
  <c r="F61" i="4"/>
  <c r="E61" i="4"/>
  <c r="L61" i="4" s="1"/>
  <c r="U73" i="4"/>
  <c r="U74" i="4"/>
  <c r="U75" i="4"/>
  <c r="T64" i="4"/>
  <c r="U64" i="4"/>
  <c r="E70" i="4"/>
  <c r="M70" i="4"/>
  <c r="G14" i="5"/>
  <c r="G10" i="5"/>
  <c r="G11" i="5" s="1"/>
  <c r="G12" i="5" s="1"/>
  <c r="G13" i="5" s="1"/>
  <c r="G9" i="5"/>
  <c r="F8" i="5"/>
  <c r="F9" i="5"/>
  <c r="F10" i="5"/>
  <c r="F11" i="5"/>
  <c r="F12" i="5"/>
  <c r="F13" i="5" s="1"/>
  <c r="F14" i="5" s="1"/>
  <c r="F15" i="5" s="1"/>
  <c r="F16" i="5" s="1"/>
  <c r="F17" i="5" s="1"/>
  <c r="F18" i="5" s="1"/>
  <c r="F19" i="5" s="1"/>
  <c r="F20" i="5" s="1"/>
  <c r="E10" i="5"/>
  <c r="E11" i="5"/>
  <c r="E12" i="5"/>
  <c r="E13" i="5"/>
  <c r="E14" i="5" s="1"/>
  <c r="E15" i="5" s="1"/>
  <c r="E16" i="5" s="1"/>
  <c r="E17" i="5" s="1"/>
  <c r="E18" i="5" s="1"/>
  <c r="E19" i="5" s="1"/>
  <c r="E20" i="5" s="1"/>
  <c r="E9" i="5"/>
  <c r="F65" i="4"/>
  <c r="F72" i="4"/>
  <c r="F74" i="4"/>
  <c r="N86" i="4"/>
  <c r="N74" i="4"/>
  <c r="J73" i="4"/>
  <c r="J78" i="4"/>
  <c r="J86" i="4"/>
  <c r="I86" i="4"/>
  <c r="M86" i="4" s="1"/>
  <c r="I64" i="4"/>
  <c r="M64" i="4" l="1"/>
  <c r="G71" i="4"/>
  <c r="G70" i="4"/>
  <c r="G67" i="4"/>
  <c r="G64" i="4"/>
  <c r="L78" i="4" l="1"/>
  <c r="K78" i="4"/>
  <c r="I74" i="4" l="1"/>
  <c r="M74" i="4" s="1"/>
  <c r="I73" i="4"/>
  <c r="I78" i="4"/>
  <c r="I284" i="17"/>
  <c r="I285" i="17"/>
  <c r="I282" i="17"/>
  <c r="I279" i="17"/>
  <c r="D244" i="17"/>
  <c r="D242" i="17"/>
  <c r="D243" i="17"/>
  <c r="D241" i="17"/>
  <c r="I233" i="17"/>
  <c r="D176" i="17"/>
  <c r="D159" i="17" l="1"/>
  <c r="D155" i="17"/>
  <c r="D295" i="17" l="1"/>
  <c r="D294" i="17"/>
  <c r="K293" i="17"/>
  <c r="C293" i="17"/>
  <c r="B293" i="17"/>
  <c r="I277" i="17"/>
  <c r="E268" i="17"/>
  <c r="G267" i="17"/>
  <c r="I267" i="17" s="1"/>
  <c r="G258" i="17"/>
  <c r="D245" i="17"/>
  <c r="G244" i="17"/>
  <c r="G243" i="17"/>
  <c r="G241" i="17"/>
  <c r="D220" i="17"/>
  <c r="D218" i="17"/>
  <c r="K217" i="17"/>
  <c r="D217" i="17"/>
  <c r="B217" i="17"/>
  <c r="I208" i="17"/>
  <c r="I204" i="17"/>
  <c r="D183" i="17"/>
  <c r="D187" i="17" s="1"/>
  <c r="D191" i="17" s="1"/>
  <c r="D180" i="17"/>
  <c r="F178" i="17"/>
  <c r="F174" i="17"/>
  <c r="B168" i="17"/>
  <c r="I166" i="17"/>
  <c r="B165" i="17"/>
  <c r="I161" i="17"/>
  <c r="F159" i="17"/>
  <c r="F157" i="17"/>
  <c r="F158" i="17" s="1"/>
  <c r="I154" i="17"/>
  <c r="D148" i="17"/>
  <c r="D146" i="17"/>
  <c r="K145" i="17"/>
  <c r="D145" i="17"/>
  <c r="B145" i="17"/>
  <c r="F129" i="17"/>
  <c r="D127" i="17"/>
  <c r="I126" i="17"/>
  <c r="F124" i="17"/>
  <c r="D115" i="17"/>
  <c r="I113" i="17"/>
  <c r="D113" i="17"/>
  <c r="B113" i="17"/>
  <c r="B111" i="17"/>
  <c r="F106" i="17"/>
  <c r="B106" i="17"/>
  <c r="B115" i="17" s="1"/>
  <c r="F105" i="17"/>
  <c r="B105" i="17"/>
  <c r="B114" i="17" s="1"/>
  <c r="G104" i="17"/>
  <c r="F104" i="17"/>
  <c r="B104" i="17"/>
  <c r="F102" i="17"/>
  <c r="B102" i="17"/>
  <c r="G101" i="17"/>
  <c r="F101" i="17"/>
  <c r="B101" i="17"/>
  <c r="B110" i="17" s="1"/>
  <c r="Q98" i="17"/>
  <c r="P98" i="17"/>
  <c r="R97" i="17"/>
  <c r="R96" i="17"/>
  <c r="R95" i="17"/>
  <c r="D87" i="17"/>
  <c r="D85" i="17"/>
  <c r="K84" i="17"/>
  <c r="D84" i="17"/>
  <c r="B84" i="17"/>
  <c r="I54" i="17"/>
  <c r="I53" i="17"/>
  <c r="I26" i="17"/>
  <c r="I28" i="17" s="1"/>
  <c r="I22" i="17"/>
  <c r="F15" i="17"/>
  <c r="D14" i="17"/>
  <c r="R98" i="17" l="1"/>
  <c r="S97" i="17" s="1"/>
  <c r="S95" i="17" l="1"/>
  <c r="S98" i="17" s="1"/>
  <c r="S96" i="17"/>
  <c r="F28" i="18" l="1"/>
  <c r="B28" i="18"/>
  <c r="C5" i="18"/>
  <c r="C6" i="18" s="1"/>
  <c r="C4" i="18"/>
  <c r="C7" i="18" l="1"/>
  <c r="C8" i="18" s="1"/>
  <c r="C9" i="18" s="1"/>
  <c r="C10" i="18" s="1"/>
  <c r="C11" i="18" s="1"/>
  <c r="C12" i="18" s="1"/>
  <c r="C13" i="18" s="1"/>
  <c r="C14" i="18" s="1"/>
  <c r="C15" i="18" s="1"/>
  <c r="C16" i="18" s="1"/>
  <c r="C17" i="18" s="1"/>
  <c r="C18" i="18" s="1"/>
  <c r="C19" i="18" s="1"/>
  <c r="C20" i="18" s="1"/>
  <c r="C28" i="18" l="1"/>
  <c r="G28" i="18"/>
  <c r="E30" i="13" l="1"/>
  <c r="D158" i="17" s="1"/>
  <c r="E33" i="15"/>
  <c r="I283" i="17" s="1"/>
  <c r="I286" i="17" s="1"/>
  <c r="D15" i="17" s="1"/>
  <c r="Q25" i="4" l="1"/>
  <c r="Q42" i="4" s="1"/>
  <c r="I82" i="4" l="1"/>
  <c r="S62" i="4"/>
  <c r="T61" i="4" s="1"/>
  <c r="P74" i="4" l="1"/>
  <c r="P65" i="4"/>
  <c r="P66" i="4"/>
  <c r="P67" i="4"/>
  <c r="P69" i="4"/>
  <c r="P70" i="4"/>
  <c r="P71" i="4"/>
  <c r="P72" i="4"/>
  <c r="P76" i="4"/>
  <c r="P77" i="4"/>
  <c r="P68" i="4"/>
  <c r="P79" i="4"/>
  <c r="P64" i="4"/>
  <c r="H73" i="4"/>
  <c r="T74" i="4" l="1"/>
  <c r="Q26" i="4"/>
  <c r="P78" i="4" l="1"/>
  <c r="E75" i="4"/>
  <c r="F75" i="4" s="1"/>
  <c r="P75" i="4" l="1"/>
  <c r="O75" i="4"/>
  <c r="G8" i="5"/>
  <c r="R8" i="4" l="1"/>
  <c r="F8" i="9" l="1"/>
  <c r="F9" i="9" s="1"/>
  <c r="N73" i="4"/>
  <c r="M73" i="4"/>
  <c r="K67" i="4"/>
  <c r="K66" i="4"/>
  <c r="J84" i="4" l="1"/>
  <c r="J82" i="4"/>
  <c r="L82" i="4"/>
  <c r="K82" i="4"/>
  <c r="R25" i="4" l="1"/>
  <c r="R42" i="4" s="1"/>
  <c r="O25" i="4"/>
  <c r="P25" i="4"/>
  <c r="P42" i="4" s="1"/>
  <c r="H24" i="4" l="1"/>
  <c r="R65" i="4" l="1"/>
  <c r="R66" i="4"/>
  <c r="R67" i="4"/>
  <c r="R69" i="4"/>
  <c r="R70" i="4"/>
  <c r="R71" i="4"/>
  <c r="R76" i="4"/>
  <c r="R72" i="4"/>
  <c r="R73" i="4"/>
  <c r="R74" i="4"/>
  <c r="R75" i="4"/>
  <c r="R77" i="4"/>
  <c r="R68" i="4"/>
  <c r="R78" i="4"/>
  <c r="R79" i="4"/>
  <c r="R64" i="4"/>
  <c r="T65" i="4"/>
  <c r="T69" i="4"/>
  <c r="T70" i="4"/>
  <c r="T76" i="4"/>
  <c r="T68" i="4"/>
  <c r="O74" i="4"/>
  <c r="Q8" i="4" l="1"/>
  <c r="Q27" i="4" s="1"/>
  <c r="T75" i="4"/>
  <c r="R26" i="4"/>
  <c r="R27" i="4" s="1"/>
  <c r="T72" i="4"/>
  <c r="O26" i="4"/>
  <c r="Q9" i="4" l="1"/>
  <c r="Q43" i="4"/>
  <c r="Q10" i="4" l="1"/>
  <c r="Q44" i="4"/>
  <c r="Q28" i="4"/>
  <c r="H70" i="4"/>
  <c r="H64" i="4"/>
  <c r="J9" i="4"/>
  <c r="J10" i="4" s="1"/>
  <c r="J11" i="4" s="1"/>
  <c r="J12" i="4" s="1"/>
  <c r="J13" i="4" s="1"/>
  <c r="J14" i="4" s="1"/>
  <c r="J15" i="4" s="1"/>
  <c r="J16" i="4" s="1"/>
  <c r="J17" i="4" s="1"/>
  <c r="J18" i="4" s="1"/>
  <c r="J19" i="4" s="1"/>
  <c r="J20" i="4" s="1"/>
  <c r="O65" i="4"/>
  <c r="S65" i="4" s="1"/>
  <c r="U65" i="4" s="1"/>
  <c r="O72" i="4"/>
  <c r="O77" i="4"/>
  <c r="S77" i="4" s="1"/>
  <c r="O68" i="4"/>
  <c r="S68" i="4" s="1"/>
  <c r="U68" i="4" s="1"/>
  <c r="T77" i="4"/>
  <c r="M65" i="4"/>
  <c r="N65" i="4"/>
  <c r="N66" i="4"/>
  <c r="N67" i="4"/>
  <c r="M69" i="4"/>
  <c r="N69" i="4"/>
  <c r="F70" i="4"/>
  <c r="N70" i="4"/>
  <c r="N71" i="4"/>
  <c r="M76" i="4"/>
  <c r="N76" i="4"/>
  <c r="M72" i="4"/>
  <c r="N72" i="4"/>
  <c r="M75" i="4"/>
  <c r="N75" i="4"/>
  <c r="M77" i="4"/>
  <c r="N79" i="4"/>
  <c r="N84" i="4" s="1"/>
  <c r="M68" i="4"/>
  <c r="N68" i="4"/>
  <c r="N78" i="4"/>
  <c r="L84" i="4"/>
  <c r="K83" i="4"/>
  <c r="K84" i="4"/>
  <c r="J83" i="4"/>
  <c r="J81" i="4"/>
  <c r="H75" i="4"/>
  <c r="H72" i="4"/>
  <c r="H71" i="4"/>
  <c r="H69" i="4"/>
  <c r="H67" i="4"/>
  <c r="H66" i="4"/>
  <c r="H65" i="4"/>
  <c r="E69" i="4" l="1"/>
  <c r="F69" i="4" s="1"/>
  <c r="H76" i="4"/>
  <c r="E76" i="4"/>
  <c r="F76" i="4" s="1"/>
  <c r="N82" i="4"/>
  <c r="E64" i="4"/>
  <c r="Q29" i="4"/>
  <c r="Q11" i="4"/>
  <c r="Q45" i="4"/>
  <c r="O70" i="4"/>
  <c r="S70" i="4" s="1"/>
  <c r="U70" i="4" s="1"/>
  <c r="O69" i="4"/>
  <c r="U77" i="4"/>
  <c r="N77" i="4"/>
  <c r="N83" i="4" s="1"/>
  <c r="L83" i="4"/>
  <c r="T71" i="4"/>
  <c r="T82" i="4" s="1"/>
  <c r="N64" i="4"/>
  <c r="N81" i="4" s="1"/>
  <c r="O8" i="4"/>
  <c r="S72" i="4"/>
  <c r="U72" i="4" s="1"/>
  <c r="T66" i="4"/>
  <c r="O78" i="4"/>
  <c r="S78" i="4" s="1"/>
  <c r="T78" i="4"/>
  <c r="T83" i="4" s="1"/>
  <c r="M67" i="4"/>
  <c r="E67" i="4" s="1"/>
  <c r="F67" i="4" s="1"/>
  <c r="T67" i="4"/>
  <c r="I83" i="4"/>
  <c r="H28" i="5"/>
  <c r="L81" i="4"/>
  <c r="M66" i="4"/>
  <c r="M78" i="4"/>
  <c r="M83" i="4" s="1"/>
  <c r="K81" i="4"/>
  <c r="I81" i="4"/>
  <c r="O76" i="4"/>
  <c r="S76" i="4" s="1"/>
  <c r="M71" i="4"/>
  <c r="M82" i="4" s="1"/>
  <c r="F10" i="9"/>
  <c r="F11" i="9" s="1"/>
  <c r="F12" i="9" s="1"/>
  <c r="F13" i="9" s="1"/>
  <c r="J85" i="4"/>
  <c r="J87" i="4" s="1"/>
  <c r="F64" i="4" l="1"/>
  <c r="O64" i="4"/>
  <c r="O71" i="4"/>
  <c r="E71" i="4"/>
  <c r="F71" i="4" s="1"/>
  <c r="Q12" i="4"/>
  <c r="Q46" i="4"/>
  <c r="Q30" i="4"/>
  <c r="S69" i="4"/>
  <c r="N8" i="4"/>
  <c r="E66" i="4"/>
  <c r="F14" i="9"/>
  <c r="U78" i="4"/>
  <c r="O9" i="4"/>
  <c r="O27" i="4"/>
  <c r="L85" i="4"/>
  <c r="L87" i="4" s="1"/>
  <c r="M81" i="4"/>
  <c r="T81" i="4"/>
  <c r="K85" i="4"/>
  <c r="K87" i="4" s="1"/>
  <c r="N85" i="4"/>
  <c r="N87" i="4" s="1"/>
  <c r="G8" i="9"/>
  <c r="E28" i="15"/>
  <c r="D254" i="17" s="1"/>
  <c r="B9" i="13"/>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7" i="14"/>
  <c r="B8" i="14" s="1"/>
  <c r="B9" i="14" s="1"/>
  <c r="B10" i="14" s="1"/>
  <c r="B11" i="14" s="1"/>
  <c r="B12" i="14" s="1"/>
  <c r="B13" i="14" s="1"/>
  <c r="B14" i="14" s="1"/>
  <c r="B15" i="14" s="1"/>
  <c r="B16" i="14" s="1"/>
  <c r="B17" i="14" s="1"/>
  <c r="B18"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9" i="15"/>
  <c r="B10" i="15" s="1"/>
  <c r="B11" i="15" s="1"/>
  <c r="B12" i="15" s="1"/>
  <c r="B13" i="15" s="1"/>
  <c r="B14" i="15" s="1"/>
  <c r="B15" i="15" s="1"/>
  <c r="B16" i="15" s="1"/>
  <c r="B17" i="15" s="1"/>
  <c r="B18" i="15" s="1"/>
  <c r="B19" i="15" s="1"/>
  <c r="B21" i="15" s="1"/>
  <c r="B22" i="15" s="1"/>
  <c r="B23" i="15" s="1"/>
  <c r="D5" i="15"/>
  <c r="O66" i="4" l="1"/>
  <c r="S66" i="4" s="1"/>
  <c r="U66" i="4" s="1"/>
  <c r="F66" i="4"/>
  <c r="O10" i="4"/>
  <c r="U69" i="4"/>
  <c r="Q31" i="4"/>
  <c r="Q13" i="4"/>
  <c r="Q47" i="4"/>
  <c r="N9" i="4"/>
  <c r="N10" i="4" s="1"/>
  <c r="N11" i="4" s="1"/>
  <c r="N12" i="4" s="1"/>
  <c r="N13" i="4" s="1"/>
  <c r="N14" i="4" s="1"/>
  <c r="N15" i="4" s="1"/>
  <c r="N16" i="4" s="1"/>
  <c r="N17" i="4" s="1"/>
  <c r="N18" i="4" s="1"/>
  <c r="N19" i="4" s="1"/>
  <c r="N20" i="4" s="1"/>
  <c r="F15" i="9"/>
  <c r="F16" i="9" s="1"/>
  <c r="F17" i="9" s="1"/>
  <c r="F18" i="9" s="1"/>
  <c r="F19" i="9" s="1"/>
  <c r="F20" i="9" s="1"/>
  <c r="R43" i="4"/>
  <c r="R9" i="4"/>
  <c r="R10" i="4" s="1"/>
  <c r="D40" i="15"/>
  <c r="D36" i="15"/>
  <c r="O67" i="4"/>
  <c r="S67" i="4" s="1"/>
  <c r="U67" i="4" s="1"/>
  <c r="O28" i="4"/>
  <c r="S71" i="4"/>
  <c r="O83" i="4"/>
  <c r="I8" i="4" s="1"/>
  <c r="I9" i="4" s="1"/>
  <c r="I10" i="4" s="1"/>
  <c r="I11" i="4" s="1"/>
  <c r="I12" i="4" s="1"/>
  <c r="I13" i="4" s="1"/>
  <c r="I14" i="4" s="1"/>
  <c r="I15" i="4" s="1"/>
  <c r="I16" i="4" s="1"/>
  <c r="I17" i="4" s="1"/>
  <c r="I18" i="4" s="1"/>
  <c r="I19" i="4" s="1"/>
  <c r="I20" i="4" s="1"/>
  <c r="O43" i="4"/>
  <c r="B20" i="15"/>
  <c r="D35" i="15"/>
  <c r="D33" i="15"/>
  <c r="D30" i="15"/>
  <c r="D34" i="15"/>
  <c r="D32" i="15"/>
  <c r="D26" i="15"/>
  <c r="D24" i="15"/>
  <c r="D22" i="15"/>
  <c r="D27" i="15"/>
  <c r="D25" i="15"/>
  <c r="D23" i="15"/>
  <c r="D21" i="15"/>
  <c r="B24" i="15"/>
  <c r="B25" i="15" s="1"/>
  <c r="B26" i="15" s="1"/>
  <c r="B27" i="15" s="1"/>
  <c r="D8" i="15"/>
  <c r="D9" i="15"/>
  <c r="D11" i="15"/>
  <c r="D12" i="15"/>
  <c r="D13" i="15"/>
  <c r="D15" i="15"/>
  <c r="D17" i="15"/>
  <c r="D19" i="15"/>
  <c r="D39" i="15"/>
  <c r="D41" i="15"/>
  <c r="D10" i="15"/>
  <c r="D14" i="15"/>
  <c r="D16" i="15"/>
  <c r="D18" i="15"/>
  <c r="D38" i="15"/>
  <c r="O11" i="4" l="1"/>
  <c r="O29" i="4"/>
  <c r="Q14" i="4"/>
  <c r="Q48" i="4"/>
  <c r="Q32" i="4"/>
  <c r="R28" i="4"/>
  <c r="R44" i="4"/>
  <c r="U71" i="4"/>
  <c r="M8" i="4"/>
  <c r="M9" i="4" s="1"/>
  <c r="F9" i="4" s="1"/>
  <c r="U82" i="4"/>
  <c r="O81" i="4"/>
  <c r="E8" i="4" s="1"/>
  <c r="U81" i="4"/>
  <c r="S83" i="4"/>
  <c r="U76" i="4"/>
  <c r="O44" i="4"/>
  <c r="B30" i="15"/>
  <c r="B31" i="15" s="1"/>
  <c r="B32" i="15" s="1"/>
  <c r="B33" i="15" s="1"/>
  <c r="B34" i="15" s="1"/>
  <c r="B35" i="15" s="1"/>
  <c r="B28" i="15"/>
  <c r="B29" i="15" s="1"/>
  <c r="D2" i="14"/>
  <c r="C2" i="14"/>
  <c r="C1" i="14"/>
  <c r="F21" i="1"/>
  <c r="E21" i="1"/>
  <c r="G19" i="1"/>
  <c r="G18" i="1"/>
  <c r="G17" i="1"/>
  <c r="G16" i="1"/>
  <c r="G15" i="1"/>
  <c r="G14" i="1"/>
  <c r="G13" i="1"/>
  <c r="G12" i="1"/>
  <c r="G11" i="1"/>
  <c r="G10" i="1"/>
  <c r="G9" i="1"/>
  <c r="G8" i="1"/>
  <c r="Q33" i="4" l="1"/>
  <c r="O30" i="4"/>
  <c r="O12" i="4"/>
  <c r="Q15" i="4"/>
  <c r="Q49" i="4"/>
  <c r="F8" i="4"/>
  <c r="R29" i="4"/>
  <c r="R11" i="4"/>
  <c r="R45" i="4"/>
  <c r="U83" i="4"/>
  <c r="E9" i="4"/>
  <c r="E10" i="4" s="1"/>
  <c r="M10" i="4"/>
  <c r="F10" i="4" s="1"/>
  <c r="B36" i="15"/>
  <c r="B37" i="15" s="1"/>
  <c r="B38" i="15" s="1"/>
  <c r="B39" i="15" s="1"/>
  <c r="B40" i="15" s="1"/>
  <c r="B41" i="15" s="1"/>
  <c r="G21" i="1"/>
  <c r="I35" i="17" s="1"/>
  <c r="O45" i="4"/>
  <c r="E22" i="13"/>
  <c r="D156" i="17" s="1"/>
  <c r="I42" i="17" l="1"/>
  <c r="O39" i="17" s="1"/>
  <c r="O41" i="17" s="1"/>
  <c r="O13" i="4"/>
  <c r="O31" i="4"/>
  <c r="E26" i="13"/>
  <c r="Q16" i="4"/>
  <c r="Q50" i="4"/>
  <c r="Q34" i="4"/>
  <c r="E11" i="4"/>
  <c r="E12" i="4" s="1"/>
  <c r="E13" i="4" s="1"/>
  <c r="E14" i="4" s="1"/>
  <c r="E15" i="4" s="1"/>
  <c r="E16" i="4" s="1"/>
  <c r="E17" i="4" s="1"/>
  <c r="E18" i="4" s="1"/>
  <c r="E19" i="4" s="1"/>
  <c r="E20" i="4" s="1"/>
  <c r="R30" i="4"/>
  <c r="R12" i="4"/>
  <c r="R46" i="4"/>
  <c r="M11" i="4"/>
  <c r="F11" i="4" s="1"/>
  <c r="O46" i="4"/>
  <c r="D34" i="14"/>
  <c r="D153" i="17" s="1"/>
  <c r="I232" i="17" s="1"/>
  <c r="I234" i="17" l="1"/>
  <c r="I236" i="17" s="1"/>
  <c r="D162" i="17"/>
  <c r="D132" i="17" s="1"/>
  <c r="O32" i="4"/>
  <c r="O14" i="4"/>
  <c r="D38" i="14"/>
  <c r="Q35" i="4"/>
  <c r="Q17" i="4"/>
  <c r="Q51" i="4"/>
  <c r="R31" i="4"/>
  <c r="R47" i="4"/>
  <c r="R13" i="4"/>
  <c r="M12" i="4"/>
  <c r="F12" i="4" s="1"/>
  <c r="O47" i="4"/>
  <c r="D5" i="13"/>
  <c r="B4" i="13"/>
  <c r="O15" i="4" l="1"/>
  <c r="O33" i="4"/>
  <c r="Q18" i="4"/>
  <c r="Q52" i="4"/>
  <c r="Q36" i="4"/>
  <c r="M13" i="4"/>
  <c r="F13" i="4" s="1"/>
  <c r="R32" i="4"/>
  <c r="R48" i="4"/>
  <c r="R14" i="4"/>
  <c r="O48" i="4"/>
  <c r="J25" i="4"/>
  <c r="J42" i="4" s="1"/>
  <c r="I25" i="4"/>
  <c r="I42" i="4" s="1"/>
  <c r="Q37" i="4" l="1"/>
  <c r="O34" i="4"/>
  <c r="O16" i="4"/>
  <c r="Q19" i="4"/>
  <c r="Q53" i="4"/>
  <c r="M14" i="4"/>
  <c r="F14" i="4" s="1"/>
  <c r="R33" i="4"/>
  <c r="R49" i="4"/>
  <c r="O49" i="4"/>
  <c r="O17" i="4" l="1"/>
  <c r="O35" i="4"/>
  <c r="Q20" i="4"/>
  <c r="Q54" i="4"/>
  <c r="Q38" i="4"/>
  <c r="Q40" i="4" s="1"/>
  <c r="M15" i="4"/>
  <c r="F15" i="4" s="1"/>
  <c r="R34" i="4"/>
  <c r="R16" i="4"/>
  <c r="R50" i="4"/>
  <c r="M16" i="4"/>
  <c r="F16" i="4" s="1"/>
  <c r="O50" i="4"/>
  <c r="O36" i="4" l="1"/>
  <c r="O18" i="4"/>
  <c r="Q22" i="4"/>
  <c r="Q55" i="4"/>
  <c r="Q57" i="4" s="1"/>
  <c r="R35" i="4"/>
  <c r="R17" i="4"/>
  <c r="R51" i="4"/>
  <c r="M17" i="4"/>
  <c r="F17" i="4" s="1"/>
  <c r="O51" i="4"/>
  <c r="O19" i="4" l="1"/>
  <c r="O37" i="4"/>
  <c r="R52" i="4"/>
  <c r="R18" i="4"/>
  <c r="R36" i="4"/>
  <c r="M18" i="4"/>
  <c r="F18" i="4" s="1"/>
  <c r="O52" i="4"/>
  <c r="O38" i="4" l="1"/>
  <c r="O20" i="4"/>
  <c r="R37" i="4"/>
  <c r="R53" i="4"/>
  <c r="R19" i="4"/>
  <c r="R20" i="4" s="1"/>
  <c r="M19" i="4"/>
  <c r="F19" i="4" s="1"/>
  <c r="O53" i="4"/>
  <c r="O22" i="4" l="1"/>
  <c r="R38" i="4"/>
  <c r="R55" i="4" s="1"/>
  <c r="R54" i="4"/>
  <c r="R22" i="4"/>
  <c r="M20" i="4"/>
  <c r="F20" i="4" s="1"/>
  <c r="O54" i="4"/>
  <c r="R57" i="4" l="1"/>
  <c r="R40" i="4"/>
  <c r="O55" i="4"/>
  <c r="O57" i="4" s="1"/>
  <c r="O40" i="4"/>
  <c r="F9" i="8" l="1"/>
  <c r="F10" i="8" s="1"/>
  <c r="F11" i="8" s="1"/>
  <c r="F12" i="8" s="1"/>
  <c r="F13" i="8" s="1"/>
  <c r="F14" i="8" s="1"/>
  <c r="F15" i="8" s="1"/>
  <c r="F16" i="8" s="1"/>
  <c r="F17" i="8" s="1"/>
  <c r="F18" i="8" s="1"/>
  <c r="F19" i="8" s="1"/>
  <c r="F20" i="8" s="1"/>
  <c r="E9" i="8"/>
  <c r="E10" i="8" s="1"/>
  <c r="E11" i="8" s="1"/>
  <c r="E12" i="8" s="1"/>
  <c r="E13" i="8" s="1"/>
  <c r="E14" i="8" s="1"/>
  <c r="E15" i="8" s="1"/>
  <c r="E16" i="8" s="1"/>
  <c r="E17" i="8" s="1"/>
  <c r="E18" i="8" s="1"/>
  <c r="E19" i="8" s="1"/>
  <c r="E20" i="8" s="1"/>
  <c r="N22" i="4" l="1"/>
  <c r="E5" i="9"/>
  <c r="D19" i="9" s="1"/>
  <c r="B4" i="9"/>
  <c r="F22" i="8"/>
  <c r="D134" i="17" s="1"/>
  <c r="E22" i="8"/>
  <c r="D133" i="17" s="1"/>
  <c r="D135" i="17" s="1"/>
  <c r="E5" i="8"/>
  <c r="D20" i="8" s="1"/>
  <c r="B4" i="8"/>
  <c r="E5" i="7"/>
  <c r="D20" i="7" s="1"/>
  <c r="E22" i="7"/>
  <c r="B4" i="7"/>
  <c r="D17" i="7" l="1"/>
  <c r="D9" i="7"/>
  <c r="D13" i="7"/>
  <c r="E10" i="9"/>
  <c r="E11" i="9" s="1"/>
  <c r="G9" i="9"/>
  <c r="F22" i="9"/>
  <c r="D258" i="17" s="1"/>
  <c r="D10" i="7"/>
  <c r="D14" i="7"/>
  <c r="D18" i="7"/>
  <c r="D11" i="7"/>
  <c r="D19" i="7"/>
  <c r="D15" i="7"/>
  <c r="D8" i="7"/>
  <c r="D12" i="7"/>
  <c r="D16" i="7"/>
  <c r="D8" i="9"/>
  <c r="D10" i="9"/>
  <c r="D12" i="9"/>
  <c r="D14" i="9"/>
  <c r="D16" i="9"/>
  <c r="D18" i="9"/>
  <c r="D20" i="9"/>
  <c r="D9" i="9"/>
  <c r="D11" i="9"/>
  <c r="D13" i="9"/>
  <c r="D15" i="9"/>
  <c r="D17" i="9"/>
  <c r="D8" i="8"/>
  <c r="D9" i="8"/>
  <c r="D10" i="8"/>
  <c r="D11" i="8"/>
  <c r="D12" i="8"/>
  <c r="D13" i="8"/>
  <c r="D14" i="8"/>
  <c r="D15" i="8"/>
  <c r="D16" i="8"/>
  <c r="D17" i="8"/>
  <c r="D18" i="8"/>
  <c r="D19" i="8"/>
  <c r="G10" i="9" l="1"/>
  <c r="E5" i="6"/>
  <c r="D20" i="6" s="1"/>
  <c r="G22" i="6"/>
  <c r="F22" i="6"/>
  <c r="E22" i="6"/>
  <c r="H20" i="6"/>
  <c r="H19" i="6"/>
  <c r="H18" i="6"/>
  <c r="H17" i="6"/>
  <c r="H16" i="6"/>
  <c r="H15" i="6"/>
  <c r="H14" i="6"/>
  <c r="H13" i="6"/>
  <c r="H12" i="6"/>
  <c r="H11" i="6"/>
  <c r="H10" i="6"/>
  <c r="H9" i="6"/>
  <c r="H8" i="6"/>
  <c r="B4" i="6"/>
  <c r="E15" i="3"/>
  <c r="E5" i="3"/>
  <c r="C4" i="3"/>
  <c r="G11" i="9" l="1"/>
  <c r="E12" i="9"/>
  <c r="H22" i="6"/>
  <c r="D8" i="6"/>
  <c r="D9" i="6"/>
  <c r="D10" i="6"/>
  <c r="D11" i="6"/>
  <c r="D12" i="6"/>
  <c r="D13" i="6"/>
  <c r="D14" i="6"/>
  <c r="D15" i="6"/>
  <c r="D16" i="6"/>
  <c r="D17" i="6"/>
  <c r="D18" i="6"/>
  <c r="D19" i="6"/>
  <c r="E13" i="9" l="1"/>
  <c r="G12" i="9"/>
  <c r="G22" i="5"/>
  <c r="E5" i="5"/>
  <c r="D20" i="5" s="1"/>
  <c r="B4" i="5"/>
  <c r="K55" i="4"/>
  <c r="H55" i="4"/>
  <c r="K54" i="4"/>
  <c r="H54" i="4"/>
  <c r="K53" i="4"/>
  <c r="H53" i="4"/>
  <c r="K52" i="4"/>
  <c r="H52" i="4"/>
  <c r="K51" i="4"/>
  <c r="H51" i="4"/>
  <c r="K50" i="4"/>
  <c r="H50" i="4"/>
  <c r="K49" i="4"/>
  <c r="H49" i="4"/>
  <c r="K48" i="4"/>
  <c r="H48" i="4"/>
  <c r="K47" i="4"/>
  <c r="H47" i="4"/>
  <c r="K46" i="4"/>
  <c r="H46" i="4"/>
  <c r="K45" i="4"/>
  <c r="H45" i="4"/>
  <c r="K44" i="4"/>
  <c r="H44" i="4"/>
  <c r="K43" i="4"/>
  <c r="H43" i="4"/>
  <c r="K40" i="4"/>
  <c r="H40" i="4"/>
  <c r="K22" i="4"/>
  <c r="K61" i="4" s="1"/>
  <c r="I22" i="4"/>
  <c r="H22" i="4"/>
  <c r="H61" i="4" s="1"/>
  <c r="E22" i="4"/>
  <c r="D92" i="17" s="1"/>
  <c r="E5" i="4"/>
  <c r="D20" i="4" s="1"/>
  <c r="B4" i="4"/>
  <c r="E5" i="1"/>
  <c r="D18" i="1" s="1"/>
  <c r="B4" i="1"/>
  <c r="R23" i="4" l="1"/>
  <c r="R58" i="4"/>
  <c r="I61" i="4"/>
  <c r="Q83" i="4"/>
  <c r="E14" i="9"/>
  <c r="G13" i="9"/>
  <c r="D9" i="1"/>
  <c r="D11" i="1"/>
  <c r="D13" i="1"/>
  <c r="D15" i="1"/>
  <c r="D17" i="1"/>
  <c r="D19" i="1"/>
  <c r="D27" i="4"/>
  <c r="D28" i="4"/>
  <c r="D29" i="4"/>
  <c r="D30" i="4"/>
  <c r="D31" i="4"/>
  <c r="D32" i="4"/>
  <c r="D33" i="4"/>
  <c r="D34" i="4"/>
  <c r="D35" i="4"/>
  <c r="D36" i="4"/>
  <c r="D37" i="4"/>
  <c r="D38" i="4"/>
  <c r="D26" i="4"/>
  <c r="D44" i="4"/>
  <c r="D46" i="4"/>
  <c r="D48" i="4"/>
  <c r="D50" i="4"/>
  <c r="D52" i="4"/>
  <c r="D54" i="4"/>
  <c r="D8" i="1"/>
  <c r="D10" i="1"/>
  <c r="D12" i="1"/>
  <c r="D14" i="1"/>
  <c r="D16" i="1"/>
  <c r="D43" i="4"/>
  <c r="D45" i="4"/>
  <c r="D47" i="4"/>
  <c r="D49" i="4"/>
  <c r="D51" i="4"/>
  <c r="D53" i="4"/>
  <c r="D55" i="4"/>
  <c r="K57" i="4"/>
  <c r="H57" i="4"/>
  <c r="D8" i="5"/>
  <c r="D9" i="5"/>
  <c r="D10" i="5"/>
  <c r="D11" i="5"/>
  <c r="D12" i="5"/>
  <c r="D13" i="5"/>
  <c r="D14" i="5"/>
  <c r="D15" i="5"/>
  <c r="D16" i="5"/>
  <c r="D17" i="5"/>
  <c r="D18" i="5"/>
  <c r="D19" i="5"/>
  <c r="D9" i="4"/>
  <c r="D8" i="4" s="1"/>
  <c r="D10" i="4"/>
  <c r="D11" i="4"/>
  <c r="D12" i="4"/>
  <c r="D13" i="4"/>
  <c r="D14" i="4"/>
  <c r="D15" i="4"/>
  <c r="D16" i="4"/>
  <c r="D17" i="4"/>
  <c r="D18" i="4"/>
  <c r="D19" i="4"/>
  <c r="R83" i="4" l="1"/>
  <c r="P83" i="4"/>
  <c r="I26" i="4" s="1"/>
  <c r="I43" i="4" s="1"/>
  <c r="R81" i="4"/>
  <c r="P81" i="4"/>
  <c r="E26" i="4" s="1"/>
  <c r="E43" i="4" s="1"/>
  <c r="E15" i="9"/>
  <c r="G14" i="9"/>
  <c r="E27" i="4" l="1"/>
  <c r="E28" i="4" s="1"/>
  <c r="E29" i="4" s="1"/>
  <c r="E16" i="9"/>
  <c r="E17" i="9" s="1"/>
  <c r="G15" i="9"/>
  <c r="E45" i="4" l="1"/>
  <c r="E44" i="4"/>
  <c r="I28" i="4"/>
  <c r="I44" i="4"/>
  <c r="E30" i="4"/>
  <c r="E46" i="4"/>
  <c r="G16" i="9"/>
  <c r="I29" i="4" l="1"/>
  <c r="I45" i="4"/>
  <c r="E31" i="4"/>
  <c r="E47" i="4"/>
  <c r="G17" i="9"/>
  <c r="E18" i="9"/>
  <c r="M22" i="4"/>
  <c r="I30" i="4" l="1"/>
  <c r="I46" i="4"/>
  <c r="E32" i="4"/>
  <c r="E48" i="4"/>
  <c r="E19" i="9"/>
  <c r="G18" i="9"/>
  <c r="I31" i="4" l="1"/>
  <c r="I47" i="4"/>
  <c r="E33" i="4"/>
  <c r="E49" i="4"/>
  <c r="E20" i="9"/>
  <c r="G20" i="9" s="1"/>
  <c r="G19" i="9"/>
  <c r="I32" i="4" l="1"/>
  <c r="I48" i="4"/>
  <c r="E34" i="4"/>
  <c r="E50" i="4"/>
  <c r="T79" i="4"/>
  <c r="T84" i="4" s="1"/>
  <c r="T85" i="4" s="1"/>
  <c r="T87" i="4" s="1"/>
  <c r="M79" i="4"/>
  <c r="M84" i="4" s="1"/>
  <c r="M85" i="4" s="1"/>
  <c r="M87" i="4" s="1"/>
  <c r="O79" i="4"/>
  <c r="F22" i="4"/>
  <c r="D93" i="17" s="1"/>
  <c r="E22" i="9"/>
  <c r="D257" i="17" s="1"/>
  <c r="I84" i="4"/>
  <c r="G257" i="17" l="1"/>
  <c r="D259" i="17"/>
  <c r="I33" i="4"/>
  <c r="I49" i="4"/>
  <c r="I85" i="4"/>
  <c r="I87" i="4" s="1"/>
  <c r="E35" i="4"/>
  <c r="E51" i="4"/>
  <c r="Q82" i="4"/>
  <c r="O84" i="4"/>
  <c r="S79" i="4"/>
  <c r="D167" i="17" s="1"/>
  <c r="E257" i="17" l="1"/>
  <c r="E258" i="17"/>
  <c r="I258" i="17" s="1"/>
  <c r="G266" i="17"/>
  <c r="I266" i="17" s="1"/>
  <c r="I268" i="17" s="1"/>
  <c r="P82" i="4"/>
  <c r="I34" i="4"/>
  <c r="I50" i="4"/>
  <c r="R82" i="4"/>
  <c r="E36" i="4"/>
  <c r="E52" i="4"/>
  <c r="S84" i="4"/>
  <c r="U84" i="4" s="1"/>
  <c r="U79" i="4"/>
  <c r="E259" i="17" l="1"/>
  <c r="I257" i="17"/>
  <c r="I259" i="17" s="1"/>
  <c r="I35" i="4"/>
  <c r="I51" i="4"/>
  <c r="S85" i="4"/>
  <c r="S87" i="4" s="1"/>
  <c r="E37" i="4"/>
  <c r="E53" i="4"/>
  <c r="I262" i="17" l="1"/>
  <c r="D184" i="17"/>
  <c r="I52" i="4"/>
  <c r="I36" i="4"/>
  <c r="E38" i="4"/>
  <c r="E54" i="4"/>
  <c r="I37" i="4" l="1"/>
  <c r="I53" i="4"/>
  <c r="E24" i="4"/>
  <c r="E55" i="4"/>
  <c r="E57" i="4" s="1"/>
  <c r="E40" i="4"/>
  <c r="D101" i="17" s="1"/>
  <c r="D110" i="17" l="1"/>
  <c r="I38" i="4"/>
  <c r="I54" i="4"/>
  <c r="I24" i="4" l="1"/>
  <c r="I40" i="4"/>
  <c r="I55" i="4"/>
  <c r="I57" i="4" s="1"/>
  <c r="J22" i="4" l="1"/>
  <c r="D96" i="17" s="1"/>
  <c r="J61" i="4" l="1"/>
  <c r="Q84" i="4"/>
  <c r="R84" i="4" l="1"/>
  <c r="P84" i="4"/>
  <c r="J26" i="4" l="1"/>
  <c r="J43" i="4" s="1"/>
  <c r="P85" i="4"/>
  <c r="J27" i="4" l="1"/>
  <c r="J28" i="4" s="1"/>
  <c r="P87" i="4"/>
  <c r="J44" i="4" l="1"/>
  <c r="J45" i="4"/>
  <c r="J29" i="4"/>
  <c r="J30" i="4" l="1"/>
  <c r="J46" i="4"/>
  <c r="J47" i="4" l="1"/>
  <c r="J31" i="4"/>
  <c r="J32" i="4" l="1"/>
  <c r="J48" i="4"/>
  <c r="J49" i="4" l="1"/>
  <c r="J33" i="4"/>
  <c r="J50" i="4" l="1"/>
  <c r="J34" i="4"/>
  <c r="J51" i="4" l="1"/>
  <c r="J35" i="4"/>
  <c r="J52" i="4" l="1"/>
  <c r="J36" i="4"/>
  <c r="J37" i="4" l="1"/>
  <c r="J53" i="4"/>
  <c r="J54" i="4" l="1"/>
  <c r="J38" i="4"/>
  <c r="J40" i="4" l="1"/>
  <c r="D105" i="17" s="1"/>
  <c r="D114" i="17" s="1"/>
  <c r="J55" i="4"/>
  <c r="J57" i="4" s="1"/>
  <c r="J24" i="4"/>
  <c r="H30" i="5" l="1"/>
  <c r="G74" i="4"/>
  <c r="E29" i="5"/>
  <c r="H26" i="5"/>
  <c r="E8" i="5" l="1"/>
  <c r="E73" i="4"/>
  <c r="F73" i="4" s="1"/>
  <c r="H29" i="5"/>
  <c r="H74" i="4"/>
  <c r="F22" i="5" l="1"/>
  <c r="H27" i="5"/>
  <c r="P73" i="4"/>
  <c r="O73" i="4"/>
  <c r="H8" i="5"/>
  <c r="H9" i="5" l="1"/>
  <c r="P8" i="4"/>
  <c r="S73" i="4"/>
  <c r="D165" i="17" s="1"/>
  <c r="D169" i="17" s="1"/>
  <c r="O82" i="4"/>
  <c r="O85" i="4" s="1"/>
  <c r="P26" i="4"/>
  <c r="T26" i="4" s="1"/>
  <c r="T73" i="4"/>
  <c r="T43" i="4" l="1"/>
  <c r="G26" i="4"/>
  <c r="P43" i="4"/>
  <c r="G8" i="4"/>
  <c r="P9" i="4"/>
  <c r="T9" i="4" s="1"/>
  <c r="O87" i="4"/>
  <c r="H10" i="5"/>
  <c r="T27" i="4" l="1"/>
  <c r="H11" i="5"/>
  <c r="P28" i="4"/>
  <c r="T28" i="4" s="1"/>
  <c r="G9" i="4"/>
  <c r="P44" i="4"/>
  <c r="P10" i="4"/>
  <c r="T10" i="4" s="1"/>
  <c r="F26" i="4"/>
  <c r="F27" i="4" s="1"/>
  <c r="F28" i="4" s="1"/>
  <c r="F29" i="4" s="1"/>
  <c r="F30" i="4" s="1"/>
  <c r="F31" i="4" s="1"/>
  <c r="F32" i="4" s="1"/>
  <c r="F33" i="4" s="1"/>
  <c r="F34" i="4" s="1"/>
  <c r="F35" i="4" s="1"/>
  <c r="F36" i="4" s="1"/>
  <c r="F37" i="4" s="1"/>
  <c r="F38" i="4" s="1"/>
  <c r="F24" i="4" s="1"/>
  <c r="G43" i="4"/>
  <c r="S8" i="4"/>
  <c r="L8" i="4"/>
  <c r="T45" i="4" l="1"/>
  <c r="T44" i="4"/>
  <c r="F43" i="4"/>
  <c r="L26" i="4"/>
  <c r="G28" i="4"/>
  <c r="P29" i="4"/>
  <c r="T29" i="4" s="1"/>
  <c r="G10" i="4"/>
  <c r="P45" i="4"/>
  <c r="P11" i="4"/>
  <c r="T11" i="4" s="1"/>
  <c r="S9" i="4"/>
  <c r="G44" i="4"/>
  <c r="L9" i="4"/>
  <c r="H12" i="5"/>
  <c r="T46" i="4" l="1"/>
  <c r="P12" i="4"/>
  <c r="T12" i="4" s="1"/>
  <c r="G11" i="4"/>
  <c r="P46" i="4"/>
  <c r="F44" i="4"/>
  <c r="L27" i="4"/>
  <c r="L44" i="4" s="1"/>
  <c r="H13" i="5"/>
  <c r="S10" i="4"/>
  <c r="G45" i="4"/>
  <c r="L10" i="4"/>
  <c r="P30" i="4"/>
  <c r="T30" i="4" s="1"/>
  <c r="G29" i="4"/>
  <c r="M26" i="4"/>
  <c r="L43" i="4"/>
  <c r="T47" i="4" l="1"/>
  <c r="P31" i="4"/>
  <c r="G30" i="4"/>
  <c r="H14" i="5"/>
  <c r="S11" i="4"/>
  <c r="G46" i="4"/>
  <c r="L11" i="4"/>
  <c r="G12" i="4"/>
  <c r="P13" i="4"/>
  <c r="T13" i="4" s="1"/>
  <c r="P47" i="4"/>
  <c r="F45" i="4"/>
  <c r="L28" i="4"/>
  <c r="G31" i="4" l="1"/>
  <c r="T31" i="4"/>
  <c r="T48" i="4" s="1"/>
  <c r="S12" i="4"/>
  <c r="G47" i="4"/>
  <c r="L12" i="4"/>
  <c r="L45" i="4"/>
  <c r="H15" i="5"/>
  <c r="F46" i="4"/>
  <c r="L29" i="4"/>
  <c r="L46" i="4" s="1"/>
  <c r="P32" i="4"/>
  <c r="G13" i="4"/>
  <c r="P14" i="4"/>
  <c r="T14" i="4" s="1"/>
  <c r="P48" i="4"/>
  <c r="G32" i="4" l="1"/>
  <c r="T32" i="4"/>
  <c r="T49" i="4" s="1"/>
  <c r="S13" i="4"/>
  <c r="G48" i="4"/>
  <c r="L13" i="4"/>
  <c r="F47" i="4"/>
  <c r="L30" i="4"/>
  <c r="P33" i="4"/>
  <c r="T33" i="4" s="1"/>
  <c r="P15" i="4"/>
  <c r="T15" i="4" s="1"/>
  <c r="G14" i="4"/>
  <c r="P49" i="4"/>
  <c r="H16" i="5"/>
  <c r="T50" i="4" l="1"/>
  <c r="S14" i="4"/>
  <c r="G49" i="4"/>
  <c r="L14" i="4"/>
  <c r="L47" i="4"/>
  <c r="P34" i="4"/>
  <c r="P16" i="4"/>
  <c r="T16" i="4" s="1"/>
  <c r="G15" i="4"/>
  <c r="P50" i="4"/>
  <c r="H17" i="5"/>
  <c r="G33" i="4"/>
  <c r="F48" i="4"/>
  <c r="L31" i="4"/>
  <c r="L48" i="4" s="1"/>
  <c r="G34" i="4" l="1"/>
  <c r="T34" i="4"/>
  <c r="T51" i="4" s="1"/>
  <c r="S15" i="4"/>
  <c r="G50" i="4"/>
  <c r="L15" i="4"/>
  <c r="F49" i="4"/>
  <c r="L32" i="4"/>
  <c r="L49" i="4" s="1"/>
  <c r="H18" i="5"/>
  <c r="P35" i="4"/>
  <c r="G16" i="4"/>
  <c r="P17" i="4"/>
  <c r="T17" i="4" s="1"/>
  <c r="P51" i="4"/>
  <c r="G35" i="4" l="1"/>
  <c r="T35" i="4"/>
  <c r="T52" i="4" s="1"/>
  <c r="H19" i="5"/>
  <c r="F50" i="4"/>
  <c r="L33" i="4"/>
  <c r="S16" i="4"/>
  <c r="G51" i="4"/>
  <c r="L16" i="4"/>
  <c r="P36" i="4"/>
  <c r="P18" i="4"/>
  <c r="T18" i="4" s="1"/>
  <c r="G17" i="4"/>
  <c r="P52" i="4"/>
  <c r="G36" i="4" l="1"/>
  <c r="T36" i="4"/>
  <c r="T53" i="4" s="1"/>
  <c r="S17" i="4"/>
  <c r="G52" i="4"/>
  <c r="L17" i="4"/>
  <c r="F51" i="4"/>
  <c r="L34" i="4"/>
  <c r="L51" i="4" s="1"/>
  <c r="P37" i="4"/>
  <c r="T37" i="4" s="1"/>
  <c r="G18" i="4"/>
  <c r="P19" i="4"/>
  <c r="T19" i="4" s="1"/>
  <c r="P53" i="4"/>
  <c r="L50" i="4"/>
  <c r="H20" i="5"/>
  <c r="H22" i="5" s="1"/>
  <c r="D118" i="17" s="1"/>
  <c r="I118" i="17" s="1"/>
  <c r="E22" i="5"/>
  <c r="T54" i="4" l="1"/>
  <c r="P38" i="4"/>
  <c r="T38" i="4" s="1"/>
  <c r="T40" i="4" s="1"/>
  <c r="G37" i="4"/>
  <c r="P20" i="4"/>
  <c r="T20" i="4" s="1"/>
  <c r="G19" i="4"/>
  <c r="P54" i="4"/>
  <c r="S18" i="4"/>
  <c r="G53" i="4"/>
  <c r="L18" i="4"/>
  <c r="F52" i="4"/>
  <c r="L35" i="4"/>
  <c r="L52" i="4" s="1"/>
  <c r="T55" i="4" l="1"/>
  <c r="T57" i="4" s="1"/>
  <c r="T22" i="4"/>
  <c r="S19" i="4"/>
  <c r="G54" i="4"/>
  <c r="L19" i="4"/>
  <c r="G20" i="4"/>
  <c r="P22" i="4"/>
  <c r="F53" i="4"/>
  <c r="L36" i="4"/>
  <c r="L53" i="4" s="1"/>
  <c r="P55" i="4"/>
  <c r="P57" i="4" s="1"/>
  <c r="Q58" i="4" s="1"/>
  <c r="G38" i="4"/>
  <c r="P40" i="4"/>
  <c r="G55" i="4" l="1"/>
  <c r="G57" i="4" s="1"/>
  <c r="G40" i="4"/>
  <c r="D103" i="17" s="1"/>
  <c r="F54" i="4"/>
  <c r="L37" i="4"/>
  <c r="L54" i="4" s="1"/>
  <c r="Q23" i="4"/>
  <c r="S20" i="4"/>
  <c r="L20" i="4"/>
  <c r="L22" i="4" s="1"/>
  <c r="G22" i="4"/>
  <c r="D94" i="17" s="1"/>
  <c r="D112" i="17" l="1"/>
  <c r="D139" i="17" s="1"/>
  <c r="D198" i="17" s="1"/>
  <c r="I224" i="17"/>
  <c r="I227" i="17" s="1"/>
  <c r="I229" i="17" s="1"/>
  <c r="D98" i="17"/>
  <c r="D248" i="17" s="1"/>
  <c r="D251" i="17" s="1"/>
  <c r="G249" i="17" s="1"/>
  <c r="F55" i="4"/>
  <c r="F57" i="4" s="1"/>
  <c r="L38" i="4"/>
  <c r="F40" i="4"/>
  <c r="D102" i="17" s="1"/>
  <c r="D111" i="17" l="1"/>
  <c r="D116" i="17" s="1"/>
  <c r="D137" i="17" s="1"/>
  <c r="D195" i="17" s="1"/>
  <c r="D107" i="17"/>
  <c r="E242" i="17"/>
  <c r="G242" i="17" s="1"/>
  <c r="G245" i="17" s="1"/>
  <c r="I245" i="17" s="1"/>
  <c r="G94" i="17"/>
  <c r="I94" i="17" s="1"/>
  <c r="I237" i="17"/>
  <c r="I238" i="17" s="1"/>
  <c r="G93" i="17"/>
  <c r="G14" i="17"/>
  <c r="L55" i="4"/>
  <c r="L57" i="4" s="1"/>
  <c r="L40" i="4"/>
  <c r="G16" i="17" l="1"/>
  <c r="I16" i="17" s="1"/>
  <c r="I14" i="17"/>
  <c r="G17" i="17"/>
  <c r="I17" i="17" s="1"/>
  <c r="G15" i="17"/>
  <c r="I15" i="17" s="1"/>
  <c r="I249" i="17"/>
  <c r="G157" i="17"/>
  <c r="I157" i="17" s="1"/>
  <c r="G156" i="17"/>
  <c r="G158" i="17"/>
  <c r="I158" i="17" s="1"/>
  <c r="G96" i="17"/>
  <c r="G102" i="17"/>
  <c r="G103" i="17"/>
  <c r="I103" i="17" s="1"/>
  <c r="I112" i="17" s="1"/>
  <c r="I139" i="17" s="1"/>
  <c r="I198" i="17" s="1"/>
  <c r="I93" i="17"/>
  <c r="G133" i="17"/>
  <c r="I133" i="17" s="1"/>
  <c r="G153" i="17"/>
  <c r="D190" i="17"/>
  <c r="D192" i="17" s="1"/>
  <c r="D200" i="17" s="1"/>
  <c r="D209" i="17" s="1"/>
  <c r="N98" i="17" l="1"/>
  <c r="G159" i="17"/>
  <c r="I159" i="17" s="1"/>
  <c r="I153" i="17"/>
  <c r="G155" i="17"/>
  <c r="I155" i="17" s="1"/>
  <c r="G129" i="17"/>
  <c r="I102" i="17"/>
  <c r="I111" i="17" s="1"/>
  <c r="I18" i="17"/>
  <c r="I156" i="17"/>
  <c r="G167" i="17"/>
  <c r="G105" i="17"/>
  <c r="I105" i="17" s="1"/>
  <c r="I96" i="17"/>
  <c r="G160" i="17"/>
  <c r="G97" i="17"/>
  <c r="I114" i="17" l="1"/>
  <c r="I97" i="17"/>
  <c r="I98" i="17" s="1"/>
  <c r="G98" i="17" s="1"/>
  <c r="G106" i="17"/>
  <c r="I106" i="17" s="1"/>
  <c r="I107" i="17" s="1"/>
  <c r="G173" i="17"/>
  <c r="I167" i="17"/>
  <c r="G165" i="17"/>
  <c r="I165" i="17" s="1"/>
  <c r="I129" i="17"/>
  <c r="I160" i="17"/>
  <c r="I162" i="17" s="1"/>
  <c r="I132" i="17" s="1"/>
  <c r="G168" i="17"/>
  <c r="I168" i="17" s="1"/>
  <c r="N104" i="17"/>
  <c r="O97" i="17"/>
  <c r="O95" i="17"/>
  <c r="O96" i="17"/>
  <c r="O98" i="17" l="1"/>
  <c r="G176" i="17"/>
  <c r="G134" i="17"/>
  <c r="I134" i="17" s="1"/>
  <c r="I135" i="17" s="1"/>
  <c r="I173" i="17"/>
  <c r="G174" i="17"/>
  <c r="I174" i="17" s="1"/>
  <c r="I169" i="17"/>
  <c r="I115" i="17"/>
  <c r="I116" i="17" s="1"/>
  <c r="G116" i="17" s="1"/>
  <c r="G191" i="17" l="1"/>
  <c r="I191" i="17" s="1"/>
  <c r="G122" i="17"/>
  <c r="I176" i="17"/>
  <c r="G178" i="17"/>
  <c r="I122" i="17" l="1"/>
  <c r="G123" i="17"/>
  <c r="I178" i="17"/>
  <c r="G179" i="17"/>
  <c r="I179" i="17" s="1"/>
  <c r="I180" i="17" l="1"/>
  <c r="G124" i="17"/>
  <c r="I124" i="17" s="1"/>
  <c r="G125" i="17"/>
  <c r="I125" i="17" s="1"/>
  <c r="I123" i="17"/>
  <c r="I127" i="17" l="1"/>
  <c r="I137" i="17" s="1"/>
  <c r="I195" i="17" s="1"/>
  <c r="I190" i="17" s="1"/>
  <c r="I192" i="17" s="1"/>
  <c r="I200" i="17" l="1"/>
  <c r="I209" i="17" s="1"/>
  <c r="I11" i="17" s="1"/>
  <c r="I32" i="17" s="1"/>
  <c r="D44" i="17" l="1"/>
  <c r="D45" i="17" s="1"/>
  <c r="N38" i="17"/>
  <c r="N39" i="17"/>
  <c r="N40" i="17"/>
  <c r="D49" i="17"/>
  <c r="I50" i="17" l="1"/>
  <c r="I49" i="17"/>
  <c r="D48" i="17"/>
  <c r="D50" i="17"/>
  <c r="I48" i="17"/>
  <c r="N41" i="17"/>
  <c r="N43" i="17" s="1"/>
</calcChain>
</file>

<file path=xl/sharedStrings.xml><?xml version="1.0" encoding="utf-8"?>
<sst xmlns="http://schemas.openxmlformats.org/spreadsheetml/2006/main" count="1022" uniqueCount="661">
  <si>
    <t>Line No.</t>
  </si>
  <si>
    <t xml:space="preserve">Month </t>
  </si>
  <si>
    <t>Year</t>
  </si>
  <si>
    <t>Otter Tail Power Pricing Zone</t>
  </si>
  <si>
    <t>Missouri River Energy Services</t>
  </si>
  <si>
    <t>Attachment O Workpapers - Divisor</t>
  </si>
  <si>
    <t xml:space="preserve">Attachment O Workpapers </t>
  </si>
  <si>
    <t>Forecasted 12 Months Ended December 31,</t>
  </si>
  <si>
    <t>WAPA Pricing Zone</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</si>
  <si>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</si>
  <si>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</si>
  <si>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</si>
  <si>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</si>
  <si>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</si>
  <si>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</si>
  <si>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</si>
  <si>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</si>
  <si>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</si>
  <si>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</si>
  <si>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</si>
  <si>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</si>
  <si>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</si>
  <si>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</si>
  <si>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</si>
  <si>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</si>
  <si>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</si>
  <si>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</si>
  <si>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</si>
  <si>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</si>
  <si>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</si>
  <si>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</si>
  <si>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</si>
  <si>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</si>
  <si>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</si>
  <si>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</si>
  <si>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</si>
  <si>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</si>
  <si>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</si>
  <si>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</si>
  <si>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</si>
  <si>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</si>
  <si>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</si>
  <si>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</si>
  <si>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</si>
  <si>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</si>
  <si>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</si>
  <si>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</si>
  <si>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</si>
  <si>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</si>
  <si>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</si>
  <si>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</si>
  <si>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</si>
  <si>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</si>
  <si>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</si>
  <si>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</si>
  <si>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</si>
  <si>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</si>
  <si>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</si>
  <si>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</si>
  <si>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</si>
  <si>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</si>
  <si>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</si>
  <si>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</si>
  <si>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</si>
  <si>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</si>
  <si>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</si>
  <si>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</si>
  <si>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</si>
  <si>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</si>
  <si>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</si>
  <si>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</si>
  <si>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</si>
  <si>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</si>
  <si>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</si>
  <si>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</si>
  <si>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</si>
  <si>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</si>
  <si>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</si>
  <si>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MBPP Production</t>
  </si>
  <si>
    <t>Worthington Wind</t>
  </si>
  <si>
    <t>Watertown</t>
  </si>
  <si>
    <t>Exira</t>
  </si>
  <si>
    <t>Irv Simmons</t>
  </si>
  <si>
    <t>MBPP Transmisison</t>
  </si>
  <si>
    <t>ITA Facilities</t>
  </si>
  <si>
    <t>Total</t>
  </si>
  <si>
    <t>Average Monthly</t>
  </si>
  <si>
    <t>MRES General Plant</t>
  </si>
  <si>
    <t>Monthly Depreciation Rate</t>
  </si>
  <si>
    <t>Annual Depreciation Rate</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</si>
  <si>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</si>
  <si>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</si>
  <si>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</si>
  <si>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</si>
  <si>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</si>
  <si>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</si>
  <si>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</si>
  <si>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</si>
  <si>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</si>
  <si>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</si>
  <si>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</si>
  <si>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</si>
  <si>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</si>
  <si>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</si>
  <si>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</si>
  <si>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</si>
  <si>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</si>
  <si>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</si>
  <si>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</si>
  <si>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Difference</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</si>
  <si>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</si>
  <si>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</si>
  <si>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</si>
  <si>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</si>
  <si>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</si>
  <si>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</si>
  <si>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</si>
  <si>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</si>
  <si>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</si>
  <si>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</si>
  <si>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</si>
  <si>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</si>
  <si>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</si>
  <si>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</si>
  <si>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</si>
  <si>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</si>
  <si>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</si>
  <si>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</si>
  <si>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</si>
  <si>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</si>
  <si>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</si>
  <si>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</si>
  <si>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</si>
  <si>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</si>
  <si>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</si>
  <si>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</si>
  <si>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</si>
  <si>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</si>
  <si>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</si>
  <si>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</si>
  <si>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</si>
  <si>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</si>
  <si>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</si>
  <si>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</si>
  <si>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</si>
  <si>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Transmission Plant by Pricing Zone</t>
  </si>
  <si>
    <t>OTP Zone</t>
  </si>
  <si>
    <t>WAPA Zone</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</si>
  <si>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</si>
  <si>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</si>
  <si>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</si>
  <si>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</si>
  <si>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</si>
  <si>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</si>
  <si>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</si>
  <si>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</si>
  <si>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</si>
  <si>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</si>
  <si>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</si>
  <si>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</si>
  <si>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</si>
  <si>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</si>
  <si>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</si>
  <si>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</si>
  <si>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</si>
  <si>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</si>
  <si>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</si>
  <si>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</si>
  <si>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</si>
  <si>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</si>
  <si>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</si>
  <si>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</si>
  <si>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</si>
  <si>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</si>
  <si>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</si>
  <si>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</si>
  <si>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</si>
  <si>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</si>
  <si>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</si>
  <si>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</si>
  <si>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</si>
  <si>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</si>
  <si>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</si>
  <si>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</si>
  <si>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</si>
  <si>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</si>
  <si>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</si>
  <si>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</si>
  <si>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</si>
  <si>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</si>
  <si>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</si>
  <si>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</si>
  <si>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</si>
  <si>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</si>
  <si>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</si>
  <si>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</si>
  <si>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</si>
  <si>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</si>
  <si>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</si>
  <si>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</si>
  <si>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</si>
  <si>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Average Monthly Addition</t>
  </si>
  <si>
    <t>Line 18a</t>
  </si>
  <si>
    <t>Attachment O, Page 4</t>
  </si>
  <si>
    <t>Line 27</t>
  </si>
  <si>
    <t>Line 28</t>
  </si>
  <si>
    <t>Line 22</t>
  </si>
  <si>
    <t>Line 23</t>
  </si>
  <si>
    <t>Other Attachment O A&amp;G Expense Information</t>
  </si>
  <si>
    <t>Net Plant- Fargo 1</t>
  </si>
  <si>
    <t>Actual</t>
  </si>
  <si>
    <t xml:space="preserve">Projected </t>
  </si>
  <si>
    <t>MBPP General</t>
  </si>
  <si>
    <t>Plant</t>
  </si>
  <si>
    <t>A/Depreciation</t>
  </si>
  <si>
    <t>Marshall Wind Circuit</t>
  </si>
  <si>
    <t>Generation</t>
  </si>
  <si>
    <t>General Plant</t>
  </si>
  <si>
    <t>WMMPA General Plant</t>
  </si>
  <si>
    <t>MBPP Intangible</t>
  </si>
  <si>
    <t>General</t>
  </si>
  <si>
    <t>Annual</t>
  </si>
  <si>
    <t>Fargo 1</t>
  </si>
  <si>
    <t>Fargo 2</t>
  </si>
  <si>
    <t>Fargo 3</t>
  </si>
  <si>
    <t>Depreciation</t>
  </si>
  <si>
    <t>Depreciation Rates</t>
  </si>
  <si>
    <t>Monthly</t>
  </si>
  <si>
    <t>W/O Incentives</t>
  </si>
  <si>
    <t>With Incentives</t>
  </si>
  <si>
    <t>Line 2a</t>
  </si>
  <si>
    <t>Line 8a</t>
  </si>
  <si>
    <t>Plant in Serrvice</t>
  </si>
  <si>
    <t>Transnisison expense included in OATT</t>
  </si>
  <si>
    <t>Done</t>
  </si>
  <si>
    <t>Done.</t>
  </si>
  <si>
    <t>2015 Plant Closeouts</t>
  </si>
  <si>
    <t>2015 Debt Issue</t>
  </si>
  <si>
    <t>Budgeted</t>
  </si>
  <si>
    <t>Estimated</t>
  </si>
  <si>
    <t>Mo. Remaining</t>
  </si>
  <si>
    <t xml:space="preserve">Fargo 2 </t>
  </si>
  <si>
    <t>A/Depr.</t>
  </si>
  <si>
    <t xml:space="preserve">Change in </t>
  </si>
  <si>
    <t>Page 1 of 5</t>
  </si>
  <si>
    <t xml:space="preserve">Formula Rate - Non-Levelized </t>
  </si>
  <si>
    <t xml:space="preserve">   Rate Formula Template</t>
  </si>
  <si>
    <t xml:space="preserve"> </t>
  </si>
  <si>
    <t>Utilizing EIA Form 412 Data</t>
  </si>
  <si>
    <t>MRES</t>
  </si>
  <si>
    <t>Line</t>
  </si>
  <si>
    <t>Allocated</t>
  </si>
  <si>
    <t>No.</t>
  </si>
  <si>
    <t>GROSS REVENUE REQUIREMENT  (page 3, line 31)</t>
  </si>
  <si>
    <t xml:space="preserve">REVENUE CREDITS </t>
  </si>
  <si>
    <t>(Note T)</t>
  </si>
  <si>
    <t>Allocator</t>
  </si>
  <si>
    <t xml:space="preserve">  Account No. 454</t>
  </si>
  <si>
    <t>(page 4, line 34)</t>
  </si>
  <si>
    <t>TP</t>
  </si>
  <si>
    <t xml:space="preserve">  Account No. 456.1</t>
  </si>
  <si>
    <t>(page 4, line 37)</t>
  </si>
  <si>
    <t>Revenues from Grandfathered Interzonal Transactions</t>
  </si>
  <si>
    <t>Line 4 supported by schedules.</t>
  </si>
  <si>
    <t>Revenues from service provided by the ISO at a discount</t>
  </si>
  <si>
    <t>Line 5 supported by schedules.</t>
  </si>
  <si>
    <t>TOTAL REVENUE CREDITS  (sum lines 2-5)</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</si>
  <si>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</si>
  <si>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</si>
  <si>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</si>
  <si>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</si>
  <si>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</si>
  <si>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</si>
  <si>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</si>
  <si>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</si>
  <si>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</si>
  <si>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</si>
  <si>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</si>
  <si>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</si>
  <si>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</si>
  <si>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</si>
  <si>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</si>
  <si>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</si>
  <si>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</si>
  <si>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</si>
  <si>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</si>
  <si>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</si>
  <si>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</si>
  <si>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NET REVENUE REQUIREMENT</t>
  </si>
  <si>
    <t>(line 1 - line 6 + line 6c+ line 6h + line 6i)</t>
  </si>
  <si>
    <t>Based on Gross Plant</t>
  </si>
  <si>
    <t>Pricing Zone</t>
  </si>
  <si>
    <t>ATRR</t>
  </si>
  <si>
    <t>Divisor</t>
  </si>
  <si>
    <t>DIVISOR</t>
  </si>
  <si>
    <t xml:space="preserve">OTP </t>
  </si>
  <si>
    <t xml:space="preserve">  Average of 12 coincident system peaks for requirements (RQ) service       </t>
  </si>
  <si>
    <t>(Note A)</t>
  </si>
  <si>
    <t>WAPA *</t>
  </si>
  <si>
    <t xml:space="preserve">  Plus 12 CP of firm bundled sales over one year not in line 8.</t>
  </si>
  <si>
    <t>(Note B)</t>
  </si>
  <si>
    <t>ATRR in Zones</t>
  </si>
  <si>
    <t xml:space="preserve">  Plus 12 CP of Network Load not in line 8</t>
  </si>
  <si>
    <t>(Note C)</t>
  </si>
  <si>
    <t>* = Not in MISO.</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</si>
  <si>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</si>
  <si>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</si>
  <si>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</si>
  <si>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</si>
  <si>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</si>
  <si>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</si>
  <si>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</si>
  <si>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</si>
  <si>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</si>
  <si>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</si>
  <si>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</si>
  <si>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</si>
  <si>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</si>
  <si>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</si>
  <si>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</si>
  <si>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</si>
  <si>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</si>
  <si>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</si>
  <si>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</si>
  <si>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</si>
  <si>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</si>
  <si>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</si>
  <si>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</si>
  <si>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</si>
  <si>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</si>
  <si>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</si>
  <si>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</si>
  <si>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</si>
  <si>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</si>
  <si>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</si>
  <si>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</si>
  <si>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</si>
  <si>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RATE BASE:</t>
  </si>
  <si>
    <t>Reference</t>
  </si>
  <si>
    <t>Company Total</t>
  </si>
  <si>
    <t xml:space="preserve">                  Allocator</t>
  </si>
  <si>
    <t>(Col 3 times Col 4)</t>
  </si>
  <si>
    <t>GROSS PLANT IN SERVICE (Note AA and GG)</t>
  </si>
  <si>
    <t xml:space="preserve">  Production</t>
  </si>
  <si>
    <t>IV.6.e</t>
  </si>
  <si>
    <t>NA</t>
  </si>
  <si>
    <t>Gross Plant</t>
  </si>
  <si>
    <t>Allocation</t>
  </si>
  <si>
    <t xml:space="preserve">  Transmission</t>
  </si>
  <si>
    <t>IV.7.e less Line 2a</t>
  </si>
  <si>
    <t>2a</t>
  </si>
  <si>
    <t>Transmission for projects with FERC incentives (Note EE)</t>
  </si>
  <si>
    <t xml:space="preserve">  Distribution</t>
  </si>
  <si>
    <t>IV.8.e</t>
  </si>
  <si>
    <t xml:space="preserve">  General &amp; Intangible</t>
  </si>
  <si>
    <t>IV.1.e &amp; IV.9.e</t>
  </si>
  <si>
    <t>W/S</t>
  </si>
  <si>
    <t xml:space="preserve">  Common</t>
  </si>
  <si>
    <t>CE</t>
  </si>
  <si>
    <t>TOTAL GROSS PLANT  (sum lines 1-5)</t>
  </si>
  <si>
    <t>GP=</t>
  </si>
  <si>
    <t>ACCUMULATED DEPRECIATION (Note AA and GG)</t>
  </si>
  <si>
    <t>8a</t>
  </si>
  <si>
    <t>Transmission for projects with FERC approved incentives (Note EE)</t>
  </si>
  <si>
    <t>TOTAL ACCUM. DEPRECIATION  (sum lines 7-11)</t>
  </si>
  <si>
    <t>NET PLANT IN SERVICE (Note GG)</t>
  </si>
  <si>
    <t>(line 1- line 7)</t>
  </si>
  <si>
    <t>(line 2- line 8)</t>
  </si>
  <si>
    <t>14a</t>
  </si>
  <si>
    <t>Transmission for projects with FERC approved incentives  (line 2a - line 8a) (Note EE)</t>
  </si>
  <si>
    <t>(line 3 - line 9)</t>
  </si>
  <si>
    <t>(line 4 - line 10)</t>
  </si>
  <si>
    <t>(line 5 - line 11)</t>
  </si>
  <si>
    <t>TOTAL NET PLANT  (sum lines 13-17)</t>
  </si>
  <si>
    <t>NP=</t>
  </si>
  <si>
    <t>18a</t>
  </si>
  <si>
    <t>CWIP for projects with FERC approved incentives (Note CC and Note GG)</t>
  </si>
  <si>
    <t>N/A</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</si>
  <si>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</si>
  <si>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</si>
  <si>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</si>
  <si>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</si>
  <si>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</si>
  <si>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</si>
  <si>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</si>
  <si>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</si>
  <si>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23a</t>
  </si>
  <si>
    <t>Unamortized balance of Abandoned Plant (Note DD and Note GG)</t>
  </si>
  <si>
    <t>TOTAL ADJUSTMENTS  (sum lines 19 - 23)</t>
  </si>
  <si>
    <t>LAND HELD FOR FUTURE USE  (Note GG)</t>
  </si>
  <si>
    <t>IV.12.e  (Note G)</t>
  </si>
  <si>
    <t>WORKING CAPITAL</t>
  </si>
  <si>
    <t>(Note H)</t>
  </si>
  <si>
    <t xml:space="preserve">  CWC</t>
  </si>
  <si>
    <t xml:space="preserve">  Materials &amp; Supplies (Note GG)</t>
  </si>
  <si>
    <t>(Note G)</t>
  </si>
  <si>
    <t>TE</t>
  </si>
  <si>
    <t xml:space="preserve">  Prepayments (Note GG)</t>
  </si>
  <si>
    <t>II.20.b</t>
  </si>
  <si>
    <t>GP</t>
  </si>
  <si>
    <t>TOTAL WORKING CAPITAL  (sum lines 26 - 28)</t>
  </si>
  <si>
    <t>RATE BASE earning ACSR (lines 18 + 24 + 25 + 29 - 14a - 23a)</t>
  </si>
  <si>
    <t>30a</t>
  </si>
  <si>
    <t>RATE BASE earning HCSR (lines 14a + 18a + 23a)</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</si>
  <si>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</si>
  <si>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</si>
  <si>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</si>
  <si>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</si>
  <si>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</si>
  <si>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</si>
  <si>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</si>
  <si>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</si>
  <si>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</si>
  <si>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</si>
  <si>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</si>
  <si>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</si>
  <si>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</si>
  <si>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</si>
  <si>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</si>
  <si>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</si>
  <si>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9a</t>
  </si>
  <si>
    <t xml:space="preserve">  Abandoned Plant Amortization (Note DD)</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</si>
  <si>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</si>
  <si>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</si>
  <si>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</si>
  <si>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</si>
  <si>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</si>
  <si>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</si>
  <si>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</si>
  <si>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</si>
  <si>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</si>
  <si>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</si>
  <si>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</si>
  <si>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</si>
  <si>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</si>
  <si>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</si>
  <si>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</si>
  <si>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</si>
  <si>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</si>
  <si>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</si>
  <si>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</si>
  <si>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</si>
  <si>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</si>
  <si>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</si>
  <si>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</si>
  <si>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</si>
  <si>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</si>
  <si>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  from ACSR</t>
  </si>
  <si>
    <t xml:space="preserve">  [ Rate Base (page 2, line 30 + 30a) * Rate of Return (page 4, line 24)]</t>
  </si>
  <si>
    <t>28a</t>
  </si>
  <si>
    <t>RETURN  from HCSR</t>
  </si>
  <si>
    <t xml:space="preserve">  [ Rate Base (page 2, line 30a) * Rate of Return (page 4, line 30)]</t>
  </si>
  <si>
    <t>REV. REQUIREMENT  (sum lines 8, 12, 20, 27, 28 and 28a)</t>
  </si>
  <si>
    <t>LESS ATTACHMENT GG ADJUSTMENT [Attachment GG, page 2, line 3, column 10]  (Note W)</t>
  </si>
  <si>
    <t>[Revenue Requirement for facilities included on page 2, line 2, and also included</t>
  </si>
  <si>
    <t>in Attachment GG]</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</si>
  <si>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</si>
  <si>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</si>
  <si>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</si>
  <si>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</si>
  <si>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</si>
  <si>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</si>
  <si>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</si>
  <si>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</si>
  <si>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</si>
  <si>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</si>
  <si>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</si>
  <si>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</si>
  <si>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</si>
  <si>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</si>
  <si>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</si>
  <si>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</si>
  <si>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</si>
  <si>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</si>
  <si>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</si>
  <si>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</si>
  <si>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</si>
  <si>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</si>
  <si>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</si>
  <si>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</si>
  <si>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</si>
  <si>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</si>
  <si>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</si>
  <si>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</si>
  <si>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</si>
  <si>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</si>
  <si>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</si>
  <si>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</si>
  <si>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</si>
  <si>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</si>
  <si>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</si>
  <si>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</si>
  <si>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</si>
  <si>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ACTUAL CAPITAL STRUCTURE RETURN (ACSR)</t>
  </si>
  <si>
    <t xml:space="preserve">              Long Term Interest  </t>
  </si>
  <si>
    <t>III.16.b + III.17.b  (Note U)</t>
  </si>
  <si>
    <t>Cost</t>
  </si>
  <si>
    <t>%</t>
  </si>
  <si>
    <t>(Note P)</t>
  </si>
  <si>
    <t>Weighted</t>
  </si>
  <si>
    <t xml:space="preserve">  Long Term Debt (Note GG)</t>
  </si>
  <si>
    <t xml:space="preserve">II.37.b </t>
  </si>
  <si>
    <t>=WCLTD</t>
  </si>
  <si>
    <t xml:space="preserve">  Proprietary Capital (Note GG)</t>
  </si>
  <si>
    <t>II.32.b</t>
  </si>
  <si>
    <t>Total  (sum lines 22, 23)</t>
  </si>
  <si>
    <t>=R</t>
  </si>
  <si>
    <t>Proprietary Capital Cost Rate =</t>
  </si>
  <si>
    <t>TIER =</t>
  </si>
  <si>
    <t>HYPOTHETICAL CAPITAL STRUCTURE RETURN (HCSR) (NOTE FF)</t>
  </si>
  <si>
    <t xml:space="preserve">  Long Term Debt (Cost of Long-term Debt from page 4, line 22)</t>
  </si>
  <si>
    <t xml:space="preserve">  Proprietary Capital (Cost of Proprietary Capital from page 4, line 25)</t>
  </si>
  <si>
    <t>Total  (sum lines 27, 28)</t>
  </si>
  <si>
    <t>Annual Allocation Factor for Incentive Return (line 29 minus line 24)</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</si>
  <si>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</si>
  <si>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</si>
  <si>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</si>
  <si>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</si>
  <si>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</si>
  <si>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</si>
  <si>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</si>
  <si>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</si>
  <si>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</si>
  <si>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</si>
  <si>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</si>
  <si>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36a</t>
  </si>
  <si>
    <t>36b</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</si>
  <si>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</si>
  <si>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</si>
  <si>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</si>
  <si>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</si>
  <si>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</si>
  <si>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</si>
  <si>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</si>
  <si>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</si>
  <si>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</si>
  <si>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</si>
  <si>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</si>
  <si>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</si>
  <si>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</si>
  <si>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</si>
  <si>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</si>
  <si>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</si>
  <si>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</si>
  <si>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</si>
  <si>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</si>
  <si>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</si>
  <si>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</si>
  <si>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</si>
  <si>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</si>
  <si>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</si>
  <si>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</si>
  <si>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</si>
  <si>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</si>
  <si>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</si>
  <si>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</si>
  <si>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</si>
  <si>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</si>
  <si>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</si>
  <si>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</si>
  <si>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</si>
  <si>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</si>
  <si>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</si>
  <si>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</si>
  <si>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</si>
  <si>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</si>
  <si>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</si>
  <si>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</si>
  <si>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</si>
  <si>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</si>
  <si>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</si>
  <si>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</si>
  <si>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</si>
  <si>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</si>
  <si>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</si>
  <si>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</si>
  <si>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</si>
  <si>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</si>
  <si>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</si>
  <si>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</si>
  <si>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</si>
  <si>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</si>
  <si>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</si>
  <si>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</si>
  <si>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</si>
  <si>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</si>
  <si>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</si>
  <si>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</si>
  <si>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</si>
  <si>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</si>
  <si>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</si>
  <si>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</si>
  <si>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</si>
  <si>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</si>
  <si>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CC</t>
  </si>
  <si>
    <t>The CWIP balance on Page 2, Line 18a is the 13 month average for the transmission projects approved for CWIP in rate base by FERC.  The projects approved for 100% CWIP recovery do not include any AFUDC in CWIP balances.</t>
  </si>
  <si>
    <t>DD</t>
  </si>
  <si>
    <t>Page 2, Line 23a includes any unamortized balances related to the recovery of abandoned plant costs for the projects approved by FERC.  Page 3, line 9a is the</t>
  </si>
  <si>
    <t xml:space="preserve">annual amortization expense of abandoned plant costs for the projects approved by FERC.  No abandoned plant costs will be included until approved by FERC </t>
  </si>
  <si>
    <t>under a separate docket.</t>
  </si>
  <si>
    <t>EE</t>
  </si>
  <si>
    <t>Includes the transmission gross plant in-service (Line 2a, page 2 of 5), accumulated depreciation (line 8a, page 2 of 5) and net transmission plant in-service (line 14a,</t>
  </si>
  <si>
    <t>page 2 of 5) for the transmisson projects granted a hypothetical capital structure of 55% debt and 45% equity by FERC.  These transmission plant balances do not</t>
  </si>
  <si>
    <t>include any AFUDC.</t>
  </si>
  <si>
    <t>FF</t>
  </si>
  <si>
    <t xml:space="preserve">The Hypothetical Capital Structure Return (HCSR) calculation is only applicable to the projects approved by FERC that use a hypothetical capital structure of </t>
  </si>
  <si>
    <t>55% debt and 45% equity.</t>
  </si>
  <si>
    <t>GG</t>
  </si>
  <si>
    <t>Calculated using 13 month average balance.</t>
  </si>
  <si>
    <t>Net Assets (Proprietary Capital)</t>
  </si>
  <si>
    <t>Totall Fargo CWIP &amp; PIS</t>
  </si>
  <si>
    <t>Totall Fargo A/D</t>
  </si>
  <si>
    <t>Totall Fargo Net Plant</t>
  </si>
  <si>
    <t>1 Month LIBOR**</t>
  </si>
  <si>
    <t>FERC Rates*</t>
  </si>
  <si>
    <t>Average</t>
  </si>
  <si>
    <t>* =  18 CFR 35 19a for overcharges (Per true-up procedures)</t>
  </si>
  <si>
    <t>** =  1 month LIBOR for undercharges (Per true-up procedures)</t>
  </si>
  <si>
    <t>https://www.ferc.gov/enforcement/acct-matts/interest-rates.asp</t>
  </si>
  <si>
    <t>Xcel</t>
  </si>
  <si>
    <t>Less MTEP</t>
  </si>
  <si>
    <t>Attachment O-MRES</t>
  </si>
  <si>
    <t>Control Area</t>
  </si>
  <si>
    <t>MTEP Gross Plant</t>
  </si>
  <si>
    <t>(Att. GG)</t>
  </si>
  <si>
    <t>(Att. MM)</t>
  </si>
  <si>
    <t>After MTEP</t>
  </si>
  <si>
    <t>Total Gross Transmission Plant</t>
  </si>
  <si>
    <t>Check figure (lines 2 &amp; 2a)</t>
  </si>
  <si>
    <t>Difference (should = zero)</t>
  </si>
  <si>
    <t>Total transmission plant  (page 2, line 2 and 2a, column 3)</t>
  </si>
  <si>
    <t xml:space="preserve">  c. Transmission charges from Schedules associated with Attachment GG  (Note X)</t>
  </si>
  <si>
    <t xml:space="preserve">  d. Transmission charges from Schedules associated with Attachment MM  (Note Z)</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</si>
  <si>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</si>
  <si>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</si>
  <si>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</si>
  <si>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</si>
  <si>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</si>
  <si>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For the 12 months ended 12/31/16</t>
  </si>
  <si>
    <t>Projected 2016 Additions *</t>
  </si>
  <si>
    <t>7/31/15 Balance</t>
  </si>
  <si>
    <t>12/31/14 Balance</t>
  </si>
  <si>
    <t>Estimated 7-12/2015 Additions:</t>
  </si>
  <si>
    <t>Projected 12/31/15</t>
  </si>
  <si>
    <t>* = Based on Discretionary Funds Table 1- 2016 budget book or post 2015 cash flow in 2016 capital budget sheet.</t>
  </si>
  <si>
    <t>8-12/2015 CWIP Additions</t>
  </si>
  <si>
    <t>2016 CWIP Additions</t>
  </si>
  <si>
    <t>2016 Plant Closeouts</t>
  </si>
  <si>
    <t>Asssumed 2016 the same as year-end 2014.</t>
  </si>
  <si>
    <t>2015 Debt Refunded</t>
  </si>
  <si>
    <t>2016 Debt Issue</t>
  </si>
  <si>
    <t>2016 Net Margin</t>
  </si>
  <si>
    <t>7/-12/2015 Net Margin (Deficit)*</t>
  </si>
  <si>
    <t>* = 7-12/15 Projected net margin.</t>
  </si>
  <si>
    <t>Needs to be completed.</t>
  </si>
  <si>
    <t>2016 budget totals.</t>
  </si>
  <si>
    <t>W&amp;S based on actual 2014.</t>
  </si>
  <si>
    <t>Assumed 2016 budget numbers unless noted below:</t>
  </si>
  <si>
    <t>Info received from Terry.</t>
  </si>
  <si>
    <t>With Forward Looking- Oct. 2015</t>
  </si>
  <si>
    <t>Initial True-Up-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</si>
</sst>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quot;$&quot;#,##0"/>
    <numFmt numFmtId="172" formatCode="#,##0.000"/>
    <numFmt numFmtId="173" formatCode="&quot;$&quot;#,##0.000"/>
    <numFmt numFmtId="174" formatCode="#,##0.00000"/>
    <numFmt numFmtId="175" formatCode="0.000%"/>
    <numFmt numFmtId="176" formatCode="_(* #,##0.00000_);_(* \(#,##0.00000\);_(* &quot;-&quot;??_);_(@_)"/>
    <numFmt numFmtId="177" formatCode="0.0000"/>
    <numFmt numFmtId="178" formatCode="#,##0.0000"/>
  </numFmts>
  <fonts count="58">
    <font>
      <sz val="11"/>
      <color theme="1"/>
      <name val="Calibri"/>
      <family val="2"/>
      <scheme val="minor"/>
    </font>
    <font>
      <sz val="10"/>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b/>
      <u val="singleAccounting"/>
      <sz val="11"/>
      <color theme="1"/>
      <name val="Calibri"/>
      <family val="2"/>
      <scheme val="minor"/>
    </font>
    <font>
      <b/>
      <u val="singleAccounting"/>
      <sz val="10"/>
      <color theme="1"/>
      <name val="Calibri"/>
      <family val="2"/>
      <scheme val="minor"/>
    </font>
    <font>
      <sz val="10"/>
      <color theme="1"/>
      <name val="Calibri"/>
      <family val="2"/>
      <scheme val="minor"/>
    </font>
    <font>
      <b/>
      <u val="double"/>
      <sz val="11"/>
      <color theme="1"/>
      <name val="Calibri"/>
      <family val="2"/>
      <scheme val="minor"/>
    </font>
    <font>
      <u/>
      <sz val="11"/>
      <color theme="1"/>
      <name val="Calibri"/>
      <family val="2"/>
      <scheme val="minor"/>
    </font>
    <font>
      <u val="singleAccounting"/>
      <sz val="10"/>
      <color theme="1"/>
      <name val="Calibri"/>
      <family val="2"/>
      <scheme val="minor"/>
    </font>
    <font>
      <b/>
      <u/>
      <sz val="11"/>
      <color theme="1"/>
      <name val="Calibri"/>
      <family val="2"/>
      <scheme val="minor"/>
    </font>
    <font>
      <sz val="12"/>
      <name val="Arial MT"/>
    </font>
    <font>
      <sz val="12"/>
      <name val="Times New Roman"/>
      <family val="1"/>
    </font>
    <font>
      <sz val="12"/>
      <color indexed="17"/>
      <name val="Times New Roman"/>
      <family val="1"/>
    </font>
    <font>
      <sz val="10"/>
      <color indexed="8"/>
      <name val="Arial"/>
      <family val="2"/>
    </font>
    <font>
      <sz val="12"/>
      <name val="Arial"/>
      <family val="2"/>
    </font>
    <font>
      <b/>
      <sz val="10"/>
      <name val="Arial"/>
      <family val="2"/>
    </font>
    <font>
      <sz val="10"/>
      <name val="Arial"/>
      <family val="2"/>
    </font>
    <font>
      <sz val="11"/>
      <name val="Arial MT"/>
    </font>
    <font>
      <u/>
      <sz val="11"/>
      <name val="Arial MT"/>
    </font>
    <font>
      <u val="double"/>
      <sz val="11"/>
      <name val="Arial MT"/>
    </font>
    <font>
      <b/>
      <sz val="12"/>
      <name val="Times New Roman"/>
      <family val="1"/>
    </font>
    <font>
      <sz val="11"/>
      <name val="Times New Roman"/>
      <family val="1"/>
    </font>
    <font>
      <sz val="12"/>
      <color theme="4"/>
      <name val="Times New Roman"/>
      <family val="1"/>
    </font>
    <font>
      <u/>
      <sz val="12"/>
      <name val="Times New Roman"/>
      <family val="1"/>
    </font>
    <font>
      <u val="double"/>
      <sz val="11"/>
      <name val="Times New Roman"/>
      <family val="1"/>
    </font>
    <font>
      <b/>
      <sz val="12"/>
      <color indexed="10"/>
      <name val="Times New Roman"/>
      <family val="1"/>
    </font>
    <font>
      <sz val="12"/>
      <color indexed="10"/>
      <name val="Times New Roman"/>
      <family val="1"/>
    </font>
    <font>
      <b/>
      <sz val="12"/>
      <color indexed="48"/>
      <name val="Times New Roman"/>
      <family val="1"/>
    </font>
    <font>
      <u/>
      <sz val="12"/>
      <color indexed="17"/>
      <name val="Times New Roman"/>
      <family val="1"/>
    </font>
    <font>
      <b/>
      <sz val="10"/>
      <color theme="1"/>
      <name val="Calibri"/>
      <family val="2"/>
      <scheme val="minor"/>
    </font>
    <font>
      <u val="double"/>
      <sz val="9"/>
      <color theme="1"/>
      <name val="Arial"/>
      <family val="2"/>
    </font>
    <font>
      <u val="double"/>
      <sz val="12"/>
      <name val="Times New Roman"/>
      <family val="1"/>
    </font>
    <font>
      <sz val="12"/>
      <color indexed="8"/>
      <name val="Arial"/>
      <family val="2"/>
    </font>
    <font>
      <b/>
      <sz val="10"/>
      <color indexed="8"/>
      <name val="Arial"/>
      <family val="2"/>
    </font>
    <font>
      <sz val="12"/>
      <color indexed="12"/>
      <name val="Arial MT"/>
    </font>
    <font>
      <u val="double"/>
      <sz val="12"/>
      <name val="Arial MT"/>
    </font>
    <font>
      <u val="doubleAccounting"/>
      <sz val="8"/>
      <color indexed="8"/>
      <name val="Arial"/>
      <family val="2"/>
    </font>
  </fonts>
  <fills count="5">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6" fontId="21" fillId="0" borderId="0"/>
    <xf numFmtId="167" fontId="31" fillId="0" borderId="0" applyProtection="0"/>
    <xf numFmtId="0" fontId="34" fillId="0" borderId="0"/>
    <xf numFmtId="44"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cellStyleXfs>
  <cellXfs count="383">
    <xf numFmtId="0" fontId="0" fillId="0" borderId="0" xfId="0"/>
    <xf numFmtId="0" fontId="8" fillId="0" borderId="0" xfId="0" applyFont="1"/>
    <xf numFmtId="0" fontId="9" fillId="0" borderId="0" xfId="0" applyFont="1"/>
    <xf numFmtId="0" fontId="8" fillId="2" borderId="0" xfId="0" applyFont="1" applyFill="1" applyAlignment="1">
      <alignment horizontal="left"/>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4"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165" fontId="4"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5" fillId="0" borderId="0" xfId="0" applyFont="1" applyAlignment="1">
      <alignment vertical="center"/>
    </xf>
    <xf numFmtId="165" fontId="5" fillId="0" borderId="0" xfId="2" applyNumberFormat="1" applyFont="1" applyAlignment="1">
      <alignment vertical="center"/>
    </xf>
    <xf numFmtId="164" fontId="5"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5"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2" fillId="0" borderId="0" xfId="2" applyNumberFormat="1" applyFont="1" applyBorder="1" applyAlignment="1">
      <alignment horizontal="center" vertical="center" wrapText="1"/>
    </xf>
    <xf numFmtId="165" fontId="13" fillId="0" borderId="0" xfId="2" applyNumberFormat="1" applyFont="1" applyAlignment="1">
      <alignment vertical="center"/>
    </xf>
    <xf numFmtId="165" fontId="0" fillId="0" borderId="0" xfId="0" applyNumberFormat="1" applyAlignment="1">
      <alignment vertical="center"/>
    </xf>
    <xf numFmtId="0" fontId="11" fillId="0" borderId="0" xfId="0" applyFont="1" applyFill="1" applyAlignment="1">
      <alignment vertical="center" wrapText="1"/>
    </xf>
    <xf numFmtId="165" fontId="4" fillId="0" borderId="0" xfId="2" applyNumberFormat="1" applyFont="1" applyFill="1" applyBorder="1" applyAlignment="1">
      <alignment horizontal="center" vertical="center" wrapText="1"/>
    </xf>
    <xf numFmtId="165" fontId="12" fillId="0" borderId="0" xfId="2" applyNumberFormat="1" applyFont="1" applyAlignment="1">
      <alignment vertical="center"/>
    </xf>
    <xf numFmtId="165" fontId="12" fillId="0" borderId="0" xfId="2" applyNumberFormat="1" applyFont="1" applyAlignment="1">
      <alignment horizontal="center" vertical="center"/>
    </xf>
    <xf numFmtId="0" fontId="12" fillId="0" borderId="0" xfId="0" applyFont="1" applyAlignment="1">
      <alignment horizontal="center" vertical="center"/>
    </xf>
    <xf numFmtId="10" fontId="14" fillId="0" borderId="0" xfId="3" applyNumberFormat="1" applyFont="1" applyAlignment="1">
      <alignment horizontal="center" vertical="center"/>
    </xf>
    <xf numFmtId="10" fontId="0" fillId="0" borderId="0" xfId="2" applyNumberFormat="1" applyFont="1" applyAlignment="1">
      <alignment vertical="center"/>
    </xf>
    <xf numFmtId="165" fontId="15" fillId="0" borderId="0" xfId="2" applyNumberFormat="1" applyFont="1" applyAlignment="1">
      <alignment horizontal="center" vertical="center"/>
    </xf>
    <xf numFmtId="165" fontId="15" fillId="0" borderId="0" xfId="2" applyNumberFormat="1" applyFont="1" applyAlignment="1">
      <alignment vertical="center"/>
    </xf>
    <xf numFmtId="0" fontId="16" fillId="0" borderId="0" xfId="0" applyNumberFormat="1" applyFont="1" applyAlignment="1">
      <alignment horizontal="center"/>
    </xf>
    <xf numFmtId="0" fontId="16" fillId="0" borderId="0" xfId="0" applyNumberFormat="1" applyFont="1" applyAlignment="1"/>
    <xf numFmtId="0" fontId="16" fillId="0" borderId="0" xfId="0" applyNumberFormat="1" applyFont="1"/>
    <xf numFmtId="0" fontId="17" fillId="0" borderId="0" xfId="0" applyNumberFormat="1" applyFont="1"/>
    <xf numFmtId="0" fontId="17" fillId="0" borderId="0" xfId="0" applyNumberFormat="1" applyFont="1" applyAlignment="1"/>
    <xf numFmtId="0" fontId="3" fillId="0" borderId="0" xfId="0" applyNumberFormat="1" applyFont="1" applyAlignment="1">
      <alignment horizontal="left" indent="2"/>
    </xf>
    <xf numFmtId="165" fontId="17" fillId="0" borderId="0" xfId="2" applyNumberFormat="1" applyFont="1"/>
    <xf numFmtId="165" fontId="17" fillId="0" borderId="0" xfId="1" applyNumberFormat="1" applyFont="1"/>
    <xf numFmtId="165" fontId="3" fillId="0" borderId="0" xfId="1" applyNumberFormat="1" applyFont="1"/>
    <xf numFmtId="165" fontId="17" fillId="0" borderId="0" xfId="1" applyNumberFormat="1" applyFont="1" applyFill="1" applyBorder="1"/>
    <xf numFmtId="165" fontId="3" fillId="0" borderId="0" xfId="1" applyNumberFormat="1" applyFont="1" applyFill="1" applyBorder="1"/>
    <xf numFmtId="165" fontId="17" fillId="0" borderId="0" xfId="0" applyNumberFormat="1" applyFont="1"/>
    <xf numFmtId="0" fontId="3" fillId="0" borderId="0" xfId="0" applyNumberFormat="1" applyFont="1" applyAlignment="1">
      <alignment horizontal="center"/>
    </xf>
    <xf numFmtId="165" fontId="20" fillId="0" borderId="0" xfId="2" applyNumberFormat="1" applyFont="1"/>
    <xf numFmtId="0" fontId="20" fillId="0" borderId="0" xfId="0" applyNumberFormat="1" applyFont="1"/>
    <xf numFmtId="0" fontId="3" fillId="0" borderId="0" xfId="0" applyNumberFormat="1" applyFont="1"/>
    <xf numFmtId="165" fontId="3" fillId="0" borderId="0" xfId="0" applyNumberFormat="1" applyFont="1"/>
    <xf numFmtId="0" fontId="3" fillId="0" borderId="0" xfId="0" applyNumberFormat="1" applyFont="1" applyAlignment="1">
      <alignment horizontal="left" indent="1"/>
    </xf>
    <xf numFmtId="166" fontId="17" fillId="0" borderId="0" xfId="4" applyFont="1"/>
    <xf numFmtId="167" fontId="17" fillId="0" borderId="0" xfId="0" applyNumberFormat="1" applyFont="1" applyAlignment="1"/>
    <xf numFmtId="165" fontId="17" fillId="0" borderId="0" xfId="0" applyNumberFormat="1" applyFont="1" applyFill="1" applyBorder="1"/>
    <xf numFmtId="0" fontId="17" fillId="0" borderId="0" xfId="0" applyNumberFormat="1" applyFont="1" applyAlignment="1">
      <alignment horizontal="left" indent="1"/>
    </xf>
    <xf numFmtId="0" fontId="2" fillId="0" borderId="0" xfId="0" applyNumberFormat="1" applyFont="1" applyAlignment="1">
      <alignment horizontal="left" indent="2"/>
    </xf>
    <xf numFmtId="0" fontId="2" fillId="0" borderId="0" xfId="0" applyNumberFormat="1" applyFont="1" applyAlignment="1">
      <alignment horizontal="center"/>
    </xf>
    <xf numFmtId="165" fontId="17" fillId="0" borderId="0" xfId="1" applyNumberFormat="1" applyFont="1" applyFill="1"/>
    <xf numFmtId="165" fontId="20" fillId="0" borderId="0" xfId="0" applyNumberFormat="1" applyFont="1"/>
    <xf numFmtId="0" fontId="22" fillId="0" borderId="0" xfId="0" applyNumberFormat="1" applyFont="1" applyAlignment="1">
      <alignment horizontal="center"/>
    </xf>
    <xf numFmtId="0" fontId="23" fillId="0" borderId="0" xfId="0" applyNumberFormat="1" applyFont="1"/>
    <xf numFmtId="164" fontId="13" fillId="0" borderId="0" xfId="0" applyNumberFormat="1" applyFont="1" applyAlignment="1">
      <alignment vertical="center"/>
    </xf>
    <xf numFmtId="164" fontId="12" fillId="0" borderId="0" xfId="1" applyNumberFormat="1" applyFont="1" applyBorder="1" applyAlignment="1">
      <alignment vertical="center"/>
    </xf>
    <xf numFmtId="164" fontId="12" fillId="0" borderId="0" xfId="0" applyNumberFormat="1" applyFont="1" applyBorder="1" applyAlignment="1">
      <alignment vertical="center"/>
    </xf>
    <xf numFmtId="165" fontId="12" fillId="0" borderId="0" xfId="0" applyNumberFormat="1" applyFont="1" applyAlignment="1">
      <alignment vertical="center"/>
    </xf>
    <xf numFmtId="0" fontId="0" fillId="0" borderId="0" xfId="0" applyFill="1" applyBorder="1" applyAlignment="1">
      <alignment vertical="center"/>
    </xf>
    <xf numFmtId="0" fontId="16" fillId="0" borderId="0" xfId="0" applyNumberFormat="1" applyFont="1" applyFill="1" applyBorder="1" applyAlignment="1"/>
    <xf numFmtId="14" fontId="18" fillId="0" borderId="0" xfId="0" applyNumberFormat="1" applyFont="1" applyFill="1" applyBorder="1" applyAlignment="1">
      <alignment horizontal="center"/>
    </xf>
    <xf numFmtId="0" fontId="17" fillId="0" borderId="0" xfId="0" applyNumberFormat="1" applyFont="1" applyFill="1" applyBorder="1"/>
    <xf numFmtId="0" fontId="22" fillId="0" borderId="0" xfId="0" applyNumberFormat="1" applyFont="1" applyFill="1" applyBorder="1" applyAlignment="1">
      <alignment horizontal="center"/>
    </xf>
    <xf numFmtId="165" fontId="17"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9" fillId="0" borderId="0" xfId="1" applyNumberFormat="1" applyFont="1" applyFill="1" applyBorder="1"/>
    <xf numFmtId="165" fontId="20" fillId="0" borderId="0" xfId="2" applyNumberFormat="1" applyFont="1" applyFill="1" applyBorder="1"/>
    <xf numFmtId="0" fontId="20" fillId="0" borderId="0" xfId="0" applyNumberFormat="1" applyFont="1" applyFill="1" applyBorder="1"/>
    <xf numFmtId="165" fontId="20" fillId="0" borderId="0" xfId="0" applyNumberFormat="1" applyFont="1" applyFill="1" applyBorder="1"/>
    <xf numFmtId="44" fontId="20" fillId="0" borderId="0" xfId="0" applyNumberFormat="1" applyFont="1" applyFill="1" applyBorder="1"/>
    <xf numFmtId="167" fontId="17" fillId="0" borderId="0" xfId="0" applyNumberFormat="1" applyFont="1" applyFill="1" applyBorder="1" applyAlignment="1"/>
    <xf numFmtId="0" fontId="17" fillId="0" borderId="0" xfId="0" applyNumberFormat="1" applyFont="1" applyFill="1" applyBorder="1" applyAlignment="1">
      <alignment horizontal="center"/>
    </xf>
    <xf numFmtId="43" fontId="17" fillId="0" borderId="0" xfId="4" applyNumberFormat="1" applyFont="1" applyFill="1" applyBorder="1" applyAlignment="1">
      <alignment horizontal="center"/>
    </xf>
    <xf numFmtId="0" fontId="6" fillId="0" borderId="0" xfId="0" applyFont="1" applyAlignment="1">
      <alignment horizontal="center" vertical="center"/>
    </xf>
    <xf numFmtId="0" fontId="17" fillId="0" borderId="0" xfId="0" applyNumberFormat="1" applyFont="1" applyAlignment="1">
      <alignment vertical="center"/>
    </xf>
    <xf numFmtId="165" fontId="15" fillId="0" borderId="0" xfId="2" applyNumberFormat="1" applyFont="1" applyBorder="1" applyAlignment="1">
      <alignment horizontal="center" vertical="center" wrapText="1"/>
    </xf>
    <xf numFmtId="0" fontId="26" fillId="0" borderId="0" xfId="0" applyFont="1" applyAlignment="1">
      <alignment horizontal="center" vertical="center"/>
    </xf>
    <xf numFmtId="165" fontId="17" fillId="0" borderId="2" xfId="2" applyNumberFormat="1" applyFont="1" applyFill="1" applyBorder="1"/>
    <xf numFmtId="165" fontId="12" fillId="0" borderId="1" xfId="2" applyNumberFormat="1" applyFont="1" applyBorder="1" applyAlignment="1">
      <alignment horizontal="center" vertical="center" wrapText="1"/>
    </xf>
    <xf numFmtId="0" fontId="24" fillId="0" borderId="0" xfId="0" applyFont="1" applyBorder="1" applyAlignment="1">
      <alignment horizontal="center" vertical="center" wrapText="1"/>
    </xf>
    <xf numFmtId="15" fontId="7" fillId="0" borderId="0" xfId="0" applyNumberFormat="1"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165" fontId="15" fillId="0" borderId="0" xfId="0" applyNumberFormat="1" applyFont="1" applyBorder="1" applyAlignment="1">
      <alignment horizontal="center" vertical="center" wrapText="1"/>
    </xf>
    <xf numFmtId="165" fontId="14" fillId="0" borderId="0" xfId="0" applyNumberFormat="1" applyFont="1" applyAlignment="1">
      <alignment vertical="center"/>
    </xf>
    <xf numFmtId="165" fontId="15" fillId="0" borderId="0" xfId="0" applyNumberFormat="1" applyFont="1" applyAlignment="1">
      <alignment vertical="center"/>
    </xf>
    <xf numFmtId="165" fontId="14" fillId="0" borderId="0" xfId="2" applyNumberFormat="1" applyFont="1" applyAlignment="1">
      <alignment vertical="center"/>
    </xf>
    <xf numFmtId="168" fontId="0" fillId="0" borderId="0" xfId="3" applyNumberFormat="1" applyFont="1" applyAlignment="1">
      <alignment horizontal="center" vertical="center" wrapText="1"/>
    </xf>
    <xf numFmtId="0" fontId="27" fillId="0" borderId="0" xfId="0" applyFont="1" applyAlignment="1">
      <alignment horizontal="center" vertical="center"/>
    </xf>
    <xf numFmtId="165" fontId="28" fillId="0" borderId="0" xfId="0" applyNumberFormat="1" applyFont="1" applyAlignment="1">
      <alignment vertical="center"/>
    </xf>
    <xf numFmtId="44" fontId="0" fillId="0" borderId="0" xfId="0" applyNumberFormat="1" applyAlignment="1">
      <alignment vertical="center"/>
    </xf>
    <xf numFmtId="0" fontId="25" fillId="0" borderId="0" xfId="0" applyFont="1" applyBorder="1" applyAlignment="1">
      <alignment horizontal="center" vertical="center" wrapText="1"/>
    </xf>
    <xf numFmtId="0" fontId="12" fillId="0" borderId="0" xfId="0" applyFont="1" applyAlignment="1">
      <alignment horizontal="center" vertical="center"/>
    </xf>
    <xf numFmtId="0" fontId="24" fillId="0" borderId="0" xfId="0" applyFont="1" applyAlignment="1">
      <alignment horizontal="center" vertical="center"/>
    </xf>
    <xf numFmtId="168" fontId="0" fillId="0" borderId="0" xfId="3" applyNumberFormat="1" applyFont="1" applyAlignment="1">
      <alignment horizontal="center" vertical="center"/>
    </xf>
    <xf numFmtId="165" fontId="0" fillId="0" borderId="0" xfId="2" applyNumberFormat="1" applyFont="1" applyAlignment="1">
      <alignment horizontal="center" vertical="center"/>
    </xf>
    <xf numFmtId="0" fontId="26" fillId="0" borderId="0" xfId="0" applyFont="1" applyAlignment="1">
      <alignment vertical="center"/>
    </xf>
    <xf numFmtId="165" fontId="27" fillId="0" borderId="0" xfId="0" applyNumberFormat="1"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165" fontId="12" fillId="0" borderId="0" xfId="0" applyNumberFormat="1" applyFont="1" applyFill="1" applyAlignment="1">
      <alignment horizontal="center" vertical="center"/>
    </xf>
    <xf numFmtId="165" fontId="12" fillId="0" borderId="0" xfId="2" applyNumberFormat="1" applyFont="1" applyFill="1" applyAlignment="1">
      <alignment horizontal="center" vertical="center"/>
    </xf>
    <xf numFmtId="165"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65" fontId="14" fillId="0" borderId="0" xfId="2" applyNumberFormat="1" applyFont="1" applyFill="1" applyAlignment="1">
      <alignment vertical="center"/>
    </xf>
    <xf numFmtId="168" fontId="14" fillId="0" borderId="0" xfId="3" applyNumberFormat="1" applyFont="1" applyFill="1" applyAlignment="1">
      <alignment horizontal="center" vertical="center"/>
    </xf>
    <xf numFmtId="165" fontId="0" fillId="0" borderId="0" xfId="2" applyNumberFormat="1" applyFont="1" applyFill="1" applyAlignment="1">
      <alignment vertical="center"/>
    </xf>
    <xf numFmtId="165" fontId="15" fillId="0" borderId="0" xfId="0" applyNumberFormat="1" applyFont="1" applyFill="1" applyAlignment="1">
      <alignment vertical="center"/>
    </xf>
    <xf numFmtId="169" fontId="7" fillId="0" borderId="0" xfId="0" applyNumberFormat="1" applyFont="1" applyAlignment="1">
      <alignment horizontal="center" vertical="center"/>
    </xf>
    <xf numFmtId="0" fontId="0" fillId="0" borderId="0" xfId="0" applyFill="1" applyAlignment="1">
      <alignment horizontal="center" vertical="center"/>
    </xf>
    <xf numFmtId="169" fontId="0" fillId="0" borderId="0" xfId="0" applyNumberFormat="1" applyFont="1" applyFill="1" applyAlignment="1">
      <alignment horizontal="center" vertical="center"/>
    </xf>
    <xf numFmtId="0" fontId="12"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28" fillId="0" borderId="0" xfId="0" applyFont="1" applyAlignment="1">
      <alignment horizontal="center" vertical="center"/>
    </xf>
    <xf numFmtId="167" fontId="32" fillId="0" borderId="0" xfId="5" applyFont="1" applyAlignment="1"/>
    <xf numFmtId="3" fontId="32" fillId="3" borderId="0" xfId="5" applyNumberFormat="1" applyFont="1" applyFill="1" applyAlignment="1">
      <alignment vertical="center"/>
    </xf>
    <xf numFmtId="3" fontId="32" fillId="3" borderId="0" xfId="5" applyNumberFormat="1" applyFont="1" applyFill="1" applyBorder="1" applyAlignment="1">
      <alignment vertical="center"/>
    </xf>
    <xf numFmtId="167" fontId="32" fillId="0" borderId="0" xfId="5" applyFont="1" applyBorder="1" applyAlignment="1"/>
    <xf numFmtId="3" fontId="32" fillId="3" borderId="3" xfId="5" applyNumberFormat="1" applyFont="1" applyFill="1" applyBorder="1" applyAlignment="1"/>
    <xf numFmtId="3" fontId="32" fillId="4" borderId="0" xfId="5" applyNumberFormat="1" applyFont="1" applyFill="1" applyAlignment="1">
      <alignment vertical="center"/>
    </xf>
    <xf numFmtId="176" fontId="32" fillId="0" borderId="0" xfId="10" applyNumberFormat="1" applyFont="1" applyAlignment="1">
      <alignment horizontal="center"/>
    </xf>
    <xf numFmtId="3" fontId="32" fillId="3" borderId="3" xfId="5" applyNumberFormat="1" applyFont="1" applyFill="1" applyBorder="1" applyAlignment="1">
      <alignment vertical="center"/>
    </xf>
    <xf numFmtId="167" fontId="32" fillId="0" borderId="0" xfId="5" applyFont="1" applyFill="1" applyAlignment="1"/>
    <xf numFmtId="164" fontId="32" fillId="3" borderId="3" xfId="10" applyNumberFormat="1" applyFont="1" applyFill="1" applyBorder="1" applyAlignment="1"/>
    <xf numFmtId="167" fontId="47" fillId="0" borderId="0" xfId="5" applyFont="1" applyAlignment="1"/>
    <xf numFmtId="0" fontId="50" fillId="0" borderId="0" xfId="0" applyFont="1" applyBorder="1" applyAlignment="1">
      <alignment horizontal="center" vertical="center" wrapText="1"/>
    </xf>
    <xf numFmtId="165" fontId="13" fillId="0" borderId="0" xfId="0" applyNumberFormat="1" applyFont="1" applyAlignment="1">
      <alignment vertical="center"/>
    </xf>
    <xf numFmtId="0" fontId="22" fillId="0" borderId="0" xfId="0" applyFont="1" applyAlignment="1">
      <alignment horizontal="center"/>
    </xf>
    <xf numFmtId="0" fontId="22" fillId="0" borderId="0" xfId="0" applyFont="1"/>
    <xf numFmtId="10" fontId="22" fillId="0" borderId="0" xfId="3" applyNumberFormat="1" applyFont="1" applyAlignment="1">
      <alignment horizontal="center"/>
    </xf>
    <xf numFmtId="17" fontId="0" fillId="0" borderId="0" xfId="0" applyNumberFormat="1" applyAlignment="1">
      <alignment horizontal="center"/>
    </xf>
    <xf numFmtId="10" fontId="2" fillId="0" borderId="0" xfId="3" applyNumberFormat="1" applyFont="1" applyAlignment="1">
      <alignment horizontal="center"/>
    </xf>
    <xf numFmtId="0" fontId="0" fillId="0" borderId="0" xfId="0" applyAlignment="1">
      <alignment horizontal="center"/>
    </xf>
    <xf numFmtId="175" fontId="51" fillId="0" borderId="0" xfId="3" applyNumberFormat="1" applyFont="1" applyAlignment="1">
      <alignment horizontal="center"/>
    </xf>
    <xf numFmtId="0" fontId="0" fillId="0" borderId="0" xfId="0" applyAlignment="1">
      <alignment horizontal="left"/>
    </xf>
    <xf numFmtId="10" fontId="2" fillId="0" borderId="0" xfId="3" quotePrefix="1" applyNumberFormat="1" applyFont="1" applyAlignment="1">
      <alignment horizontal="left"/>
    </xf>
    <xf numFmtId="167" fontId="42" fillId="0" borderId="0" xfId="5" applyFont="1" applyBorder="1" applyAlignment="1"/>
    <xf numFmtId="10" fontId="38" fillId="0" borderId="0" xfId="5" applyNumberFormat="1" applyFont="1" applyBorder="1" applyAlignment="1">
      <alignment vertical="center"/>
    </xf>
    <xf numFmtId="10" fontId="39" fillId="0" borderId="0" xfId="5" applyNumberFormat="1" applyFont="1" applyBorder="1" applyAlignment="1">
      <alignment vertical="center"/>
    </xf>
    <xf numFmtId="44" fontId="45" fillId="0" borderId="0" xfId="7" applyNumberFormat="1" applyFont="1" applyBorder="1" applyAlignment="1"/>
    <xf numFmtId="10" fontId="40" fillId="0" borderId="0" xfId="5" applyNumberFormat="1" applyFont="1" applyBorder="1" applyAlignment="1">
      <alignment vertical="center"/>
    </xf>
    <xf numFmtId="0" fontId="32" fillId="0" borderId="0" xfId="0" applyFont="1" applyAlignment="1"/>
    <xf numFmtId="0" fontId="32" fillId="0" borderId="0" xfId="0" applyNumberFormat="1" applyFont="1" applyAlignment="1">
      <alignment horizontal="right"/>
    </xf>
    <xf numFmtId="0" fontId="32" fillId="0" borderId="0" xfId="0" applyNumberFormat="1" applyFont="1" applyAlignment="1" applyProtection="1">
      <protection locked="0"/>
    </xf>
    <xf numFmtId="0" fontId="32" fillId="0" borderId="0" xfId="0" applyNumberFormat="1" applyFont="1" applyAlignment="1" applyProtection="1">
      <alignment horizontal="left"/>
      <protection locked="0"/>
    </xf>
    <xf numFmtId="0" fontId="32" fillId="0" borderId="0" xfId="0" applyNumberFormat="1" applyFont="1" applyProtection="1">
      <protection locked="0"/>
    </xf>
    <xf numFmtId="0" fontId="32" fillId="0" borderId="0" xfId="0" applyNumberFormat="1" applyFont="1"/>
    <xf numFmtId="0" fontId="32" fillId="0" borderId="0" xfId="0" applyNumberFormat="1" applyFont="1" applyAlignment="1">
      <alignment horizontal="center"/>
    </xf>
    <xf numFmtId="0" fontId="32" fillId="3" borderId="0" xfId="0" applyNumberFormat="1" applyFont="1" applyFill="1" applyProtection="1">
      <protection locked="0"/>
    </xf>
    <xf numFmtId="0" fontId="32" fillId="3" borderId="0" xfId="0" applyFont="1" applyFill="1" applyAlignment="1"/>
    <xf numFmtId="0" fontId="32" fillId="3" borderId="0" xfId="0" applyNumberFormat="1" applyFont="1" applyFill="1"/>
    <xf numFmtId="0" fontId="32" fillId="3" borderId="0" xfId="0" applyNumberFormat="1" applyFont="1" applyFill="1" applyAlignment="1" applyProtection="1">
      <alignment horizontal="right"/>
      <protection locked="0"/>
    </xf>
    <xf numFmtId="3" fontId="32" fillId="0" borderId="0" xfId="0" applyNumberFormat="1" applyFont="1" applyAlignment="1"/>
    <xf numFmtId="0" fontId="32" fillId="0" borderId="0" xfId="0" applyNumberFormat="1" applyFont="1" applyAlignment="1" applyProtection="1">
      <alignment horizontal="center"/>
      <protection locked="0"/>
    </xf>
    <xf numFmtId="49" fontId="32" fillId="3" borderId="0" xfId="0" applyNumberFormat="1" applyFont="1" applyFill="1" applyAlignment="1">
      <alignment horizontal="center"/>
    </xf>
    <xf numFmtId="49" fontId="32" fillId="0" borderId="0" xfId="0" applyNumberFormat="1" applyFont="1"/>
    <xf numFmtId="0" fontId="32" fillId="0" borderId="3" xfId="0" applyNumberFormat="1" applyFont="1" applyBorder="1" applyAlignment="1" applyProtection="1">
      <alignment horizontal="center"/>
      <protection locked="0"/>
    </xf>
    <xf numFmtId="3" fontId="32" fillId="0" borderId="0" xfId="0" applyNumberFormat="1" applyFont="1"/>
    <xf numFmtId="42" fontId="32" fillId="0" borderId="0" xfId="0" applyNumberFormat="1" applyFont="1"/>
    <xf numFmtId="0" fontId="32" fillId="0" borderId="0" xfId="0" applyNumberFormat="1" applyFont="1" applyAlignment="1"/>
    <xf numFmtId="0" fontId="32" fillId="0" borderId="3" xfId="0" applyNumberFormat="1" applyFont="1" applyBorder="1" applyAlignment="1" applyProtection="1">
      <alignment horizontal="centerContinuous"/>
      <protection locked="0"/>
    </xf>
    <xf numFmtId="170" fontId="32" fillId="0" borderId="0" xfId="0" applyNumberFormat="1" applyFont="1" applyAlignment="1"/>
    <xf numFmtId="3" fontId="32" fillId="3" borderId="0" xfId="0" applyNumberFormat="1" applyFont="1" applyFill="1"/>
    <xf numFmtId="0" fontId="33" fillId="0" borderId="0" xfId="0" applyNumberFormat="1" applyFont="1"/>
    <xf numFmtId="3" fontId="32" fillId="0" borderId="3" xfId="0" applyNumberFormat="1" applyFont="1" applyBorder="1" applyAlignment="1"/>
    <xf numFmtId="3" fontId="32" fillId="0" borderId="0" xfId="0" applyNumberFormat="1" applyFont="1" applyAlignment="1">
      <alignment horizontal="fill"/>
    </xf>
    <xf numFmtId="3" fontId="32" fillId="3" borderId="3" xfId="0" applyNumberFormat="1" applyFont="1" applyFill="1" applyBorder="1"/>
    <xf numFmtId="3" fontId="32" fillId="0" borderId="0" xfId="0" applyNumberFormat="1" applyFont="1" applyFill="1"/>
    <xf numFmtId="42" fontId="32" fillId="0" borderId="4" xfId="0" applyNumberFormat="1" applyFont="1" applyBorder="1" applyAlignment="1" applyProtection="1">
      <alignment horizontal="right"/>
      <protection locked="0"/>
    </xf>
    <xf numFmtId="0" fontId="31" fillId="0" borderId="0" xfId="0" applyNumberFormat="1" applyFont="1" applyBorder="1"/>
    <xf numFmtId="0" fontId="53" fillId="0" borderId="5" xfId="6" applyFont="1" applyBorder="1" applyAlignment="1">
      <alignment horizontal="center" wrapText="1"/>
    </xf>
    <xf numFmtId="171" fontId="53" fillId="0" borderId="6" xfId="6" applyNumberFormat="1" applyFont="1" applyBorder="1" applyAlignment="1">
      <alignment horizontal="center" wrapText="1"/>
    </xf>
    <xf numFmtId="0" fontId="53" fillId="0" borderId="2" xfId="6" applyFont="1" applyFill="1" applyBorder="1" applyAlignment="1">
      <alignment horizontal="center" wrapText="1"/>
    </xf>
    <xf numFmtId="3" fontId="32" fillId="0" borderId="0" xfId="0" applyNumberFormat="1" applyFont="1" applyFill="1" applyBorder="1"/>
    <xf numFmtId="0" fontId="54" fillId="0" borderId="2" xfId="0" applyFont="1" applyBorder="1" applyAlignment="1">
      <alignment horizontal="left"/>
    </xf>
    <xf numFmtId="164" fontId="55" fillId="0" borderId="2" xfId="8" applyNumberFormat="1" applyFont="1" applyFill="1" applyBorder="1"/>
    <xf numFmtId="165" fontId="31" fillId="0" borderId="2" xfId="7" applyNumberFormat="1" applyFont="1" applyBorder="1"/>
    <xf numFmtId="3" fontId="32" fillId="3" borderId="0" xfId="0" applyNumberFormat="1" applyFont="1" applyFill="1" applyBorder="1"/>
    <xf numFmtId="0" fontId="54" fillId="0" borderId="2" xfId="0" applyFont="1" applyFill="1" applyBorder="1" applyAlignment="1">
      <alignment horizontal="center"/>
    </xf>
    <xf numFmtId="164" fontId="31" fillId="0" borderId="2" xfId="8" applyNumberFormat="1" applyFont="1" applyBorder="1"/>
    <xf numFmtId="0" fontId="36" fillId="0" borderId="0" xfId="0" applyFont="1" applyAlignment="1">
      <alignment horizontal="center"/>
    </xf>
    <xf numFmtId="0" fontId="32" fillId="0" borderId="0" xfId="0" applyFont="1" applyBorder="1" applyAlignment="1"/>
    <xf numFmtId="172" fontId="32" fillId="0" borderId="0" xfId="0" applyNumberFormat="1" applyFont="1"/>
    <xf numFmtId="172" fontId="32" fillId="0" borderId="0" xfId="0" applyNumberFormat="1" applyFont="1" applyAlignment="1">
      <alignment horizontal="center"/>
    </xf>
    <xf numFmtId="0" fontId="32" fillId="0" borderId="0" xfId="0" applyFont="1" applyAlignment="1">
      <alignment horizontal="center"/>
    </xf>
    <xf numFmtId="173" fontId="32" fillId="0" borderId="0" xfId="0" applyNumberFormat="1" applyFont="1" applyAlignment="1"/>
    <xf numFmtId="173" fontId="32" fillId="3" borderId="0" xfId="0" applyNumberFormat="1" applyFont="1" applyFill="1" applyProtection="1">
      <protection locked="0"/>
    </xf>
    <xf numFmtId="173" fontId="32" fillId="0" borderId="0" xfId="0" applyNumberFormat="1" applyFont="1" applyProtection="1">
      <protection locked="0"/>
    </xf>
    <xf numFmtId="0" fontId="32" fillId="0" borderId="0" xfId="0" applyNumberFormat="1" applyFont="1" applyAlignment="1">
      <alignment horizontal="left"/>
    </xf>
    <xf numFmtId="49" fontId="32" fillId="0" borderId="0" xfId="0" applyNumberFormat="1" applyFont="1" applyAlignment="1">
      <alignment horizontal="left"/>
    </xf>
    <xf numFmtId="49" fontId="32" fillId="0" borderId="0" xfId="0" applyNumberFormat="1" applyFont="1" applyAlignment="1">
      <alignment horizontal="center"/>
    </xf>
    <xf numFmtId="3" fontId="41" fillId="0" borderId="0" xfId="0" applyNumberFormat="1" applyFont="1" applyAlignment="1">
      <alignment horizontal="center"/>
    </xf>
    <xf numFmtId="0" fontId="41" fillId="0" borderId="0" xfId="0" applyNumberFormat="1" applyFont="1" applyAlignment="1" applyProtection="1">
      <alignment horizontal="center"/>
      <protection locked="0"/>
    </xf>
    <xf numFmtId="0" fontId="41" fillId="0" borderId="0" xfId="0" applyNumberFormat="1" applyFont="1" applyAlignment="1"/>
    <xf numFmtId="0" fontId="41" fillId="0" borderId="0" xfId="0" applyFont="1" applyAlignment="1">
      <alignment horizontal="center"/>
    </xf>
    <xf numFmtId="3" fontId="41" fillId="0" borderId="0" xfId="0" applyNumberFormat="1" applyFont="1" applyAlignment="1"/>
    <xf numFmtId="3" fontId="32" fillId="3" borderId="0" xfId="0" applyNumberFormat="1" applyFont="1" applyFill="1" applyBorder="1" applyAlignment="1"/>
    <xf numFmtId="174" fontId="32" fillId="0" borderId="0" xfId="0" applyNumberFormat="1" applyFont="1" applyAlignment="1"/>
    <xf numFmtId="0" fontId="41" fillId="0" borderId="0" xfId="0" applyFont="1" applyAlignment="1">
      <alignment vertical="center"/>
    </xf>
    <xf numFmtId="3" fontId="43" fillId="0" borderId="0" xfId="0" applyNumberFormat="1" applyFont="1" applyAlignment="1"/>
    <xf numFmtId="0" fontId="35" fillId="0" borderId="0" xfId="6" applyFont="1" applyBorder="1" applyAlignment="1">
      <alignment horizontal="center"/>
    </xf>
    <xf numFmtId="10" fontId="35" fillId="0" borderId="0" xfId="9" applyNumberFormat="1" applyFont="1" applyBorder="1" applyAlignment="1">
      <alignment horizontal="center"/>
    </xf>
    <xf numFmtId="0" fontId="0" fillId="0" borderId="0" xfId="0" applyBorder="1" applyAlignment="1">
      <alignment horizontal="center"/>
    </xf>
    <xf numFmtId="0" fontId="41" fillId="0" borderId="0" xfId="0" applyFont="1" applyAlignment="1">
      <alignment horizontal="center" vertical="center"/>
    </xf>
    <xf numFmtId="165" fontId="55" fillId="0" borderId="2" xfId="0" applyNumberFormat="1" applyFont="1" applyBorder="1"/>
    <xf numFmtId="10" fontId="0" fillId="0" borderId="2" xfId="0" applyNumberFormat="1" applyBorder="1"/>
    <xf numFmtId="171" fontId="32" fillId="0" borderId="2" xfId="0" applyNumberFormat="1" applyFont="1" applyBorder="1" applyAlignment="1">
      <alignment vertical="center"/>
    </xf>
    <xf numFmtId="10" fontId="32" fillId="0" borderId="2" xfId="9" applyNumberFormat="1" applyFont="1" applyBorder="1" applyAlignment="1">
      <alignment vertical="center"/>
    </xf>
    <xf numFmtId="10" fontId="0" fillId="0" borderId="2" xfId="0" applyNumberFormat="1" applyFont="1" applyBorder="1"/>
    <xf numFmtId="3" fontId="32" fillId="3" borderId="3" xfId="0" applyNumberFormat="1" applyFont="1" applyFill="1" applyBorder="1" applyAlignment="1"/>
    <xf numFmtId="175" fontId="32" fillId="0" borderId="0" xfId="0" applyNumberFormat="1" applyFont="1" applyAlignment="1">
      <alignment horizontal="center"/>
    </xf>
    <xf numFmtId="165" fontId="32" fillId="0" borderId="2" xfId="7" applyNumberFormat="1" applyFont="1" applyBorder="1" applyAlignment="1">
      <alignment vertical="center"/>
    </xf>
    <xf numFmtId="0" fontId="0" fillId="0" borderId="0" xfId="0" applyAlignment="1"/>
    <xf numFmtId="0" fontId="36" fillId="0" borderId="8" xfId="0" applyFont="1" applyBorder="1" applyAlignment="1">
      <alignment horizontal="left" vertical="center"/>
    </xf>
    <xf numFmtId="165" fontId="0" fillId="0" borderId="9" xfId="7" applyNumberFormat="1" applyFont="1" applyBorder="1" applyAlignment="1">
      <alignment vertical="center"/>
    </xf>
    <xf numFmtId="3" fontId="32" fillId="3" borderId="0" xfId="0" applyNumberFormat="1" applyFont="1" applyFill="1" applyAlignment="1"/>
    <xf numFmtId="0" fontId="36" fillId="0" borderId="2" xfId="0" applyFont="1" applyBorder="1" applyAlignment="1">
      <alignment horizontal="left" vertical="center"/>
    </xf>
    <xf numFmtId="165" fontId="56" fillId="0" borderId="2" xfId="7" applyNumberFormat="1" applyFont="1" applyBorder="1" applyAlignment="1">
      <alignment vertical="center"/>
    </xf>
    <xf numFmtId="0" fontId="36" fillId="0" borderId="0" xfId="0" applyFont="1" applyAlignment="1">
      <alignment horizontal="center" vertical="center"/>
    </xf>
    <xf numFmtId="0" fontId="32" fillId="0" borderId="0" xfId="0" applyFont="1" applyAlignment="1">
      <alignment vertical="center"/>
    </xf>
    <xf numFmtId="0" fontId="43" fillId="0" borderId="0" xfId="0" applyFont="1" applyAlignment="1"/>
    <xf numFmtId="3" fontId="32" fillId="0" borderId="0" xfId="0" applyNumberFormat="1" applyFont="1" applyAlignment="1">
      <alignment vertical="center"/>
    </xf>
    <xf numFmtId="0" fontId="32" fillId="0" borderId="0" xfId="0" applyNumberFormat="1" applyFont="1" applyAlignment="1">
      <alignment horizontal="fill"/>
    </xf>
    <xf numFmtId="174" fontId="43" fillId="0" borderId="0" xfId="0" applyNumberFormat="1" applyFont="1" applyAlignment="1"/>
    <xf numFmtId="174" fontId="32" fillId="0" borderId="0" xfId="0" applyNumberFormat="1" applyFont="1" applyAlignment="1">
      <alignment horizontal="right"/>
    </xf>
    <xf numFmtId="3" fontId="32" fillId="0" borderId="0" xfId="0" applyNumberFormat="1" applyFont="1" applyBorder="1" applyAlignment="1"/>
    <xf numFmtId="3" fontId="32" fillId="0" borderId="0" xfId="0" applyNumberFormat="1" applyFont="1" applyAlignment="1">
      <alignment horizontal="center"/>
    </xf>
    <xf numFmtId="0" fontId="32" fillId="0" borderId="3" xfId="0" applyFont="1" applyBorder="1" applyAlignment="1"/>
    <xf numFmtId="3" fontId="32" fillId="0" borderId="7" xfId="0" applyNumberFormat="1" applyFont="1" applyBorder="1" applyAlignment="1"/>
    <xf numFmtId="3" fontId="32" fillId="0" borderId="4" xfId="0" applyNumberFormat="1" applyFont="1" applyBorder="1" applyAlignment="1"/>
    <xf numFmtId="3" fontId="32" fillId="0" borderId="0" xfId="0" applyNumberFormat="1" applyFont="1" applyAlignment="1">
      <alignment horizontal="right"/>
    </xf>
    <xf numFmtId="0" fontId="32" fillId="0" borderId="0" xfId="0" applyNumberFormat="1" applyFont="1" applyFill="1" applyAlignment="1" applyProtection="1">
      <alignment horizontal="center"/>
      <protection locked="0"/>
    </xf>
    <xf numFmtId="0" fontId="32" fillId="0" borderId="0" xfId="0" applyNumberFormat="1" applyFont="1" applyFill="1" applyAlignment="1"/>
    <xf numFmtId="0" fontId="32" fillId="0" borderId="0" xfId="0" applyFont="1" applyFill="1" applyAlignment="1"/>
    <xf numFmtId="3" fontId="46" fillId="0" borderId="0" xfId="0" applyNumberFormat="1" applyFont="1" applyAlignment="1"/>
    <xf numFmtId="3" fontId="32" fillId="0" borderId="0" xfId="0" applyNumberFormat="1" applyFont="1" applyFill="1" applyAlignment="1"/>
    <xf numFmtId="0" fontId="32" fillId="0" borderId="0" xfId="0" applyNumberFormat="1" applyFont="1" applyFill="1" applyAlignment="1">
      <alignment horizontal="fill"/>
    </xf>
    <xf numFmtId="3" fontId="32" fillId="0" borderId="0" xfId="0" applyNumberFormat="1" applyFont="1" applyAlignment="1">
      <alignment horizontal="left"/>
    </xf>
    <xf numFmtId="170" fontId="32" fillId="0" borderId="0" xfId="0" applyNumberFormat="1" applyFont="1" applyAlignment="1">
      <alignment horizontal="right"/>
    </xf>
    <xf numFmtId="10" fontId="32" fillId="0" borderId="0" xfId="0" applyNumberFormat="1" applyFont="1" applyAlignment="1">
      <alignment horizontal="left"/>
    </xf>
    <xf numFmtId="170" fontId="32" fillId="0" borderId="0" xfId="0" applyNumberFormat="1" applyFont="1" applyAlignment="1">
      <alignment horizontal="center"/>
    </xf>
    <xf numFmtId="175" fontId="32" fillId="0" borderId="0" xfId="0" applyNumberFormat="1" applyFont="1" applyAlignment="1">
      <alignment horizontal="left"/>
    </xf>
    <xf numFmtId="10" fontId="32" fillId="0" borderId="0" xfId="0" applyNumberFormat="1" applyFont="1" applyFill="1" applyAlignment="1">
      <alignment horizontal="right"/>
    </xf>
    <xf numFmtId="177" fontId="32" fillId="0" borderId="0" xfId="0" applyNumberFormat="1" applyFont="1" applyFill="1" applyAlignment="1">
      <alignment horizontal="right"/>
    </xf>
    <xf numFmtId="175" fontId="32" fillId="0" borderId="0" xfId="0" applyNumberFormat="1" applyFont="1" applyAlignment="1" applyProtection="1">
      <alignment horizontal="left"/>
      <protection locked="0"/>
    </xf>
    <xf numFmtId="3" fontId="32" fillId="0" borderId="0" xfId="0" applyNumberFormat="1" applyFont="1" applyFill="1" applyAlignment="1">
      <alignment horizontal="right"/>
    </xf>
    <xf numFmtId="178" fontId="32" fillId="0" borderId="0" xfId="0" applyNumberFormat="1" applyFont="1" applyAlignment="1"/>
    <xf numFmtId="175" fontId="43" fillId="0" borderId="0" xfId="0" applyNumberFormat="1" applyFont="1" applyAlignment="1">
      <alignment horizontal="center"/>
    </xf>
    <xf numFmtId="170" fontId="43" fillId="0" borderId="0" xfId="0" applyNumberFormat="1" applyFont="1" applyAlignment="1">
      <alignment horizontal="center"/>
    </xf>
    <xf numFmtId="164" fontId="32" fillId="3" borderId="0" xfId="0" applyNumberFormat="1" applyFont="1" applyFill="1" applyBorder="1" applyAlignment="1"/>
    <xf numFmtId="164" fontId="32" fillId="3" borderId="3" xfId="0" applyNumberFormat="1" applyFont="1" applyFill="1" applyBorder="1" applyAlignment="1"/>
    <xf numFmtId="3" fontId="32" fillId="0" borderId="7" xfId="0" applyNumberFormat="1" applyFont="1" applyFill="1" applyBorder="1" applyAlignment="1"/>
    <xf numFmtId="0" fontId="47" fillId="0" borderId="0" xfId="0" applyNumberFormat="1" applyFont="1" applyAlignment="1" applyProtection="1">
      <alignment horizontal="center"/>
      <protection locked="0"/>
    </xf>
    <xf numFmtId="0" fontId="47" fillId="0" borderId="0" xfId="0" applyFont="1" applyAlignment="1"/>
    <xf numFmtId="3" fontId="47" fillId="0" borderId="0" xfId="0" applyNumberFormat="1" applyFont="1" applyAlignment="1"/>
    <xf numFmtId="0" fontId="47" fillId="0" borderId="0" xfId="0" applyNumberFormat="1" applyFont="1" applyAlignment="1">
      <alignment horizontal="center"/>
    </xf>
    <xf numFmtId="0" fontId="32" fillId="0" borderId="0" xfId="0" applyFont="1" applyAlignment="1">
      <alignment horizontal="right"/>
    </xf>
    <xf numFmtId="0" fontId="32" fillId="0" borderId="3" xfId="0" applyNumberFormat="1" applyFont="1" applyBorder="1" applyProtection="1">
      <protection locked="0"/>
    </xf>
    <xf numFmtId="0" fontId="32" fillId="0" borderId="3" xfId="0" applyNumberFormat="1" applyFont="1" applyBorder="1"/>
    <xf numFmtId="49" fontId="32" fillId="0" borderId="0" xfId="0" applyNumberFormat="1" applyFont="1" applyAlignment="1"/>
    <xf numFmtId="0" fontId="32" fillId="0" borderId="0" xfId="0" applyFont="1" applyFill="1" applyBorder="1" applyAlignment="1"/>
    <xf numFmtId="0" fontId="48" fillId="0" borderId="0" xfId="0" applyFont="1" applyFill="1" applyBorder="1" applyAlignment="1"/>
    <xf numFmtId="171" fontId="32" fillId="0" borderId="0" xfId="0" applyNumberFormat="1" applyFont="1" applyFill="1" applyBorder="1" applyAlignment="1"/>
    <xf numFmtId="3" fontId="33" fillId="0" borderId="0" xfId="0" applyNumberFormat="1" applyFont="1" applyFill="1" applyBorder="1" applyAlignment="1"/>
    <xf numFmtId="0" fontId="32" fillId="0" borderId="0" xfId="0" applyNumberFormat="1" applyFont="1" applyFill="1" applyBorder="1"/>
    <xf numFmtId="3" fontId="32" fillId="0" borderId="0" xfId="0" applyNumberFormat="1" applyFont="1" applyFill="1" applyBorder="1" applyAlignment="1"/>
    <xf numFmtId="0" fontId="32" fillId="0" borderId="0" xfId="0" applyNumberFormat="1" applyFont="1" applyFill="1" applyBorder="1" applyAlignment="1"/>
    <xf numFmtId="0" fontId="33" fillId="0" borderId="0" xfId="0" applyFont="1" applyFill="1" applyBorder="1" applyAlignment="1"/>
    <xf numFmtId="0" fontId="32" fillId="0" borderId="0" xfId="0" applyNumberFormat="1" applyFont="1" applyFill="1" applyBorder="1" applyAlignment="1">
      <alignment horizontal="center"/>
    </xf>
    <xf numFmtId="0" fontId="49" fillId="0" borderId="0" xfId="0" applyFont="1" applyFill="1" applyBorder="1"/>
    <xf numFmtId="174" fontId="32" fillId="0" borderId="0" xfId="0" applyNumberFormat="1" applyFont="1"/>
    <xf numFmtId="0" fontId="33" fillId="0" borderId="0" xfId="0" applyFont="1" applyFill="1" applyBorder="1"/>
    <xf numFmtId="170" fontId="32" fillId="0" borderId="0" xfId="0" applyNumberFormat="1" applyFont="1"/>
    <xf numFmtId="3" fontId="32" fillId="0" borderId="3" xfId="0" applyNumberFormat="1" applyFont="1" applyBorder="1" applyAlignment="1">
      <alignment horizontal="center"/>
    </xf>
    <xf numFmtId="4" fontId="32" fillId="0" borderId="0" xfId="0" applyNumberFormat="1" applyFont="1" applyAlignment="1"/>
    <xf numFmtId="3" fontId="32" fillId="0" borderId="0" xfId="0" applyNumberFormat="1" applyFont="1" applyBorder="1" applyAlignment="1">
      <alignment horizontal="center"/>
    </xf>
    <xf numFmtId="170" fontId="32" fillId="0" borderId="0" xfId="0" applyNumberFormat="1" applyFont="1" applyAlignment="1" applyProtection="1">
      <alignment horizontal="center"/>
      <protection locked="0"/>
    </xf>
    <xf numFmtId="0" fontId="32" fillId="0" borderId="3" xfId="0" applyNumberFormat="1" applyFont="1" applyBorder="1" applyAlignment="1"/>
    <xf numFmtId="9" fontId="32" fillId="0" borderId="0" xfId="0" applyNumberFormat="1" applyFont="1" applyAlignment="1"/>
    <xf numFmtId="177" fontId="32" fillId="0" borderId="0" xfId="0" applyNumberFormat="1" applyFont="1" applyAlignment="1"/>
    <xf numFmtId="10" fontId="32" fillId="0" borderId="0" xfId="0" applyNumberFormat="1" applyFont="1" applyAlignment="1"/>
    <xf numFmtId="3" fontId="32" fillId="0" borderId="0" xfId="0" quotePrefix="1" applyNumberFormat="1" applyFont="1" applyAlignment="1"/>
    <xf numFmtId="9" fontId="32" fillId="0" borderId="3" xfId="0" applyNumberFormat="1" applyFont="1" applyBorder="1" applyAlignment="1"/>
    <xf numFmtId="177" fontId="32" fillId="0" borderId="3" xfId="0" applyNumberFormat="1" applyFont="1" applyBorder="1" applyAlignment="1"/>
    <xf numFmtId="9" fontId="32" fillId="0" borderId="0" xfId="0" applyNumberFormat="1" applyFont="1" applyFill="1" applyAlignment="1"/>
    <xf numFmtId="10" fontId="32" fillId="3" borderId="0" xfId="0" applyNumberFormat="1" applyFont="1" applyFill="1" applyAlignment="1"/>
    <xf numFmtId="0" fontId="43" fillId="0" borderId="0" xfId="0" applyNumberFormat="1" applyFont="1" applyAlignment="1" applyProtection="1">
      <alignment horizontal="center"/>
      <protection locked="0"/>
    </xf>
    <xf numFmtId="0" fontId="43" fillId="0" borderId="0" xfId="0" applyNumberFormat="1" applyFont="1" applyFill="1" applyBorder="1" applyAlignment="1" applyProtection="1">
      <alignment horizontal="center"/>
      <protection locked="0"/>
    </xf>
    <xf numFmtId="0" fontId="43" fillId="0" borderId="0" xfId="0" applyNumberFormat="1" applyFont="1" applyProtection="1">
      <protection locked="0"/>
    </xf>
    <xf numFmtId="3" fontId="43" fillId="0" borderId="0" xfId="0" applyNumberFormat="1" applyFont="1" applyFill="1" applyBorder="1" applyAlignment="1"/>
    <xf numFmtId="177" fontId="43" fillId="0" borderId="0" xfId="0" applyNumberFormat="1" applyFont="1" applyAlignment="1"/>
    <xf numFmtId="0" fontId="43" fillId="0" borderId="0" xfId="0" applyFont="1" applyAlignment="1">
      <alignment horizontal="right"/>
    </xf>
    <xf numFmtId="4" fontId="43" fillId="0" borderId="0" xfId="0" applyNumberFormat="1" applyFont="1" applyAlignment="1"/>
    <xf numFmtId="10" fontId="32" fillId="0" borderId="0" xfId="11" applyNumberFormat="1" applyFont="1" applyAlignment="1"/>
    <xf numFmtId="0" fontId="47" fillId="0" borderId="0" xfId="0" applyNumberFormat="1" applyFont="1" applyProtection="1">
      <protection locked="0"/>
    </xf>
    <xf numFmtId="0" fontId="32" fillId="0" borderId="0" xfId="0" applyFont="1" applyFill="1" applyAlignment="1" applyProtection="1"/>
    <xf numFmtId="0" fontId="32" fillId="0" borderId="0" xfId="0" applyNumberFormat="1" applyFont="1" applyBorder="1" applyProtection="1">
      <protection locked="0"/>
    </xf>
    <xf numFmtId="173" fontId="32" fillId="0" borderId="0" xfId="0" applyNumberFormat="1" applyFont="1" applyBorder="1" applyProtection="1">
      <protection locked="0"/>
    </xf>
    <xf numFmtId="171" fontId="32" fillId="0" borderId="0" xfId="0" applyNumberFormat="1" applyFont="1" applyFill="1" applyBorder="1" applyProtection="1"/>
    <xf numFmtId="0" fontId="32" fillId="0" borderId="0" xfId="0" applyNumberFormat="1" applyFont="1" applyFill="1" applyBorder="1" applyProtection="1">
      <protection locked="0"/>
    </xf>
    <xf numFmtId="0" fontId="32" fillId="0" borderId="0" xfId="0" applyNumberFormat="1" applyFont="1" applyBorder="1" applyAlignment="1" applyProtection="1">
      <protection locked="0"/>
    </xf>
    <xf numFmtId="0" fontId="32" fillId="0" borderId="0" xfId="0" applyNumberFormat="1" applyFont="1" applyFill="1" applyBorder="1" applyAlignment="1" applyProtection="1">
      <protection locked="0"/>
    </xf>
    <xf numFmtId="0" fontId="32" fillId="0" borderId="3" xfId="0" applyNumberFormat="1" applyFont="1" applyFill="1" applyBorder="1" applyAlignment="1" applyProtection="1">
      <protection locked="0"/>
    </xf>
    <xf numFmtId="0" fontId="32" fillId="0" borderId="3" xfId="0" applyNumberFormat="1" applyFont="1" applyFill="1" applyBorder="1" applyProtection="1">
      <protection locked="0"/>
    </xf>
    <xf numFmtId="171" fontId="32" fillId="0" borderId="0" xfId="0" applyNumberFormat="1" applyFont="1" applyFill="1" applyBorder="1" applyAlignment="1" applyProtection="1"/>
    <xf numFmtId="3" fontId="33" fillId="0" borderId="0" xfId="0" applyNumberFormat="1" applyFont="1" applyAlignment="1">
      <alignment horizontal="left"/>
    </xf>
    <xf numFmtId="167" fontId="32" fillId="0" borderId="0" xfId="0" applyNumberFormat="1" applyFont="1" applyAlignment="1" applyProtection="1">
      <protection locked="0"/>
    </xf>
    <xf numFmtId="0" fontId="47" fillId="0" borderId="0" xfId="0" applyNumberFormat="1" applyFont="1" applyAlignment="1" applyProtection="1">
      <protection locked="0"/>
    </xf>
    <xf numFmtId="0" fontId="47" fillId="0" borderId="0" xfId="0" applyNumberFormat="1" applyFont="1"/>
    <xf numFmtId="0" fontId="47" fillId="0" borderId="0" xfId="0" applyNumberFormat="1" applyFont="1" applyAlignment="1"/>
    <xf numFmtId="3" fontId="32" fillId="0" borderId="0" xfId="0" applyNumberFormat="1" applyFont="1" applyProtection="1">
      <protection locked="0"/>
    </xf>
    <xf numFmtId="171" fontId="32" fillId="0" borderId="0" xfId="0" applyNumberFormat="1" applyFont="1" applyAlignment="1" applyProtection="1">
      <alignment horizontal="right"/>
      <protection locked="0"/>
    </xf>
    <xf numFmtId="171" fontId="32" fillId="0" borderId="0" xfId="0" applyNumberFormat="1" applyFont="1" applyProtection="1">
      <protection locked="0"/>
    </xf>
    <xf numFmtId="3" fontId="32" fillId="0" borderId="0" xfId="0" applyNumberFormat="1" applyFont="1" applyFill="1" applyAlignment="1" applyProtection="1"/>
    <xf numFmtId="0" fontId="32" fillId="0" borderId="0" xfId="0" applyNumberFormat="1" applyFont="1" applyAlignment="1" applyProtection="1">
      <alignment horizontal="left" indent="8"/>
      <protection locked="0"/>
    </xf>
    <xf numFmtId="0" fontId="32" fillId="0" borderId="0" xfId="0" applyNumberFormat="1" applyFont="1" applyAlignment="1" applyProtection="1">
      <alignment horizontal="center" vertical="top" wrapText="1"/>
      <protection locked="0"/>
    </xf>
    <xf numFmtId="0" fontId="32" fillId="0" borderId="0" xfId="0" applyNumberFormat="1" applyFont="1" applyFill="1" applyAlignment="1" applyProtection="1">
      <alignment horizontal="left" vertical="top" wrapText="1" indent="8"/>
      <protection locked="0"/>
    </xf>
    <xf numFmtId="0" fontId="32" fillId="0" borderId="0" xfId="0" applyNumberFormat="1" applyFont="1" applyFill="1" applyAlignment="1" applyProtection="1">
      <alignment vertical="top" wrapText="1"/>
      <protection locked="0"/>
    </xf>
    <xf numFmtId="10" fontId="32" fillId="3" borderId="0" xfId="0" applyNumberFormat="1" applyFont="1" applyFill="1" applyAlignment="1" applyProtection="1">
      <alignment vertical="top" wrapText="1"/>
      <protection locked="0"/>
    </xf>
    <xf numFmtId="3" fontId="32" fillId="0" borderId="0" xfId="0" applyNumberFormat="1" applyFont="1" applyAlignment="1">
      <alignment vertical="top" wrapText="1"/>
    </xf>
    <xf numFmtId="0" fontId="32" fillId="0" borderId="0" xfId="0" applyNumberFormat="1" applyFont="1" applyAlignment="1" applyProtection="1">
      <alignment vertical="top" wrapText="1"/>
      <protection locked="0"/>
    </xf>
    <xf numFmtId="0" fontId="33" fillId="0" borderId="0" xfId="0" applyNumberFormat="1" applyFont="1" applyFill="1" applyAlignment="1" applyProtection="1">
      <alignment horizontal="left"/>
      <protection locked="0"/>
    </xf>
    <xf numFmtId="0" fontId="32" fillId="0" borderId="0" xfId="0" applyFont="1" applyAlignment="1">
      <alignment horizontal="center" vertical="top" wrapText="1"/>
    </xf>
    <xf numFmtId="0" fontId="32" fillId="0" borderId="0" xfId="0" applyFont="1" applyFill="1" applyAlignment="1">
      <alignment horizontal="center" vertical="top" wrapText="1"/>
    </xf>
    <xf numFmtId="0" fontId="32" fillId="0" borderId="0" xfId="0" applyNumberFormat="1" applyFont="1" applyFill="1"/>
    <xf numFmtId="0" fontId="32" fillId="0" borderId="0" xfId="0" applyNumberFormat="1" applyFont="1" applyFill="1" applyAlignment="1">
      <alignment horizontal="left" vertical="top"/>
    </xf>
    <xf numFmtId="0" fontId="32" fillId="0" borderId="0" xfId="0" applyNumberFormat="1" applyFont="1" applyFill="1" applyAlignment="1">
      <alignment vertical="top"/>
    </xf>
    <xf numFmtId="0" fontId="32" fillId="0" borderId="0" xfId="0" applyNumberFormat="1" applyFont="1" applyFill="1" applyAlignment="1" applyProtection="1">
      <alignment horizontal="left" vertical="center"/>
      <protection locked="0"/>
    </xf>
    <xf numFmtId="0" fontId="32" fillId="0" borderId="0" xfId="0" applyNumberFormat="1" applyFont="1" applyFill="1" applyProtection="1">
      <protection locked="0"/>
    </xf>
    <xf numFmtId="0" fontId="32" fillId="0" borderId="0" xfId="0" applyNumberFormat="1" applyFont="1" applyAlignment="1" applyProtection="1">
      <alignment horizontal="left" vertical="center"/>
      <protection locked="0"/>
    </xf>
    <xf numFmtId="0" fontId="32" fillId="0" borderId="0" xfId="0" applyNumberFormat="1" applyFont="1" applyAlignment="1" applyProtection="1">
      <alignment vertical="center"/>
      <protection locked="0"/>
    </xf>
    <xf numFmtId="3" fontId="32" fillId="3" borderId="0" xfId="5" applyNumberFormat="1" applyFont="1" applyFill="1" applyAlignment="1"/>
    <xf numFmtId="171" fontId="32" fillId="3" borderId="0" xfId="5" applyNumberFormat="1" applyFont="1" applyFill="1" applyAlignment="1">
      <alignment vertical="center"/>
    </xf>
    <xf numFmtId="171" fontId="32" fillId="3" borderId="0" xfId="5" applyNumberFormat="1" applyFont="1" applyFill="1" applyBorder="1" applyAlignment="1" applyProtection="1">
      <alignment vertical="center"/>
    </xf>
    <xf numFmtId="171" fontId="32" fillId="3" borderId="0" xfId="5" applyNumberFormat="1" applyFont="1" applyFill="1" applyBorder="1" applyAlignment="1" applyProtection="1">
      <alignment vertical="center"/>
      <protection locked="0"/>
    </xf>
    <xf numFmtId="164" fontId="32" fillId="3" borderId="0" xfId="5" applyNumberFormat="1" applyFont="1" applyFill="1" applyBorder="1" applyAlignment="1"/>
    <xf numFmtId="3" fontId="32" fillId="0" borderId="0" xfId="5" applyNumberFormat="1" applyFont="1" applyBorder="1" applyAlignment="1"/>
    <xf numFmtId="0" fontId="1" fillId="0" borderId="0" xfId="0" applyFont="1" applyAlignment="1">
      <alignment vertical="center"/>
    </xf>
    <xf numFmtId="164" fontId="57" fillId="0" borderId="0" xfId="8" applyNumberFormat="1" applyFont="1" applyFill="1" applyProtection="1">
      <protection locked="0"/>
    </xf>
    <xf numFmtId="172" fontId="32" fillId="3" borderId="3" xfId="0" applyNumberFormat="1" applyFont="1" applyFill="1" applyBorder="1"/>
    <xf numFmtId="167" fontId="41" fillId="0" borderId="0" xfId="5" applyFont="1" applyBorder="1" applyAlignment="1">
      <alignment horizontal="center"/>
    </xf>
    <xf numFmtId="10" fontId="38" fillId="0" borderId="0" xfId="5" applyNumberFormat="1" applyFont="1" applyBorder="1" applyAlignment="1">
      <alignment horizontal="center" vertical="center"/>
    </xf>
    <xf numFmtId="10" fontId="39" fillId="0" borderId="0" xfId="5" applyNumberFormat="1" applyFont="1" applyBorder="1" applyAlignment="1">
      <alignment horizontal="center" vertical="center"/>
    </xf>
    <xf numFmtId="167" fontId="44" fillId="0" borderId="0" xfId="5" applyFont="1" applyBorder="1" applyAlignment="1">
      <alignment horizontal="center"/>
    </xf>
    <xf numFmtId="10" fontId="40" fillId="0" borderId="0" xfId="5" applyNumberFormat="1" applyFont="1" applyBorder="1" applyAlignment="1">
      <alignment horizontal="center" vertical="center"/>
    </xf>
    <xf numFmtId="165" fontId="52" fillId="0" borderId="0" xfId="2" applyNumberFormat="1" applyFont="1" applyBorder="1" applyAlignment="1"/>
    <xf numFmtId="42" fontId="52" fillId="0" borderId="0" xfId="0" applyNumberFormat="1" applyFont="1" applyAlignment="1"/>
    <xf numFmtId="0" fontId="32" fillId="0" borderId="0" xfId="0" applyNumberFormat="1" applyFont="1" applyAlignment="1" applyProtection="1">
      <alignment vertical="top" wrapText="1"/>
      <protection locked="0"/>
    </xf>
    <xf numFmtId="0" fontId="32" fillId="0" borderId="0" xfId="0" applyNumberFormat="1" applyFont="1" applyFill="1" applyAlignment="1" applyProtection="1">
      <alignment vertical="top" wrapText="1"/>
      <protection locked="0"/>
    </xf>
    <xf numFmtId="0" fontId="31" fillId="0" borderId="0" xfId="0" applyNumberFormat="1" applyFont="1" applyAlignment="1">
      <alignment horizontal="center"/>
    </xf>
    <xf numFmtId="0" fontId="32" fillId="0" borderId="0" xfId="0" applyNumberFormat="1" applyFont="1" applyFill="1" applyBorder="1" applyAlignment="1">
      <alignment horizontal="center"/>
    </xf>
    <xf numFmtId="3" fontId="32" fillId="0" borderId="0" xfId="0" applyNumberFormat="1" applyFont="1" applyAlignment="1">
      <alignment horizontal="right"/>
    </xf>
    <xf numFmtId="0" fontId="32" fillId="0" borderId="0" xfId="0" applyNumberFormat="1" applyFont="1" applyFill="1" applyAlignment="1">
      <alignment horizontal="left" vertical="top" wrapText="1"/>
    </xf>
    <xf numFmtId="0" fontId="32" fillId="0" borderId="0" xfId="0" applyNumberFormat="1" applyFont="1" applyFill="1" applyAlignment="1">
      <alignment vertical="top" wrapText="1"/>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Alignment="1">
      <alignment horizontal="center" vertical="center"/>
    </xf>
    <xf numFmtId="0" fontId="29" fillId="0" borderId="0" xfId="0" applyFont="1" applyAlignment="1">
      <alignment horizontal="center" vertical="center"/>
    </xf>
    <xf numFmtId="0" fontId="24" fillId="0" borderId="0" xfId="0" applyFont="1" applyBorder="1" applyAlignment="1">
      <alignment horizontal="center" vertical="center" wrapText="1"/>
    </xf>
    <xf numFmtId="0" fontId="0" fillId="0" borderId="0" xfId="0" applyAlignment="1">
      <alignment horizontal="center" vertical="center"/>
    </xf>
    <xf numFmtId="165" fontId="12" fillId="0" borderId="0" xfId="0" applyNumberFormat="1" applyFont="1" applyAlignment="1">
      <alignment horizontal="center" vertical="center"/>
    </xf>
    <xf numFmtId="0" fontId="6" fillId="0" borderId="0" xfId="0" applyFont="1" applyAlignment="1">
      <alignment horizontal="center" vertical="center"/>
    </xf>
    <xf numFmtId="10" fontId="22" fillId="0" borderId="0" xfId="3" applyNumberFormat="1" applyFont="1" applyAlignment="1">
      <alignment horizontal="center"/>
    </xf>
  </cellXfs>
  <cellStyles count="12">
    <cellStyle name="Comma" xfId="1" builtinId="3"/>
    <cellStyle name="Comma 2 2" xfId="8"/>
    <cellStyle name="Comma 3" xfId="10"/>
    <cellStyle name="Currency" xfId="2" builtinId="4"/>
    <cellStyle name="Currency 2" xfId="7"/>
    <cellStyle name="Normal" xfId="0" builtinId="0"/>
    <cellStyle name="Normal 3" xfId="5"/>
    <cellStyle name="Normal_Debt Service" xfId="4"/>
    <cellStyle name="Normal_GRE_Rate_Zones_Allocation_11042004" xfId="6"/>
    <cellStyle name="Percent" xfId="3" builtinId="5"/>
    <cellStyle name="Percent 2" xfId="9"/>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E6" sqref="E6"/>
    </sheetView>
  </sheetViews>
  <sheetFormatPr defaultRowHeight="14.4"/>
  <cols>
    <col min="4" max="4" width="52.44140625" customWidth="1"/>
  </cols>
  <sheetData>
    <row r="3" spans="4:5" ht="18">
      <c r="D3" s="1" t="s">
        <v>4</v>
      </c>
      <c r="E3" s="2"/>
    </row>
    <row r="4" spans="4:5" ht="18">
      <c r="D4" s="1" t="s">
        <v>6</v>
      </c>
      <c r="E4" s="2"/>
    </row>
    <row r="5" spans="4:5" ht="18">
      <c r="D5" s="1" t="s">
        <v>7</v>
      </c>
      <c r="E5" s="3">
        <v>2016</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33"/>
  <sheetViews>
    <sheetView showGridLines="0" topLeftCell="A13" zoomScaleNormal="100" workbookViewId="0">
      <selection activeCell="E22" sqref="E22"/>
    </sheetView>
  </sheetViews>
  <sheetFormatPr defaultColWidth="9.109375" defaultRowHeight="14.4"/>
  <cols>
    <col min="1" max="2" width="9.109375" style="5"/>
    <col min="3" max="3" width="27.88671875" style="5" customWidth="1"/>
    <col min="4" max="4" width="13.6640625" style="5" bestFit="1" customWidth="1"/>
    <col min="5" max="6" width="19.88671875" style="5" customWidth="1"/>
    <col min="7" max="7" width="15" style="5" bestFit="1" customWidth="1"/>
    <col min="8" max="8" width="14.6640625" style="5" bestFit="1" customWidth="1"/>
    <col min="9" max="9" width="13.33203125" style="5" bestFit="1" customWidth="1"/>
    <col min="10" max="10" width="14.33203125" style="5" bestFit="1" customWidth="1"/>
    <col min="11" max="12" width="13.44140625" style="5" bestFit="1" customWidth="1"/>
    <col min="13" max="13" width="14.33203125" style="5" bestFit="1" customWidth="1"/>
    <col min="14" max="14" width="12" style="5" bestFit="1" customWidth="1"/>
    <col min="15" max="15" width="14.33203125" style="5" bestFit="1" customWidth="1"/>
    <col min="16" max="16" width="9.5546875" style="5" bestFit="1" customWidth="1"/>
    <col min="17" max="17" width="12" style="5" bestFit="1" customWidth="1"/>
    <col min="18" max="16384" width="9.109375" style="5"/>
  </cols>
  <sheetData>
    <row r="3" spans="2:8" ht="15.6">
      <c r="B3" s="4" t="s">
        <v>4</v>
      </c>
      <c r="C3" s="4"/>
      <c r="D3" s="4"/>
      <c r="E3" s="4"/>
      <c r="F3" s="4"/>
    </row>
    <row r="4" spans="2:8" ht="15.6">
      <c r="B4" s="6">
        <f>Coversheet!E5</f>
        <v>2016</v>
      </c>
      <c r="C4" s="4" t="s">
        <v>55</v>
      </c>
      <c r="D4" s="4"/>
      <c r="E4" s="4"/>
      <c r="F4" s="4"/>
    </row>
    <row r="5" spans="2:8" ht="15.6">
      <c r="B5" s="4" t="s">
        <v>7</v>
      </c>
      <c r="C5" s="4"/>
      <c r="D5" s="4"/>
      <c r="E5" s="7">
        <f>Coversheet!E5</f>
        <v>2016</v>
      </c>
    </row>
    <row r="6" spans="2:8" ht="15.6">
      <c r="B6" s="4"/>
      <c r="C6" s="4"/>
      <c r="D6" s="4"/>
      <c r="E6" s="7"/>
    </row>
    <row r="7" spans="2:8" s="9" customFormat="1" ht="35.25" customHeight="1">
      <c r="B7" s="8" t="s">
        <v>0</v>
      </c>
      <c r="C7" s="8" t="s">
        <v>1</v>
      </c>
      <c r="D7" s="8" t="s">
        <v>2</v>
      </c>
      <c r="E7" s="8" t="s">
        <v>56</v>
      </c>
      <c r="F7" s="8" t="s">
        <v>609</v>
      </c>
    </row>
    <row r="8" spans="2:8" s="9" customFormat="1">
      <c r="B8" s="10">
        <v>1</v>
      </c>
      <c r="C8" s="10" t="s">
        <v>21</v>
      </c>
      <c r="D8" s="10">
        <f>$E$5-1</f>
        <v>2015</v>
      </c>
      <c r="E8" s="11">
        <f>E26+E27-E28</f>
        <v>609778174</v>
      </c>
      <c r="F8" s="11">
        <f>F26+F30</f>
        <v>180660532</v>
      </c>
      <c r="G8" s="103">
        <f>E8/(E8+F8)</f>
        <v>0.77144270564098616</v>
      </c>
    </row>
    <row r="9" spans="2:8" ht="16.2">
      <c r="B9" s="13">
        <v>2</v>
      </c>
      <c r="C9" s="14" t="s">
        <v>10</v>
      </c>
      <c r="D9" s="13">
        <f>$E$5</f>
        <v>2016</v>
      </c>
      <c r="E9" s="11">
        <f>E8-H9</f>
        <v>597983174</v>
      </c>
      <c r="F9" s="11">
        <f>F8+F$31/12</f>
        <v>182936655.08333334</v>
      </c>
      <c r="G9" s="103">
        <f t="shared" ref="G9:G20" si="0">E9/(E9+F9)</f>
        <v>0.76574207969841179</v>
      </c>
      <c r="H9" s="40">
        <v>11795000</v>
      </c>
    </row>
    <row r="10" spans="2:8" ht="15.6">
      <c r="B10" s="13">
        <v>3</v>
      </c>
      <c r="C10" s="15" t="s">
        <v>11</v>
      </c>
      <c r="D10" s="13">
        <f t="shared" ref="D10:D20" si="1">$E$5</f>
        <v>2016</v>
      </c>
      <c r="E10" s="11">
        <f t="shared" ref="E10:E20" si="2">E9</f>
        <v>597983174</v>
      </c>
      <c r="F10" s="11">
        <f t="shared" ref="F10:F20" si="3">F9+F$31/12</f>
        <v>185212778.16666669</v>
      </c>
      <c r="G10" s="103">
        <f t="shared" si="0"/>
        <v>0.76351668103711956</v>
      </c>
    </row>
    <row r="11" spans="2:8" ht="15.6">
      <c r="B11" s="13">
        <v>4</v>
      </c>
      <c r="C11" s="15" t="s">
        <v>12</v>
      </c>
      <c r="D11" s="13">
        <f t="shared" si="1"/>
        <v>2016</v>
      </c>
      <c r="E11" s="11">
        <f>E10</f>
        <v>597983174</v>
      </c>
      <c r="F11" s="11">
        <f t="shared" si="3"/>
        <v>187488901.25000003</v>
      </c>
      <c r="G11" s="103">
        <f t="shared" si="0"/>
        <v>0.76130417979490095</v>
      </c>
    </row>
    <row r="12" spans="2:8" ht="15.6">
      <c r="B12" s="13">
        <v>5</v>
      </c>
      <c r="C12" s="15" t="s">
        <v>13</v>
      </c>
      <c r="D12" s="13">
        <f t="shared" si="1"/>
        <v>2016</v>
      </c>
      <c r="E12" s="11">
        <f t="shared" si="2"/>
        <v>597983174</v>
      </c>
      <c r="F12" s="11">
        <f t="shared" si="3"/>
        <v>189765024.33333337</v>
      </c>
      <c r="G12" s="103">
        <f t="shared" si="0"/>
        <v>0.75910446417417909</v>
      </c>
    </row>
    <row r="13" spans="2:8" ht="15.6">
      <c r="B13" s="13">
        <v>6</v>
      </c>
      <c r="C13" s="15" t="s">
        <v>14</v>
      </c>
      <c r="D13" s="13">
        <f t="shared" si="1"/>
        <v>2016</v>
      </c>
      <c r="E13" s="11">
        <f t="shared" si="2"/>
        <v>597983174</v>
      </c>
      <c r="F13" s="11">
        <f t="shared" si="3"/>
        <v>192041147.41666672</v>
      </c>
      <c r="G13" s="103">
        <f t="shared" si="0"/>
        <v>0.75691742366576797</v>
      </c>
    </row>
    <row r="14" spans="2:8" ht="15.6">
      <c r="B14" s="13">
        <v>7</v>
      </c>
      <c r="C14" s="15" t="s">
        <v>15</v>
      </c>
      <c r="D14" s="13">
        <f t="shared" si="1"/>
        <v>2016</v>
      </c>
      <c r="E14" s="11">
        <f t="shared" si="2"/>
        <v>597983174</v>
      </c>
      <c r="F14" s="11">
        <f t="shared" si="3"/>
        <v>194317270.50000006</v>
      </c>
      <c r="G14" s="103">
        <f t="shared" si="0"/>
        <v>0.75474294903036621</v>
      </c>
    </row>
    <row r="15" spans="2:8" ht="15.6">
      <c r="B15" s="13">
        <v>8</v>
      </c>
      <c r="C15" s="15" t="s">
        <v>16</v>
      </c>
      <c r="D15" s="13">
        <f t="shared" si="1"/>
        <v>2016</v>
      </c>
      <c r="E15" s="11">
        <f t="shared" si="2"/>
        <v>597983174</v>
      </c>
      <c r="F15" s="11">
        <f>F14+F$31/12</f>
        <v>196593393.5833334</v>
      </c>
      <c r="G15" s="103">
        <f t="shared" si="0"/>
        <v>0.75258093228036815</v>
      </c>
    </row>
    <row r="16" spans="2:8" ht="15.6">
      <c r="B16" s="13">
        <v>9</v>
      </c>
      <c r="C16" s="15" t="s">
        <v>17</v>
      </c>
      <c r="D16" s="13">
        <f t="shared" si="1"/>
        <v>2016</v>
      </c>
      <c r="E16" s="11">
        <f t="shared" si="2"/>
        <v>597983174</v>
      </c>
      <c r="F16" s="11">
        <f t="shared" si="3"/>
        <v>198869516.66666675</v>
      </c>
      <c r="G16" s="103">
        <f t="shared" si="0"/>
        <v>0.75043126666198801</v>
      </c>
    </row>
    <row r="17" spans="2:18" ht="15.6">
      <c r="B17" s="13">
        <v>10</v>
      </c>
      <c r="C17" s="15" t="s">
        <v>18</v>
      </c>
      <c r="D17" s="13">
        <f t="shared" si="1"/>
        <v>2016</v>
      </c>
      <c r="E17" s="11">
        <f>E16</f>
        <v>597983174</v>
      </c>
      <c r="F17" s="11">
        <f t="shared" si="3"/>
        <v>201145639.75000009</v>
      </c>
      <c r="G17" s="103">
        <f t="shared" si="0"/>
        <v>0.74829384663768783</v>
      </c>
    </row>
    <row r="18" spans="2:18" ht="15.6">
      <c r="B18" s="13">
        <v>11</v>
      </c>
      <c r="C18" s="15" t="s">
        <v>19</v>
      </c>
      <c r="D18" s="13">
        <f t="shared" si="1"/>
        <v>2016</v>
      </c>
      <c r="E18" s="11">
        <f t="shared" si="2"/>
        <v>597983174</v>
      </c>
      <c r="F18" s="11">
        <f t="shared" si="3"/>
        <v>203421762.83333343</v>
      </c>
      <c r="G18" s="103">
        <f t="shared" si="0"/>
        <v>0.74616856786890662</v>
      </c>
    </row>
    <row r="19" spans="2:18" ht="15.6">
      <c r="B19" s="13">
        <v>12</v>
      </c>
      <c r="C19" s="15" t="s">
        <v>20</v>
      </c>
      <c r="D19" s="13">
        <f t="shared" si="1"/>
        <v>2016</v>
      </c>
      <c r="E19" s="11">
        <f t="shared" si="2"/>
        <v>597983174</v>
      </c>
      <c r="F19" s="11">
        <f t="shared" si="3"/>
        <v>205697885.91666678</v>
      </c>
      <c r="G19" s="103">
        <f t="shared" si="0"/>
        <v>0.74405532719908141</v>
      </c>
    </row>
    <row r="20" spans="2:18" ht="16.2">
      <c r="B20" s="13">
        <v>13</v>
      </c>
      <c r="C20" s="15" t="s">
        <v>21</v>
      </c>
      <c r="D20" s="13">
        <f t="shared" si="1"/>
        <v>2016</v>
      </c>
      <c r="E20" s="29">
        <f t="shared" si="2"/>
        <v>597983174</v>
      </c>
      <c r="F20" s="29">
        <f t="shared" si="3"/>
        <v>207974009.00000012</v>
      </c>
      <c r="G20" s="103">
        <f t="shared" si="0"/>
        <v>0.74195402263695676</v>
      </c>
    </row>
    <row r="21" spans="2:18">
      <c r="B21" s="13">
        <v>14</v>
      </c>
    </row>
    <row r="22" spans="2:18" ht="16.2">
      <c r="B22" s="13">
        <v>15</v>
      </c>
      <c r="C22" s="6" t="s">
        <v>27</v>
      </c>
      <c r="D22" s="18"/>
      <c r="E22" s="30">
        <f>SUM(E8:E20)/13</f>
        <v>598890481.69230771</v>
      </c>
      <c r="F22" s="30">
        <f t="shared" ref="F22" si="4">SUM(F8:F20)/13</f>
        <v>194317270.50000003</v>
      </c>
    </row>
    <row r="23" spans="2:18">
      <c r="F23" s="31"/>
    </row>
    <row r="24" spans="2:18">
      <c r="C24" s="92" t="s">
        <v>203</v>
      </c>
      <c r="D24" s="92"/>
      <c r="E24" s="92" t="s">
        <v>206</v>
      </c>
      <c r="F24" s="92" t="s">
        <v>207</v>
      </c>
      <c r="G24" s="21"/>
      <c r="H24" s="21"/>
      <c r="I24" s="21"/>
      <c r="J24" s="21"/>
      <c r="K24" s="21"/>
      <c r="L24" s="21"/>
      <c r="M24" s="21"/>
      <c r="N24" s="21"/>
      <c r="O24" s="21"/>
    </row>
    <row r="25" spans="2:18" ht="16.2">
      <c r="C25" s="31"/>
      <c r="F25" s="31"/>
      <c r="G25" s="380"/>
      <c r="H25" s="380"/>
      <c r="I25" s="380"/>
      <c r="J25" s="380"/>
      <c r="K25" s="380"/>
      <c r="L25" s="380"/>
      <c r="M25" s="380"/>
      <c r="N25" s="380"/>
      <c r="O25" s="380"/>
      <c r="P25" s="380"/>
      <c r="Q25" s="380"/>
    </row>
    <row r="26" spans="2:18" s="119" customFormat="1" ht="16.2">
      <c r="B26" s="114" t="s">
        <v>210</v>
      </c>
      <c r="C26" s="127">
        <v>42185</v>
      </c>
      <c r="D26" s="115"/>
      <c r="E26" s="121">
        <v>611898174</v>
      </c>
      <c r="F26" s="121">
        <f>28644749+131210640</f>
        <v>159855389</v>
      </c>
      <c r="G26" s="116"/>
      <c r="H26" s="116"/>
      <c r="I26" s="117"/>
      <c r="J26" s="117"/>
      <c r="K26" s="116"/>
      <c r="L26" s="116"/>
      <c r="M26" s="116"/>
      <c r="N26" s="116"/>
      <c r="O26" s="116"/>
      <c r="P26" s="116"/>
      <c r="Q26" s="116"/>
      <c r="R26" s="118"/>
    </row>
    <row r="27" spans="2:18" s="119" customFormat="1">
      <c r="B27" s="119" t="s">
        <v>210</v>
      </c>
      <c r="C27" s="120" t="s">
        <v>237</v>
      </c>
      <c r="E27" s="121">
        <v>34835000</v>
      </c>
      <c r="F27" s="121"/>
      <c r="G27" s="122"/>
      <c r="H27" s="122"/>
      <c r="I27" s="123"/>
      <c r="J27" s="123"/>
      <c r="K27" s="123"/>
      <c r="L27" s="123"/>
      <c r="M27" s="123"/>
      <c r="N27" s="123"/>
      <c r="O27" s="123"/>
      <c r="P27" s="123"/>
    </row>
    <row r="28" spans="2:18" s="119" customFormat="1">
      <c r="B28" s="119" t="s">
        <v>211</v>
      </c>
      <c r="C28" s="120" t="s">
        <v>649</v>
      </c>
      <c r="E28" s="121">
        <v>36955000</v>
      </c>
      <c r="G28" s="122"/>
      <c r="H28" s="122"/>
      <c r="I28" s="123"/>
      <c r="J28" s="123"/>
      <c r="K28" s="123"/>
      <c r="L28" s="123"/>
      <c r="M28" s="123"/>
      <c r="N28" s="123"/>
      <c r="O28" s="123"/>
      <c r="P28" s="123"/>
      <c r="Q28" s="118"/>
    </row>
    <row r="29" spans="2:18" s="119" customFormat="1">
      <c r="B29" s="119" t="s">
        <v>211</v>
      </c>
      <c r="C29" s="120" t="s">
        <v>650</v>
      </c>
      <c r="E29" s="121">
        <v>0</v>
      </c>
      <c r="G29" s="122"/>
      <c r="H29" s="122"/>
      <c r="I29" s="123"/>
      <c r="J29" s="123"/>
      <c r="K29" s="123"/>
      <c r="L29" s="123"/>
      <c r="M29" s="123"/>
      <c r="N29" s="123"/>
      <c r="O29" s="123"/>
      <c r="P29" s="123"/>
    </row>
    <row r="30" spans="2:18" s="119" customFormat="1">
      <c r="B30" s="119" t="s">
        <v>211</v>
      </c>
      <c r="C30" s="120" t="s">
        <v>652</v>
      </c>
      <c r="E30" s="121"/>
      <c r="F30" s="121">
        <f>26246361-474281-4966937</f>
        <v>20805143</v>
      </c>
      <c r="G30" s="122"/>
      <c r="K30" s="123"/>
      <c r="L30" s="123"/>
    </row>
    <row r="31" spans="2:18" s="119" customFormat="1" ht="16.2">
      <c r="B31" s="119" t="s">
        <v>238</v>
      </c>
      <c r="C31" s="120" t="s">
        <v>651</v>
      </c>
      <c r="E31" s="121"/>
      <c r="F31" s="121">
        <v>27313477</v>
      </c>
      <c r="G31" s="122"/>
      <c r="K31" s="124"/>
      <c r="L31" s="124"/>
      <c r="M31" s="124"/>
      <c r="N31" s="124"/>
    </row>
    <row r="32" spans="2:18">
      <c r="C32" s="5" t="s">
        <v>653</v>
      </c>
    </row>
    <row r="33" spans="5:6">
      <c r="E33" s="5" t="s">
        <v>235</v>
      </c>
      <c r="F33" s="358"/>
    </row>
  </sheetData>
  <mergeCells count="3">
    <mergeCell ref="G25:J25"/>
    <mergeCell ref="O25:Q25"/>
    <mergeCell ref="K25:N25"/>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topLeftCell="B1" zoomScale="90" zoomScaleNormal="90" workbookViewId="0">
      <selection activeCell="D12" sqref="D12"/>
    </sheetView>
  </sheetViews>
  <sheetFormatPr defaultColWidth="9.109375" defaultRowHeight="14.4"/>
  <cols>
    <col min="1" max="2" width="9.109375" style="5"/>
    <col min="3" max="3" width="63.6640625" style="60" customWidth="1"/>
    <col min="4" max="4" width="16.109375" style="5" bestFit="1" customWidth="1"/>
    <col min="5" max="5" width="45.33203125" style="60" bestFit="1" customWidth="1"/>
    <col min="6" max="6" width="13.33203125" style="73" bestFit="1" customWidth="1"/>
    <col min="7" max="8" width="12" style="73" bestFit="1" customWidth="1"/>
    <col min="9" max="9" width="12.109375" style="73" bestFit="1" customWidth="1"/>
    <col min="10" max="10" width="9.109375" style="73"/>
    <col min="11" max="11" width="15.44140625" style="86" bestFit="1" customWidth="1"/>
    <col min="12" max="16384" width="9.109375" style="5"/>
  </cols>
  <sheetData>
    <row r="1" spans="2:11">
      <c r="C1" s="41" t="str">
        <f>Coversheet!D3</f>
        <v>Missouri River Energy Services</v>
      </c>
      <c r="E1" s="42"/>
      <c r="K1" s="74"/>
    </row>
    <row r="2" spans="2:11">
      <c r="C2" s="41" t="str">
        <f>Coversheet!D5</f>
        <v>Forecasted 12 Months Ended December 31,</v>
      </c>
      <c r="D2" s="41">
        <f>Coversheet!E5</f>
        <v>2016</v>
      </c>
      <c r="K2" s="75"/>
    </row>
    <row r="3" spans="2:11">
      <c r="C3" s="44"/>
      <c r="E3" s="44"/>
      <c r="K3" s="76"/>
    </row>
    <row r="4" spans="2:11" ht="15.6">
      <c r="C4" s="67" t="s">
        <v>59</v>
      </c>
      <c r="D4" s="67" t="s">
        <v>93</v>
      </c>
      <c r="E4" s="68"/>
      <c r="F4" s="77"/>
      <c r="G4" s="77"/>
      <c r="H4" s="77"/>
      <c r="K4" s="77"/>
    </row>
    <row r="5" spans="2:11">
      <c r="B5" s="8" t="s">
        <v>0</v>
      </c>
      <c r="C5" s="58" t="s">
        <v>110</v>
      </c>
      <c r="E5" s="44"/>
      <c r="F5" s="76"/>
      <c r="G5" s="76"/>
      <c r="H5" s="76"/>
      <c r="K5" s="76"/>
    </row>
    <row r="6" spans="2:11">
      <c r="B6" s="13">
        <v>1</v>
      </c>
      <c r="C6" s="46" t="s">
        <v>111</v>
      </c>
      <c r="D6" s="31">
        <v>616236.81679953006</v>
      </c>
      <c r="E6" s="44"/>
      <c r="F6" s="78"/>
      <c r="G6" s="78"/>
      <c r="H6" s="78"/>
      <c r="I6" s="79"/>
      <c r="J6" s="80"/>
      <c r="K6" s="78"/>
    </row>
    <row r="7" spans="2:11" s="9" customFormat="1">
      <c r="B7" s="13">
        <f t="shared" ref="B7:B38" si="0">B6+1</f>
        <v>2</v>
      </c>
      <c r="C7" s="46" t="s">
        <v>112</v>
      </c>
      <c r="D7" s="31">
        <v>352544.30164997472</v>
      </c>
      <c r="E7" s="44"/>
      <c r="F7" s="50"/>
      <c r="G7" s="78"/>
      <c r="H7" s="50"/>
      <c r="I7" s="79"/>
      <c r="J7" s="80"/>
      <c r="K7" s="50"/>
    </row>
    <row r="8" spans="2:11">
      <c r="B8" s="13">
        <f t="shared" si="0"/>
        <v>3</v>
      </c>
      <c r="C8" s="46" t="s">
        <v>113</v>
      </c>
      <c r="D8" s="31">
        <v>10639.925612194425</v>
      </c>
      <c r="E8" s="44" t="s">
        <v>114</v>
      </c>
      <c r="F8" s="50"/>
      <c r="G8" s="78"/>
      <c r="H8" s="50"/>
      <c r="I8" s="79"/>
      <c r="J8" s="80"/>
      <c r="K8" s="50"/>
    </row>
    <row r="9" spans="2:11">
      <c r="B9" s="13">
        <f t="shared" si="0"/>
        <v>4</v>
      </c>
      <c r="C9" s="46" t="s">
        <v>115</v>
      </c>
      <c r="D9" s="31">
        <v>235925.92282238166</v>
      </c>
      <c r="E9" s="44" t="s">
        <v>114</v>
      </c>
      <c r="F9" s="50"/>
      <c r="G9" s="78"/>
      <c r="H9" s="50"/>
      <c r="I9" s="79"/>
      <c r="J9" s="80"/>
      <c r="K9" s="50"/>
    </row>
    <row r="10" spans="2:11">
      <c r="B10" s="13">
        <f t="shared" si="0"/>
        <v>5</v>
      </c>
      <c r="C10" s="46" t="s">
        <v>116</v>
      </c>
      <c r="D10" s="31">
        <v>0</v>
      </c>
      <c r="E10" s="44" t="s">
        <v>114</v>
      </c>
      <c r="F10" s="50"/>
      <c r="G10" s="78"/>
      <c r="H10" s="50"/>
      <c r="I10" s="79"/>
      <c r="J10" s="80"/>
      <c r="K10" s="50"/>
    </row>
    <row r="11" spans="2:11">
      <c r="B11" s="13">
        <f t="shared" si="0"/>
        <v>6</v>
      </c>
      <c r="C11" s="46" t="s">
        <v>117</v>
      </c>
      <c r="D11" s="31">
        <v>0</v>
      </c>
      <c r="E11" s="44" t="s">
        <v>118</v>
      </c>
      <c r="F11" s="50"/>
      <c r="G11" s="78"/>
      <c r="H11" s="50"/>
      <c r="I11" s="79"/>
      <c r="J11" s="80"/>
      <c r="K11" s="50"/>
    </row>
    <row r="12" spans="2:11">
      <c r="B12" s="13">
        <f t="shared" si="0"/>
        <v>7</v>
      </c>
      <c r="C12" s="46" t="s">
        <v>119</v>
      </c>
      <c r="D12" s="31">
        <v>398870</v>
      </c>
      <c r="E12" s="44"/>
      <c r="F12" s="50"/>
      <c r="G12" s="78"/>
      <c r="H12" s="50"/>
      <c r="I12" s="79"/>
      <c r="J12" s="80"/>
      <c r="K12" s="50"/>
    </row>
    <row r="13" spans="2:11">
      <c r="B13" s="13">
        <f t="shared" si="0"/>
        <v>8</v>
      </c>
      <c r="C13" s="46" t="s">
        <v>120</v>
      </c>
      <c r="D13" s="31">
        <v>99.784664447728815</v>
      </c>
      <c r="E13" s="44"/>
      <c r="F13" s="50"/>
      <c r="G13" s="78"/>
      <c r="H13" s="50"/>
      <c r="I13" s="79"/>
      <c r="J13" s="80"/>
      <c r="K13" s="50"/>
    </row>
    <row r="14" spans="2:11">
      <c r="B14" s="13">
        <f t="shared" si="0"/>
        <v>9</v>
      </c>
      <c r="C14" s="46" t="s">
        <v>121</v>
      </c>
      <c r="D14" s="31">
        <v>12.344494570853049</v>
      </c>
      <c r="E14" s="44"/>
      <c r="F14" s="50"/>
      <c r="G14" s="78"/>
      <c r="H14" s="50"/>
      <c r="I14" s="79"/>
      <c r="J14" s="80"/>
      <c r="K14" s="50"/>
    </row>
    <row r="15" spans="2:11">
      <c r="B15" s="13">
        <f t="shared" si="0"/>
        <v>10</v>
      </c>
      <c r="C15" s="46" t="s">
        <v>122</v>
      </c>
      <c r="D15" s="31">
        <v>0</v>
      </c>
      <c r="E15" s="44" t="s">
        <v>118</v>
      </c>
      <c r="F15" s="50"/>
      <c r="G15" s="78"/>
      <c r="H15" s="50"/>
      <c r="I15" s="79"/>
      <c r="J15" s="80"/>
      <c r="K15" s="50"/>
    </row>
    <row r="16" spans="2:11">
      <c r="B16" s="13">
        <f t="shared" si="0"/>
        <v>11</v>
      </c>
      <c r="C16" s="46" t="s">
        <v>123</v>
      </c>
      <c r="D16" s="31">
        <v>367887.9637287095</v>
      </c>
      <c r="E16" s="44"/>
      <c r="F16" s="50"/>
      <c r="G16" s="78"/>
      <c r="H16" s="50"/>
      <c r="I16" s="79"/>
      <c r="J16" s="80"/>
      <c r="K16" s="50"/>
    </row>
    <row r="17" spans="2:11">
      <c r="B17" s="13">
        <f t="shared" si="0"/>
        <v>12</v>
      </c>
      <c r="C17" s="46" t="s">
        <v>124</v>
      </c>
      <c r="D17" s="31">
        <v>304195.26217311888</v>
      </c>
      <c r="E17" s="44"/>
      <c r="F17" s="50"/>
      <c r="G17" s="78"/>
      <c r="H17" s="50"/>
      <c r="I17" s="79"/>
      <c r="J17" s="80"/>
      <c r="K17" s="50"/>
    </row>
    <row r="18" spans="2:11">
      <c r="B18" s="13">
        <f t="shared" si="0"/>
        <v>13</v>
      </c>
      <c r="C18" s="46" t="s">
        <v>125</v>
      </c>
      <c r="D18" s="31">
        <v>0</v>
      </c>
      <c r="E18" s="44"/>
      <c r="F18" s="50"/>
      <c r="G18" s="78"/>
      <c r="H18" s="50"/>
      <c r="I18" s="79"/>
      <c r="J18" s="80"/>
      <c r="K18" s="50"/>
    </row>
    <row r="19" spans="2:11">
      <c r="B19" s="13">
        <f t="shared" si="0"/>
        <v>14</v>
      </c>
      <c r="C19" s="46" t="s">
        <v>126</v>
      </c>
      <c r="D19" s="31">
        <v>37706077</v>
      </c>
      <c r="E19" s="44" t="s">
        <v>127</v>
      </c>
      <c r="F19" s="50"/>
      <c r="G19" s="78"/>
      <c r="H19" s="50"/>
      <c r="I19" s="50"/>
      <c r="J19" s="80"/>
      <c r="K19" s="50"/>
    </row>
    <row r="20" spans="2:11">
      <c r="B20" s="13">
        <f t="shared" si="0"/>
        <v>15</v>
      </c>
      <c r="C20" s="46" t="s">
        <v>128</v>
      </c>
      <c r="D20" s="31">
        <v>397642.48091344407</v>
      </c>
      <c r="E20" s="44"/>
      <c r="F20" s="50"/>
      <c r="G20" s="78"/>
      <c r="H20" s="50"/>
      <c r="I20" s="79"/>
      <c r="J20" s="80"/>
      <c r="K20" s="50"/>
    </row>
    <row r="21" spans="2:11">
      <c r="B21" s="13">
        <f t="shared" si="0"/>
        <v>16</v>
      </c>
      <c r="C21" s="46" t="s">
        <v>129</v>
      </c>
      <c r="D21" s="31">
        <v>4880.1901870105721</v>
      </c>
      <c r="E21" s="44"/>
      <c r="F21" s="50"/>
      <c r="G21" s="78"/>
      <c r="H21" s="50"/>
      <c r="I21" s="79"/>
      <c r="J21" s="80"/>
      <c r="K21" s="50"/>
    </row>
    <row r="22" spans="2:11">
      <c r="B22" s="13">
        <f t="shared" si="0"/>
        <v>17</v>
      </c>
      <c r="C22" s="58" t="s">
        <v>130</v>
      </c>
      <c r="D22" s="31"/>
      <c r="E22" s="44"/>
      <c r="F22" s="50"/>
      <c r="G22" s="78"/>
      <c r="H22" s="50"/>
      <c r="I22" s="79"/>
      <c r="J22" s="80"/>
      <c r="K22" s="50"/>
    </row>
    <row r="23" spans="2:11">
      <c r="B23" s="13">
        <f t="shared" si="0"/>
        <v>18</v>
      </c>
      <c r="C23" s="46" t="s">
        <v>131</v>
      </c>
      <c r="D23" s="31">
        <v>35680.336243578589</v>
      </c>
      <c r="F23" s="50"/>
      <c r="G23" s="78"/>
      <c r="H23" s="50"/>
      <c r="I23" s="79"/>
      <c r="J23" s="80"/>
      <c r="K23" s="50"/>
    </row>
    <row r="24" spans="2:11">
      <c r="B24" s="13">
        <f t="shared" si="0"/>
        <v>19</v>
      </c>
      <c r="C24" s="46" t="s">
        <v>132</v>
      </c>
      <c r="D24" s="31">
        <v>0</v>
      </c>
      <c r="E24" s="44"/>
      <c r="F24" s="50"/>
      <c r="G24" s="78"/>
      <c r="H24" s="50"/>
      <c r="I24" s="79"/>
      <c r="J24" s="80"/>
      <c r="K24" s="50"/>
    </row>
    <row r="25" spans="2:11">
      <c r="B25" s="13">
        <f t="shared" si="0"/>
        <v>20</v>
      </c>
      <c r="C25" s="46" t="s">
        <v>133</v>
      </c>
      <c r="D25" s="31">
        <v>7081.6250521460333</v>
      </c>
      <c r="E25" s="44"/>
      <c r="F25" s="50"/>
      <c r="G25" s="78"/>
      <c r="H25" s="50"/>
      <c r="I25" s="79"/>
      <c r="J25" s="80"/>
      <c r="K25" s="50"/>
    </row>
    <row r="26" spans="2:11">
      <c r="B26" s="13">
        <f t="shared" si="0"/>
        <v>21</v>
      </c>
      <c r="C26" s="46" t="s">
        <v>134</v>
      </c>
      <c r="D26" s="31">
        <v>95650.287474373952</v>
      </c>
      <c r="E26" s="44"/>
      <c r="F26" s="50"/>
      <c r="G26" s="78"/>
      <c r="H26" s="50"/>
      <c r="I26" s="79"/>
      <c r="J26" s="80"/>
      <c r="K26" s="50"/>
    </row>
    <row r="27" spans="2:11">
      <c r="B27" s="13">
        <f t="shared" si="0"/>
        <v>22</v>
      </c>
      <c r="C27" s="46" t="s">
        <v>135</v>
      </c>
      <c r="D27" s="31">
        <v>11644.973211838043</v>
      </c>
      <c r="E27" s="44"/>
      <c r="F27" s="50"/>
      <c r="G27" s="78"/>
      <c r="H27" s="50"/>
      <c r="I27" s="79"/>
      <c r="J27" s="80"/>
      <c r="K27" s="50"/>
    </row>
    <row r="28" spans="2:11">
      <c r="B28" s="13">
        <f t="shared" si="0"/>
        <v>23</v>
      </c>
      <c r="C28" s="46" t="s">
        <v>136</v>
      </c>
      <c r="D28" s="31">
        <v>0</v>
      </c>
      <c r="E28" s="44"/>
      <c r="F28" s="50"/>
      <c r="G28" s="78"/>
      <c r="H28" s="50"/>
      <c r="I28" s="79"/>
      <c r="J28" s="80"/>
      <c r="K28" s="50"/>
    </row>
    <row r="29" spans="2:11">
      <c r="B29" s="13">
        <f t="shared" si="0"/>
        <v>24</v>
      </c>
      <c r="C29" s="46" t="s">
        <v>137</v>
      </c>
      <c r="D29" s="31">
        <v>339984.75532559981</v>
      </c>
      <c r="E29" s="44"/>
      <c r="F29" s="50"/>
      <c r="G29" s="78"/>
      <c r="H29" s="50"/>
      <c r="I29" s="79"/>
      <c r="J29" s="80"/>
      <c r="K29" s="50"/>
    </row>
    <row r="30" spans="2:11">
      <c r="B30" s="13">
        <f t="shared" si="0"/>
        <v>25</v>
      </c>
      <c r="C30" s="46" t="s">
        <v>138</v>
      </c>
      <c r="D30" s="31">
        <v>405155.30724144506</v>
      </c>
      <c r="E30" s="44"/>
      <c r="F30" s="50"/>
      <c r="G30" s="78"/>
      <c r="H30" s="50"/>
      <c r="I30" s="79"/>
      <c r="J30" s="80"/>
      <c r="K30" s="50"/>
    </row>
    <row r="31" spans="2:11">
      <c r="B31" s="13">
        <f t="shared" si="0"/>
        <v>26</v>
      </c>
      <c r="C31" s="46" t="s">
        <v>139</v>
      </c>
      <c r="D31" s="31">
        <v>0</v>
      </c>
      <c r="E31" s="44"/>
      <c r="F31" s="50"/>
      <c r="G31" s="78"/>
      <c r="H31" s="50"/>
      <c r="I31" s="79"/>
      <c r="J31" s="80"/>
      <c r="K31" s="50"/>
    </row>
    <row r="32" spans="2:11" ht="16.2">
      <c r="B32" s="13">
        <f t="shared" si="0"/>
        <v>27</v>
      </c>
      <c r="C32" s="46" t="s">
        <v>140</v>
      </c>
      <c r="D32" s="72">
        <v>364368.90150731831</v>
      </c>
      <c r="E32" s="44"/>
      <c r="F32" s="81"/>
      <c r="G32" s="78"/>
      <c r="H32" s="81"/>
      <c r="I32" s="79"/>
      <c r="J32" s="80"/>
      <c r="K32" s="81"/>
    </row>
    <row r="33" spans="2:11">
      <c r="B33" s="13">
        <f t="shared" si="0"/>
        <v>28</v>
      </c>
      <c r="C33" s="44"/>
      <c r="E33" s="44"/>
      <c r="F33" s="61"/>
      <c r="G33" s="61"/>
      <c r="H33" s="61"/>
      <c r="K33" s="61"/>
    </row>
    <row r="34" spans="2:11" ht="16.2">
      <c r="B34" s="13">
        <f t="shared" si="0"/>
        <v>29</v>
      </c>
      <c r="C34" s="63" t="s">
        <v>91</v>
      </c>
      <c r="D34" s="124">
        <f>SUM(D6:D33)</f>
        <v>41654578.179101683</v>
      </c>
      <c r="E34" s="44" t="s">
        <v>141</v>
      </c>
      <c r="F34" s="124"/>
      <c r="G34" s="61"/>
      <c r="H34" s="61"/>
      <c r="K34" s="61"/>
    </row>
    <row r="35" spans="2:11">
      <c r="B35" s="13">
        <f t="shared" si="0"/>
        <v>30</v>
      </c>
      <c r="C35" s="46"/>
      <c r="E35" s="44"/>
      <c r="F35" s="61"/>
      <c r="G35" s="61"/>
      <c r="H35" s="61"/>
      <c r="K35" s="61"/>
    </row>
    <row r="36" spans="2:11" ht="16.2">
      <c r="B36" s="13">
        <f t="shared" si="0"/>
        <v>31</v>
      </c>
      <c r="C36" s="64" t="s">
        <v>144</v>
      </c>
      <c r="D36" s="34">
        <f>38199236+4030726-2301535*0.25</f>
        <v>41654578.25</v>
      </c>
      <c r="E36" s="44"/>
      <c r="F36" s="82"/>
      <c r="G36" s="82"/>
      <c r="H36" s="82"/>
      <c r="K36" s="82"/>
    </row>
    <row r="37" spans="2:11">
      <c r="B37" s="13">
        <f t="shared" si="0"/>
        <v>32</v>
      </c>
      <c r="C37" s="53"/>
      <c r="D37" s="21"/>
      <c r="E37" s="44"/>
      <c r="F37" s="83"/>
      <c r="G37" s="83"/>
      <c r="H37" s="83"/>
      <c r="K37" s="83"/>
    </row>
    <row r="38" spans="2:11" ht="16.2">
      <c r="B38" s="13">
        <f t="shared" si="0"/>
        <v>33</v>
      </c>
      <c r="C38" s="53" t="s">
        <v>109</v>
      </c>
      <c r="D38" s="40">
        <f>D34-D36</f>
        <v>-7.089831680059433E-2</v>
      </c>
      <c r="E38" s="44"/>
      <c r="F38" s="84"/>
      <c r="G38" s="85"/>
      <c r="H38" s="84"/>
      <c r="K38" s="85"/>
    </row>
    <row r="39" spans="2:11" ht="16.2">
      <c r="B39" s="13">
        <f t="shared" ref="B39:B40" si="1">B38+1</f>
        <v>34</v>
      </c>
      <c r="C39" s="53"/>
      <c r="D39" s="40"/>
      <c r="E39" s="44"/>
      <c r="F39" s="84"/>
      <c r="G39" s="85"/>
      <c r="H39" s="84"/>
      <c r="K39" s="85"/>
    </row>
    <row r="40" spans="2:11" ht="16.2">
      <c r="B40" s="13">
        <f t="shared" si="1"/>
        <v>35</v>
      </c>
      <c r="C40" s="25" t="s">
        <v>58</v>
      </c>
      <c r="D40" s="91">
        <v>0</v>
      </c>
      <c r="E40" s="44" t="s">
        <v>118</v>
      </c>
      <c r="K40" s="73"/>
    </row>
    <row r="41" spans="2:11">
      <c r="B41" s="13"/>
      <c r="C41" s="28"/>
      <c r="D41" s="33"/>
      <c r="E41" s="90"/>
      <c r="K41" s="73"/>
    </row>
    <row r="43" spans="2:11">
      <c r="C43" s="104" t="s">
        <v>655</v>
      </c>
    </row>
    <row r="44" spans="2:11">
      <c r="D44" s="119" t="s">
        <v>234</v>
      </c>
    </row>
    <row r="45" spans="2:11">
      <c r="C45" s="62"/>
      <c r="E45" s="52"/>
      <c r="F45" s="80"/>
      <c r="G45" s="79"/>
      <c r="K45" s="87"/>
    </row>
    <row r="46" spans="2:11">
      <c r="C46" s="46"/>
      <c r="E46" s="52"/>
      <c r="F46" s="80"/>
      <c r="G46" s="79"/>
      <c r="K46" s="87"/>
    </row>
    <row r="47" spans="2:11">
      <c r="C47" s="58"/>
      <c r="E47" s="52"/>
      <c r="F47" s="80"/>
      <c r="G47" s="79"/>
      <c r="K47" s="87"/>
    </row>
    <row r="48" spans="2:11">
      <c r="C48" s="46"/>
      <c r="E48" s="52"/>
      <c r="F48" s="80"/>
      <c r="G48" s="79"/>
      <c r="K48" s="87"/>
    </row>
    <row r="49" spans="3:11">
      <c r="C49" s="59"/>
      <c r="E49" s="52"/>
      <c r="F49" s="80"/>
      <c r="G49" s="79"/>
      <c r="K49" s="88"/>
    </row>
    <row r="50" spans="3:11">
      <c r="C50" s="56"/>
      <c r="E50" s="52"/>
      <c r="F50" s="80"/>
      <c r="G50" s="79"/>
      <c r="K50" s="87"/>
    </row>
    <row r="51" spans="3:11">
      <c r="C51" s="46"/>
      <c r="E51" s="44"/>
      <c r="F51" s="80"/>
      <c r="K51" s="76"/>
    </row>
    <row r="52" spans="3:11">
      <c r="C52" s="46"/>
      <c r="E52" s="52"/>
      <c r="G52" s="50"/>
      <c r="K52" s="76"/>
    </row>
    <row r="53" spans="3:11">
      <c r="C53" s="46"/>
      <c r="E53" s="44"/>
      <c r="K53" s="76"/>
    </row>
    <row r="54" spans="3:11">
      <c r="C54" s="46"/>
      <c r="E54" s="44"/>
      <c r="K54" s="76"/>
    </row>
  </sheetData>
  <printOptions horizontalCentered="1" verticalCentered="1"/>
  <pageMargins left="0.45" right="0.45" top="0.5" bottom="0.25" header="0.3" footer="0.3"/>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topLeftCell="A4" zoomScale="90" zoomScaleNormal="90" workbookViewId="0">
      <selection activeCell="E31" sqref="E31"/>
    </sheetView>
  </sheetViews>
  <sheetFormatPr defaultColWidth="9.109375" defaultRowHeight="14.4"/>
  <cols>
    <col min="1" max="2" width="9.109375" style="5"/>
    <col min="3" max="3" width="57.6640625" style="5" customWidth="1"/>
    <col min="4" max="4" width="11.5546875" style="5" bestFit="1" customWidth="1"/>
    <col min="5" max="5" width="17.6640625" style="5" bestFit="1" customWidth="1"/>
    <col min="6" max="6" width="9.109375" style="5"/>
    <col min="7" max="7" width="10.88671875" style="5" customWidth="1"/>
    <col min="8" max="8" width="10.5546875" style="5" bestFit="1" customWidth="1"/>
    <col min="9" max="16384" width="9.109375" style="5"/>
  </cols>
  <sheetData>
    <row r="3" spans="2:5" ht="15.6">
      <c r="B3" s="381" t="s">
        <v>4</v>
      </c>
      <c r="C3" s="381"/>
      <c r="D3" s="4"/>
      <c r="E3" s="4"/>
    </row>
    <row r="4" spans="2:5" ht="15.6">
      <c r="B4" s="6">
        <f>Coversheet!E5</f>
        <v>2016</v>
      </c>
      <c r="C4" s="89" t="s">
        <v>143</v>
      </c>
      <c r="D4" s="4"/>
      <c r="E4" s="4"/>
    </row>
    <row r="5" spans="2:5" ht="15.6">
      <c r="B5" s="381" t="s">
        <v>7</v>
      </c>
      <c r="C5" s="381"/>
      <c r="D5" s="7">
        <f>Coversheet!E5</f>
        <v>2016</v>
      </c>
    </row>
    <row r="6" spans="2:5" ht="15.6">
      <c r="B6" s="4"/>
      <c r="C6" s="4"/>
      <c r="D6" s="4"/>
      <c r="E6" s="7"/>
    </row>
    <row r="7" spans="2:5" s="9" customFormat="1" ht="35.25" customHeight="1">
      <c r="B7" s="8" t="s">
        <v>0</v>
      </c>
      <c r="C7" s="8" t="s">
        <v>92</v>
      </c>
      <c r="D7" s="8" t="s">
        <v>2</v>
      </c>
      <c r="E7" s="8" t="s">
        <v>77</v>
      </c>
    </row>
    <row r="8" spans="2:5">
      <c r="B8" s="13">
        <v>1</v>
      </c>
      <c r="C8" s="46" t="s">
        <v>95</v>
      </c>
      <c r="D8" s="45"/>
      <c r="E8" s="47">
        <v>2792612</v>
      </c>
    </row>
    <row r="9" spans="2:5">
      <c r="B9" s="13">
        <f>B8+1</f>
        <v>2</v>
      </c>
      <c r="C9" s="46" t="s">
        <v>96</v>
      </c>
      <c r="D9" s="45"/>
      <c r="E9" s="48">
        <v>1818092</v>
      </c>
    </row>
    <row r="10" spans="2:5">
      <c r="B10" s="13">
        <f t="shared" ref="B10:B31" si="0">B9+1</f>
        <v>3</v>
      </c>
      <c r="C10" s="46" t="s">
        <v>97</v>
      </c>
      <c r="D10" s="45"/>
      <c r="E10" s="48">
        <v>-1308935</v>
      </c>
    </row>
    <row r="11" spans="2:5">
      <c r="B11" s="13">
        <f t="shared" si="0"/>
        <v>4</v>
      </c>
      <c r="C11" s="46" t="s">
        <v>98</v>
      </c>
      <c r="D11" s="45"/>
      <c r="E11" s="48">
        <f>769650+2919494</f>
        <v>3689144</v>
      </c>
    </row>
    <row r="12" spans="2:5">
      <c r="B12" s="13">
        <f t="shared" si="0"/>
        <v>5</v>
      </c>
      <c r="C12" s="46" t="s">
        <v>99</v>
      </c>
      <c r="D12" s="45"/>
      <c r="E12" s="48">
        <v>512699</v>
      </c>
    </row>
    <row r="13" spans="2:5">
      <c r="B13" s="13">
        <f t="shared" si="0"/>
        <v>6</v>
      </c>
      <c r="C13" s="46" t="s">
        <v>100</v>
      </c>
      <c r="D13" s="45"/>
      <c r="E13" s="65">
        <v>512699</v>
      </c>
    </row>
    <row r="14" spans="2:5">
      <c r="B14" s="13">
        <f t="shared" si="0"/>
        <v>7</v>
      </c>
      <c r="C14" s="46" t="s">
        <v>101</v>
      </c>
      <c r="D14" s="45"/>
      <c r="E14" s="48">
        <v>2272489</v>
      </c>
    </row>
    <row r="15" spans="2:5">
      <c r="B15" s="13">
        <f t="shared" si="0"/>
        <v>8</v>
      </c>
      <c r="C15" s="46" t="s">
        <v>102</v>
      </c>
      <c r="D15" s="45"/>
      <c r="E15" s="48">
        <v>0</v>
      </c>
    </row>
    <row r="16" spans="2:5">
      <c r="B16" s="13">
        <f t="shared" si="0"/>
        <v>9</v>
      </c>
      <c r="C16" s="46" t="s">
        <v>103</v>
      </c>
      <c r="D16" s="45"/>
      <c r="E16" s="48">
        <v>395000</v>
      </c>
    </row>
    <row r="17" spans="2:9">
      <c r="B17" s="13">
        <f t="shared" si="0"/>
        <v>10</v>
      </c>
      <c r="C17" s="46" t="s">
        <v>104</v>
      </c>
      <c r="D17" s="45"/>
      <c r="E17" s="48"/>
    </row>
    <row r="18" spans="2:9">
      <c r="B18" s="13">
        <f t="shared" si="0"/>
        <v>11</v>
      </c>
      <c r="C18" s="46" t="s">
        <v>105</v>
      </c>
      <c r="D18" s="45"/>
      <c r="E18" s="49">
        <v>141000</v>
      </c>
    </row>
    <row r="19" spans="2:9">
      <c r="B19" s="13">
        <f t="shared" si="0"/>
        <v>12</v>
      </c>
      <c r="C19" s="46" t="s">
        <v>106</v>
      </c>
      <c r="D19" s="44"/>
      <c r="E19" s="49">
        <v>350000</v>
      </c>
    </row>
    <row r="20" spans="2:9">
      <c r="B20" s="13">
        <f t="shared" si="0"/>
        <v>13</v>
      </c>
      <c r="C20" s="46" t="s">
        <v>107</v>
      </c>
      <c r="D20" s="44"/>
      <c r="E20" s="50"/>
    </row>
    <row r="21" spans="2:9">
      <c r="B21" s="13">
        <f t="shared" si="0"/>
        <v>14</v>
      </c>
      <c r="C21" s="46" t="s">
        <v>108</v>
      </c>
      <c r="D21" s="44"/>
      <c r="E21" s="51">
        <v>215000</v>
      </c>
      <c r="H21" s="31"/>
    </row>
    <row r="22" spans="2:9">
      <c r="B22" s="13">
        <f t="shared" si="0"/>
        <v>15</v>
      </c>
      <c r="C22" s="43" t="s">
        <v>94</v>
      </c>
      <c r="D22" s="44"/>
      <c r="E22" s="93">
        <f>SUM(E8:E21)</f>
        <v>11389800</v>
      </c>
      <c r="F22" s="44" t="s">
        <v>156</v>
      </c>
    </row>
    <row r="23" spans="2:9">
      <c r="B23" s="13">
        <f t="shared" si="0"/>
        <v>16</v>
      </c>
      <c r="C23" s="44"/>
      <c r="D23" s="44"/>
      <c r="E23" s="52"/>
    </row>
    <row r="24" spans="2:9">
      <c r="B24" s="13">
        <f t="shared" si="0"/>
        <v>17</v>
      </c>
      <c r="C24" s="64" t="s">
        <v>142</v>
      </c>
      <c r="D24" s="44"/>
      <c r="E24" s="54">
        <f>7957607+3432193</f>
        <v>11389800</v>
      </c>
    </row>
    <row r="25" spans="2:9">
      <c r="B25" s="13">
        <f t="shared" si="0"/>
        <v>18</v>
      </c>
      <c r="C25" s="53"/>
      <c r="D25" s="44"/>
      <c r="E25" s="55"/>
    </row>
    <row r="26" spans="2:9">
      <c r="B26" s="13">
        <f t="shared" si="0"/>
        <v>19</v>
      </c>
      <c r="C26" s="53" t="s">
        <v>109</v>
      </c>
      <c r="D26" s="44"/>
      <c r="E26" s="66">
        <f>E24-E22</f>
        <v>0</v>
      </c>
    </row>
    <row r="27" spans="2:9">
      <c r="B27" s="13">
        <f t="shared" si="0"/>
        <v>20</v>
      </c>
      <c r="C27" s="53"/>
      <c r="D27" s="44"/>
      <c r="E27" s="66"/>
    </row>
    <row r="28" spans="2:9" ht="15.6">
      <c r="B28" s="13">
        <f t="shared" si="0"/>
        <v>21</v>
      </c>
      <c r="C28" s="67" t="s">
        <v>208</v>
      </c>
      <c r="D28" s="57"/>
      <c r="E28" s="56"/>
    </row>
    <row r="29" spans="2:9">
      <c r="B29" s="13">
        <f t="shared" si="0"/>
        <v>22</v>
      </c>
      <c r="C29" s="25" t="s">
        <v>60</v>
      </c>
      <c r="D29" s="13"/>
      <c r="E29" s="11">
        <v>0</v>
      </c>
      <c r="F29" s="44" t="s">
        <v>159</v>
      </c>
      <c r="I29" s="44"/>
    </row>
    <row r="30" spans="2:9">
      <c r="B30" s="13">
        <f t="shared" si="0"/>
        <v>23</v>
      </c>
      <c r="C30" s="25" t="s">
        <v>61</v>
      </c>
      <c r="E30" s="11">
        <f>E18+E16</f>
        <v>536000</v>
      </c>
      <c r="F30" s="44" t="s">
        <v>158</v>
      </c>
    </row>
    <row r="31" spans="2:9">
      <c r="B31" s="13">
        <f t="shared" si="0"/>
        <v>24</v>
      </c>
      <c r="C31" s="25" t="s">
        <v>62</v>
      </c>
      <c r="E31" s="11">
        <v>50000</v>
      </c>
      <c r="F31" s="44" t="s">
        <v>157</v>
      </c>
    </row>
    <row r="34" spans="3:5">
      <c r="C34" s="104" t="s">
        <v>655</v>
      </c>
      <c r="E34" s="5" t="s">
        <v>234</v>
      </c>
    </row>
  </sheetData>
  <mergeCells count="2">
    <mergeCell ref="B3:C3"/>
    <mergeCell ref="B5:C5"/>
  </mergeCells>
  <printOptions horizontalCentered="1" verticalCentered="1"/>
  <pageMargins left="0.2" right="0.2" top="0.5" bottom="0.5" header="0.3" footer="0.3"/>
  <pageSetup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7"/>
  <sheetViews>
    <sheetView showGridLines="0" topLeftCell="A23" zoomScale="90" zoomScaleNormal="90" workbookViewId="0">
      <selection activeCell="E21" sqref="E21:E24"/>
    </sheetView>
  </sheetViews>
  <sheetFormatPr defaultColWidth="9.109375" defaultRowHeight="14.4"/>
  <cols>
    <col min="1" max="2" width="9.109375" style="5"/>
    <col min="3" max="3" width="79.33203125" style="5" bestFit="1" customWidth="1"/>
    <col min="4" max="4" width="8" style="5" customWidth="1"/>
    <col min="5" max="5" width="19.88671875" style="5" customWidth="1"/>
    <col min="6" max="6" width="21.44140625" style="5" bestFit="1" customWidth="1"/>
    <col min="7" max="7" width="33.6640625" style="5" customWidth="1"/>
    <col min="8" max="16384" width="9.109375" style="5"/>
  </cols>
  <sheetData>
    <row r="3" spans="2:6" ht="15.6">
      <c r="B3" s="381" t="s">
        <v>4</v>
      </c>
      <c r="C3" s="381"/>
      <c r="D3" s="381"/>
      <c r="E3" s="4"/>
    </row>
    <row r="4" spans="2:6" ht="15.6">
      <c r="B4" s="6"/>
      <c r="C4" s="89" t="s">
        <v>181</v>
      </c>
      <c r="D4" s="4"/>
      <c r="E4" s="4"/>
    </row>
    <row r="5" spans="2:6" ht="15.6">
      <c r="B5" s="381" t="s">
        <v>7</v>
      </c>
      <c r="C5" s="381"/>
      <c r="D5" s="7">
        <f>Coversheet!E5</f>
        <v>2016</v>
      </c>
    </row>
    <row r="6" spans="2:6" ht="15.6">
      <c r="B6" s="4"/>
      <c r="C6" s="4"/>
      <c r="D6" s="4"/>
      <c r="E6" s="7"/>
    </row>
    <row r="7" spans="2:6" s="9" customFormat="1" ht="35.25" customHeight="1">
      <c r="B7" s="8" t="s">
        <v>0</v>
      </c>
      <c r="C7" s="8" t="s">
        <v>57</v>
      </c>
      <c r="D7" s="8" t="s">
        <v>2</v>
      </c>
      <c r="E7" s="8" t="s">
        <v>187</v>
      </c>
    </row>
    <row r="8" spans="2:6">
      <c r="B8" s="13">
        <v>1</v>
      </c>
      <c r="C8" s="25" t="s">
        <v>60</v>
      </c>
      <c r="D8" s="13">
        <f t="shared" ref="D8:D36" si="0">$D$5</f>
        <v>2016</v>
      </c>
      <c r="E8" s="11">
        <v>0</v>
      </c>
      <c r="F8" s="44" t="s">
        <v>159</v>
      </c>
    </row>
    <row r="9" spans="2:6">
      <c r="B9" s="13">
        <f>B8+1</f>
        <v>2</v>
      </c>
      <c r="C9" s="25" t="s">
        <v>63</v>
      </c>
      <c r="D9" s="13">
        <f t="shared" si="0"/>
        <v>2016</v>
      </c>
      <c r="E9" s="11">
        <v>0</v>
      </c>
      <c r="F9" s="44" t="s">
        <v>168</v>
      </c>
    </row>
    <row r="10" spans="2:6">
      <c r="B10" s="13">
        <f t="shared" ref="B10:B41" si="1">B9+1</f>
        <v>3</v>
      </c>
      <c r="C10" s="25" t="s">
        <v>64</v>
      </c>
      <c r="D10" s="13">
        <f t="shared" si="0"/>
        <v>2016</v>
      </c>
      <c r="E10" s="11">
        <v>0</v>
      </c>
      <c r="F10" s="44" t="s">
        <v>169</v>
      </c>
    </row>
    <row r="11" spans="2:6">
      <c r="B11" s="13">
        <f t="shared" si="1"/>
        <v>4</v>
      </c>
      <c r="C11" s="25" t="s">
        <v>65</v>
      </c>
      <c r="D11" s="13">
        <f t="shared" si="0"/>
        <v>2016</v>
      </c>
      <c r="E11" s="33">
        <f>SUM(Plant!S69:S75)</f>
        <v>3475284.7969499999</v>
      </c>
      <c r="F11" s="44" t="s">
        <v>170</v>
      </c>
    </row>
    <row r="12" spans="2:6">
      <c r="B12" s="13">
        <f t="shared" si="1"/>
        <v>5</v>
      </c>
      <c r="C12" s="25" t="s">
        <v>66</v>
      </c>
      <c r="D12" s="13">
        <f t="shared" si="0"/>
        <v>2016</v>
      </c>
      <c r="E12" s="11">
        <f>Plant!S76+Plant!S77+Plant!S78+Plant!S79</f>
        <v>933328.29399999988</v>
      </c>
      <c r="F12" s="44" t="s">
        <v>171</v>
      </c>
    </row>
    <row r="13" spans="2:6">
      <c r="B13" s="13">
        <f t="shared" si="1"/>
        <v>6</v>
      </c>
      <c r="C13" s="25" t="s">
        <v>67</v>
      </c>
      <c r="D13" s="13">
        <f t="shared" si="0"/>
        <v>2016</v>
      </c>
      <c r="E13" s="11">
        <v>0</v>
      </c>
      <c r="F13" s="44" t="s">
        <v>172</v>
      </c>
    </row>
    <row r="14" spans="2:6">
      <c r="B14" s="13">
        <f t="shared" si="1"/>
        <v>7</v>
      </c>
      <c r="C14" s="25" t="s">
        <v>68</v>
      </c>
      <c r="D14" s="13">
        <f t="shared" si="0"/>
        <v>2016</v>
      </c>
      <c r="E14" s="11">
        <v>0</v>
      </c>
      <c r="F14" s="44" t="s">
        <v>173</v>
      </c>
    </row>
    <row r="15" spans="2:6">
      <c r="B15" s="13">
        <f t="shared" si="1"/>
        <v>8</v>
      </c>
      <c r="C15" s="25" t="s">
        <v>69</v>
      </c>
      <c r="D15" s="13">
        <f t="shared" si="0"/>
        <v>2016</v>
      </c>
      <c r="E15" s="11">
        <v>0</v>
      </c>
      <c r="F15" s="44" t="s">
        <v>174</v>
      </c>
    </row>
    <row r="16" spans="2:6">
      <c r="B16" s="13">
        <f t="shared" si="1"/>
        <v>9</v>
      </c>
      <c r="C16" s="25" t="s">
        <v>70</v>
      </c>
      <c r="D16" s="13">
        <f t="shared" si="0"/>
        <v>2016</v>
      </c>
      <c r="E16" s="33">
        <v>3501440</v>
      </c>
      <c r="F16" s="44" t="s">
        <v>175</v>
      </c>
    </row>
    <row r="17" spans="2:7">
      <c r="B17" s="13">
        <f t="shared" si="1"/>
        <v>10</v>
      </c>
      <c r="C17" s="25" t="s">
        <v>71</v>
      </c>
      <c r="D17" s="13">
        <f t="shared" si="0"/>
        <v>2016</v>
      </c>
      <c r="E17" s="11">
        <v>0</v>
      </c>
      <c r="F17" s="44" t="s">
        <v>176</v>
      </c>
    </row>
    <row r="18" spans="2:7">
      <c r="B18" s="13">
        <f t="shared" si="1"/>
        <v>11</v>
      </c>
      <c r="C18" s="25" t="s">
        <v>72</v>
      </c>
      <c r="D18" s="13">
        <f t="shared" si="0"/>
        <v>2016</v>
      </c>
      <c r="E18" s="11">
        <v>0</v>
      </c>
      <c r="F18" s="44" t="s">
        <v>177</v>
      </c>
    </row>
    <row r="19" spans="2:7">
      <c r="B19" s="13">
        <f t="shared" si="1"/>
        <v>12</v>
      </c>
      <c r="C19" s="25" t="s">
        <v>73</v>
      </c>
      <c r="D19" s="13">
        <f t="shared" si="0"/>
        <v>2016</v>
      </c>
      <c r="E19" s="11">
        <v>0</v>
      </c>
      <c r="F19" s="44" t="s">
        <v>178</v>
      </c>
    </row>
    <row r="20" spans="2:7">
      <c r="B20" s="13">
        <f t="shared" si="1"/>
        <v>13</v>
      </c>
      <c r="C20" s="25"/>
      <c r="D20" s="13"/>
      <c r="E20" s="11"/>
      <c r="F20" s="44"/>
    </row>
    <row r="21" spans="2:7">
      <c r="B21" s="13">
        <f>B19+1</f>
        <v>13</v>
      </c>
      <c r="C21" s="25" t="s">
        <v>148</v>
      </c>
      <c r="D21" s="13">
        <f t="shared" si="0"/>
        <v>2016</v>
      </c>
      <c r="E21" s="11">
        <v>28620301</v>
      </c>
      <c r="F21" s="44" t="s">
        <v>179</v>
      </c>
    </row>
    <row r="22" spans="2:7">
      <c r="B22" s="13">
        <f t="shared" si="1"/>
        <v>14</v>
      </c>
      <c r="C22" s="25" t="s">
        <v>149</v>
      </c>
      <c r="D22" s="13">
        <f t="shared" si="0"/>
        <v>2016</v>
      </c>
      <c r="E22" s="11">
        <v>315966</v>
      </c>
      <c r="F22" s="44" t="s">
        <v>179</v>
      </c>
    </row>
    <row r="23" spans="2:7">
      <c r="B23" s="13">
        <f t="shared" si="1"/>
        <v>15</v>
      </c>
      <c r="C23" s="25" t="s">
        <v>150</v>
      </c>
      <c r="D23" s="13">
        <f t="shared" si="0"/>
        <v>2016</v>
      </c>
      <c r="E23" s="11">
        <v>771146</v>
      </c>
      <c r="F23" s="44" t="s">
        <v>179</v>
      </c>
    </row>
    <row r="24" spans="2:7">
      <c r="B24" s="13">
        <f t="shared" si="1"/>
        <v>16</v>
      </c>
      <c r="C24" s="25" t="s">
        <v>151</v>
      </c>
      <c r="D24" s="13">
        <f t="shared" si="0"/>
        <v>2016</v>
      </c>
      <c r="E24" s="11">
        <v>-2526571</v>
      </c>
      <c r="F24" s="44" t="s">
        <v>179</v>
      </c>
    </row>
    <row r="25" spans="2:7">
      <c r="B25" s="13">
        <f t="shared" si="1"/>
        <v>17</v>
      </c>
      <c r="C25" s="25" t="s">
        <v>152</v>
      </c>
      <c r="D25" s="13">
        <f t="shared" si="0"/>
        <v>2016</v>
      </c>
      <c r="E25" s="11">
        <v>0</v>
      </c>
      <c r="F25" s="44" t="s">
        <v>179</v>
      </c>
    </row>
    <row r="26" spans="2:7">
      <c r="B26" s="13">
        <f t="shared" si="1"/>
        <v>18</v>
      </c>
      <c r="C26" s="25" t="s">
        <v>153</v>
      </c>
      <c r="D26" s="13">
        <f t="shared" si="0"/>
        <v>2016</v>
      </c>
      <c r="E26" s="11">
        <v>0</v>
      </c>
      <c r="F26" s="44" t="s">
        <v>179</v>
      </c>
    </row>
    <row r="27" spans="2:7" ht="16.2">
      <c r="B27" s="13">
        <f t="shared" si="1"/>
        <v>19</v>
      </c>
      <c r="C27" s="25" t="s">
        <v>154</v>
      </c>
      <c r="D27" s="13">
        <f t="shared" si="0"/>
        <v>2016</v>
      </c>
      <c r="E27" s="94">
        <v>0</v>
      </c>
      <c r="F27" s="44" t="s">
        <v>179</v>
      </c>
    </row>
    <row r="28" spans="2:7" ht="16.2">
      <c r="B28" s="13">
        <f t="shared" si="1"/>
        <v>20</v>
      </c>
      <c r="C28" s="13" t="s">
        <v>188</v>
      </c>
      <c r="D28" s="13"/>
      <c r="E28" s="91">
        <f>SUM(E21:E27)</f>
        <v>27180842</v>
      </c>
      <c r="F28" s="44"/>
    </row>
    <row r="29" spans="2:7">
      <c r="B29" s="13">
        <f t="shared" si="1"/>
        <v>21</v>
      </c>
      <c r="C29" s="25"/>
      <c r="D29" s="13"/>
      <c r="E29" s="11"/>
      <c r="F29" s="44"/>
    </row>
    <row r="30" spans="2:7">
      <c r="B30" s="13">
        <f>B27+1</f>
        <v>20</v>
      </c>
      <c r="C30" s="25" t="s">
        <v>155</v>
      </c>
      <c r="D30" s="13">
        <f t="shared" si="0"/>
        <v>2016</v>
      </c>
      <c r="E30" s="11">
        <v>7919</v>
      </c>
      <c r="F30" s="44" t="s">
        <v>180</v>
      </c>
    </row>
    <row r="31" spans="2:7">
      <c r="B31" s="13">
        <f t="shared" si="1"/>
        <v>21</v>
      </c>
      <c r="C31" s="25" t="s">
        <v>182</v>
      </c>
      <c r="D31" s="13"/>
      <c r="E31" s="11"/>
      <c r="F31" s="44"/>
    </row>
    <row r="32" spans="2:7">
      <c r="B32" s="13">
        <f t="shared" si="1"/>
        <v>22</v>
      </c>
      <c r="C32" s="25" t="s">
        <v>183</v>
      </c>
      <c r="D32" s="13">
        <f t="shared" si="0"/>
        <v>2016</v>
      </c>
      <c r="E32" s="11">
        <v>45911078</v>
      </c>
      <c r="F32" s="44" t="s">
        <v>160</v>
      </c>
      <c r="G32" s="119" t="s">
        <v>654</v>
      </c>
    </row>
    <row r="33" spans="2:7">
      <c r="B33" s="13">
        <f t="shared" si="1"/>
        <v>23</v>
      </c>
      <c r="C33" s="25" t="s">
        <v>184</v>
      </c>
      <c r="D33" s="13">
        <f t="shared" si="0"/>
        <v>2016</v>
      </c>
      <c r="E33" s="11">
        <f>E32-E34-E35</f>
        <v>31756299</v>
      </c>
      <c r="F33" s="44" t="s">
        <v>161</v>
      </c>
      <c r="G33" s="119"/>
    </row>
    <row r="34" spans="2:7">
      <c r="B34" s="13">
        <f t="shared" si="1"/>
        <v>24</v>
      </c>
      <c r="C34" s="25" t="s">
        <v>185</v>
      </c>
      <c r="D34" s="13">
        <f t="shared" si="0"/>
        <v>2016</v>
      </c>
      <c r="E34" s="11">
        <v>9778617</v>
      </c>
      <c r="F34" s="44" t="s">
        <v>162</v>
      </c>
      <c r="G34" s="119"/>
    </row>
    <row r="35" spans="2:7">
      <c r="B35" s="13">
        <f t="shared" si="1"/>
        <v>25</v>
      </c>
      <c r="C35" s="25" t="s">
        <v>186</v>
      </c>
      <c r="D35" s="13">
        <f t="shared" si="0"/>
        <v>2016</v>
      </c>
      <c r="E35" s="11">
        <v>4376162</v>
      </c>
      <c r="F35" s="44" t="s">
        <v>163</v>
      </c>
      <c r="G35" s="119"/>
    </row>
    <row r="36" spans="2:7">
      <c r="B36" s="13">
        <f t="shared" si="1"/>
        <v>26</v>
      </c>
      <c r="C36" s="25" t="s">
        <v>233</v>
      </c>
      <c r="D36" s="13">
        <f t="shared" si="0"/>
        <v>2016</v>
      </c>
      <c r="E36" s="11">
        <v>0</v>
      </c>
      <c r="F36" s="44"/>
      <c r="G36" s="119"/>
    </row>
    <row r="37" spans="2:7">
      <c r="B37" s="13">
        <f t="shared" si="1"/>
        <v>27</v>
      </c>
      <c r="C37" s="18" t="s">
        <v>74</v>
      </c>
      <c r="D37" s="13"/>
      <c r="E37" s="21"/>
    </row>
    <row r="38" spans="2:7">
      <c r="B38" s="13">
        <f t="shared" si="1"/>
        <v>28</v>
      </c>
      <c r="C38" s="27" t="s">
        <v>75</v>
      </c>
      <c r="D38" s="13">
        <f>$D$5</f>
        <v>2016</v>
      </c>
      <c r="E38" s="11">
        <v>2441323.0359999998</v>
      </c>
      <c r="F38" s="44" t="s">
        <v>164</v>
      </c>
      <c r="G38" s="21"/>
    </row>
    <row r="39" spans="2:7">
      <c r="B39" s="13">
        <f t="shared" si="1"/>
        <v>29</v>
      </c>
      <c r="C39" s="27" t="s">
        <v>24</v>
      </c>
      <c r="D39" s="13">
        <f>$D$5</f>
        <v>2016</v>
      </c>
      <c r="E39" s="11">
        <v>482329.9499999999</v>
      </c>
      <c r="F39" s="44" t="s">
        <v>165</v>
      </c>
      <c r="G39" s="21"/>
    </row>
    <row r="40" spans="2:7">
      <c r="B40" s="13">
        <f t="shared" si="1"/>
        <v>30</v>
      </c>
      <c r="C40" s="27" t="s">
        <v>25</v>
      </c>
      <c r="D40" s="13">
        <f>$D$5</f>
        <v>2016</v>
      </c>
      <c r="E40" s="11">
        <v>0</v>
      </c>
      <c r="F40" s="44" t="s">
        <v>166</v>
      </c>
      <c r="G40" s="21"/>
    </row>
    <row r="41" spans="2:7">
      <c r="B41" s="13">
        <f t="shared" si="1"/>
        <v>31</v>
      </c>
      <c r="C41" s="27" t="s">
        <v>76</v>
      </c>
      <c r="D41" s="13">
        <f>$D$5</f>
        <v>2016</v>
      </c>
      <c r="E41" s="11">
        <v>139899.31</v>
      </c>
      <c r="F41" s="44" t="s">
        <v>167</v>
      </c>
      <c r="G41" s="21"/>
    </row>
    <row r="42" spans="2:7">
      <c r="G42" s="21"/>
    </row>
    <row r="43" spans="2:7">
      <c r="E43" s="130"/>
    </row>
    <row r="44" spans="2:7">
      <c r="E44" s="130"/>
      <c r="F44" s="130"/>
    </row>
    <row r="45" spans="2:7" ht="16.2">
      <c r="C45" s="109" t="s">
        <v>657</v>
      </c>
      <c r="E45" s="130"/>
      <c r="F45" s="130"/>
      <c r="G45" s="133"/>
    </row>
    <row r="46" spans="2:7">
      <c r="C46" s="13" t="s">
        <v>656</v>
      </c>
      <c r="E46" s="130"/>
    </row>
    <row r="47" spans="2:7" ht="16.2">
      <c r="C47" s="126"/>
      <c r="E47" s="39"/>
      <c r="F47" s="39"/>
      <c r="G47" s="39"/>
    </row>
  </sheetData>
  <mergeCells count="2">
    <mergeCell ref="B3:D3"/>
    <mergeCell ref="B5:C5"/>
  </mergeCells>
  <printOptions horizontalCentered="1" verticalCentered="1"/>
  <pageMargins left="0.7" right="0.7" top="0.75" bottom="0.75" header="0.3" footer="0.3"/>
  <pageSetup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7" workbookViewId="0">
      <selection activeCell="F3" sqref="F3:G26"/>
    </sheetView>
  </sheetViews>
  <sheetFormatPr defaultRowHeight="14.4"/>
  <cols>
    <col min="1" max="1" width="8.88671875" style="152"/>
    <col min="2" max="2" width="12.88671875" style="151" bestFit="1" customWidth="1"/>
    <col min="3" max="3" width="11" bestFit="1" customWidth="1"/>
    <col min="6" max="6" width="14.21875" style="151" bestFit="1" customWidth="1"/>
    <col min="7" max="7" width="11" bestFit="1" customWidth="1"/>
  </cols>
  <sheetData>
    <row r="1" spans="1:7" ht="17.399999999999999">
      <c r="A1" s="147"/>
      <c r="B1" s="382" t="s">
        <v>660</v>
      </c>
      <c r="C1" s="382"/>
      <c r="D1" s="148"/>
      <c r="E1" s="148"/>
      <c r="F1" s="382" t="s">
        <v>659</v>
      </c>
      <c r="G1" s="382"/>
    </row>
    <row r="2" spans="1:7" ht="17.399999999999999">
      <c r="A2" s="147"/>
      <c r="B2" s="149" t="s">
        <v>613</v>
      </c>
      <c r="C2" s="149" t="s">
        <v>614</v>
      </c>
      <c r="D2" s="147"/>
      <c r="E2" s="147"/>
      <c r="F2" s="149" t="s">
        <v>613</v>
      </c>
      <c r="G2" s="149" t="s">
        <v>614</v>
      </c>
    </row>
    <row r="3" spans="1:7">
      <c r="A3" s="150">
        <v>41275</v>
      </c>
      <c r="B3" s="151">
        <v>1.6770000000000001E-3</v>
      </c>
      <c r="C3" s="151">
        <v>3.2500000000000001E-2</v>
      </c>
      <c r="F3" s="151">
        <v>1.6770000000000001E-3</v>
      </c>
      <c r="G3" s="151">
        <v>3.2500000000000001E-2</v>
      </c>
    </row>
    <row r="4" spans="1:7">
      <c r="A4" s="150">
        <v>41306</v>
      </c>
      <c r="B4" s="151">
        <v>1.565E-3</v>
      </c>
      <c r="C4" s="151">
        <f>C3</f>
        <v>3.2500000000000001E-2</v>
      </c>
      <c r="F4" s="151">
        <v>1.565E-3</v>
      </c>
      <c r="G4" s="151">
        <v>3.2500000000000001E-2</v>
      </c>
    </row>
    <row r="5" spans="1:7">
      <c r="A5" s="150">
        <v>41334</v>
      </c>
      <c r="B5" s="151">
        <v>1.555E-3</v>
      </c>
      <c r="C5" s="151">
        <f t="shared" ref="C5:C22" si="0">C4</f>
        <v>3.2500000000000001E-2</v>
      </c>
      <c r="F5" s="151">
        <v>1.555E-3</v>
      </c>
      <c r="G5" s="151">
        <v>3.2500000000000001E-2</v>
      </c>
    </row>
    <row r="6" spans="1:7">
      <c r="A6" s="150">
        <v>41365</v>
      </c>
      <c r="B6" s="151">
        <v>1.5200000000000001E-3</v>
      </c>
      <c r="C6" s="151">
        <f t="shared" si="0"/>
        <v>3.2500000000000001E-2</v>
      </c>
      <c r="F6" s="151">
        <v>1.5200000000000001E-3</v>
      </c>
      <c r="G6" s="151">
        <v>3.2500000000000001E-2</v>
      </c>
    </row>
    <row r="7" spans="1:7">
      <c r="A7" s="150">
        <v>41395</v>
      </c>
      <c r="B7" s="151">
        <v>1.505E-3</v>
      </c>
      <c r="C7" s="151">
        <f t="shared" si="0"/>
        <v>3.2500000000000001E-2</v>
      </c>
      <c r="F7" s="151">
        <v>1.505E-3</v>
      </c>
      <c r="G7" s="151">
        <v>3.2500000000000001E-2</v>
      </c>
    </row>
    <row r="8" spans="1:7">
      <c r="A8" s="150">
        <v>41426</v>
      </c>
      <c r="B8" s="151">
        <v>1.5100000000000001E-3</v>
      </c>
      <c r="C8" s="151">
        <f t="shared" si="0"/>
        <v>3.2500000000000001E-2</v>
      </c>
      <c r="F8" s="151">
        <v>1.5100000000000001E-3</v>
      </c>
      <c r="G8" s="151">
        <v>3.2500000000000001E-2</v>
      </c>
    </row>
    <row r="9" spans="1:7">
      <c r="A9" s="150">
        <v>41456</v>
      </c>
      <c r="B9" s="151">
        <v>1.552E-3</v>
      </c>
      <c r="C9" s="151">
        <f t="shared" si="0"/>
        <v>3.2500000000000001E-2</v>
      </c>
      <c r="F9" s="151">
        <v>1.552E-3</v>
      </c>
      <c r="G9" s="151">
        <v>3.2500000000000001E-2</v>
      </c>
    </row>
    <row r="10" spans="1:7">
      <c r="A10" s="150">
        <v>41487</v>
      </c>
      <c r="B10" s="151">
        <v>1.56E-3</v>
      </c>
      <c r="C10" s="151">
        <f t="shared" si="0"/>
        <v>3.2500000000000001E-2</v>
      </c>
      <c r="F10" s="151">
        <v>1.56E-3</v>
      </c>
      <c r="G10" s="151">
        <v>3.2500000000000001E-2</v>
      </c>
    </row>
    <row r="11" spans="1:7">
      <c r="A11" s="150">
        <v>41518</v>
      </c>
      <c r="B11" s="151">
        <v>1.57E-3</v>
      </c>
      <c r="C11" s="151">
        <f t="shared" si="0"/>
        <v>3.2500000000000001E-2</v>
      </c>
      <c r="F11" s="151">
        <v>1.57E-3</v>
      </c>
      <c r="G11" s="151">
        <v>3.2500000000000001E-2</v>
      </c>
    </row>
    <row r="12" spans="1:7">
      <c r="A12" s="150">
        <v>41548</v>
      </c>
      <c r="B12" s="151">
        <v>1.5250000000000001E-3</v>
      </c>
      <c r="C12" s="151">
        <f t="shared" si="0"/>
        <v>3.2500000000000001E-2</v>
      </c>
      <c r="F12" s="151">
        <v>1.5250000000000001E-3</v>
      </c>
      <c r="G12" s="151">
        <v>3.2500000000000001E-2</v>
      </c>
    </row>
    <row r="13" spans="1:7">
      <c r="A13" s="150">
        <v>41579</v>
      </c>
      <c r="B13" s="151">
        <v>1.5590000000000001E-3</v>
      </c>
      <c r="C13" s="151">
        <f t="shared" si="0"/>
        <v>3.2500000000000001E-2</v>
      </c>
      <c r="F13" s="151">
        <v>1.5590000000000001E-3</v>
      </c>
      <c r="G13" s="151">
        <v>3.2500000000000001E-2</v>
      </c>
    </row>
    <row r="14" spans="1:7">
      <c r="A14" s="150">
        <v>41609</v>
      </c>
      <c r="B14" s="151">
        <v>1.5399999999999999E-3</v>
      </c>
      <c r="C14" s="151">
        <f t="shared" si="0"/>
        <v>3.2500000000000001E-2</v>
      </c>
      <c r="F14" s="151">
        <v>1.5399999999999999E-3</v>
      </c>
      <c r="G14" s="151">
        <v>3.2500000000000001E-2</v>
      </c>
    </row>
    <row r="15" spans="1:7">
      <c r="A15" s="150">
        <v>41640</v>
      </c>
      <c r="B15" s="151">
        <v>1.7125E-3</v>
      </c>
      <c r="C15" s="151">
        <f t="shared" si="0"/>
        <v>3.2500000000000001E-2</v>
      </c>
      <c r="F15" s="151">
        <v>1.7125E-3</v>
      </c>
      <c r="G15" s="151">
        <v>3.2500000000000001E-2</v>
      </c>
    </row>
    <row r="16" spans="1:7">
      <c r="A16" s="150">
        <v>41671</v>
      </c>
      <c r="B16" s="151">
        <v>1.7125E-3</v>
      </c>
      <c r="C16" s="151">
        <f t="shared" si="0"/>
        <v>3.2500000000000001E-2</v>
      </c>
      <c r="F16" s="151">
        <v>1.7125E-3</v>
      </c>
      <c r="G16" s="151">
        <v>3.2500000000000001E-2</v>
      </c>
    </row>
    <row r="17" spans="1:7">
      <c r="A17" s="150">
        <v>41699</v>
      </c>
      <c r="B17" s="151">
        <v>1.73E-3</v>
      </c>
      <c r="C17" s="151">
        <f t="shared" si="0"/>
        <v>3.2500000000000001E-2</v>
      </c>
      <c r="F17" s="151">
        <v>1.73E-3</v>
      </c>
      <c r="G17" s="151">
        <v>3.2500000000000001E-2</v>
      </c>
    </row>
    <row r="18" spans="1:7">
      <c r="A18" s="150">
        <v>41730</v>
      </c>
      <c r="B18" s="151">
        <v>1.7625E-3</v>
      </c>
      <c r="C18" s="151">
        <f t="shared" si="0"/>
        <v>3.2500000000000001E-2</v>
      </c>
      <c r="F18" s="151">
        <v>1.7625E-3</v>
      </c>
      <c r="G18" s="151">
        <v>3.2500000000000001E-2</v>
      </c>
    </row>
    <row r="19" spans="1:7">
      <c r="A19" s="150">
        <v>41760</v>
      </c>
      <c r="B19" s="151">
        <v>1.81E-3</v>
      </c>
      <c r="C19" s="151">
        <f>C18</f>
        <v>3.2500000000000001E-2</v>
      </c>
      <c r="F19" s="151">
        <v>1.81E-3</v>
      </c>
      <c r="G19" s="151">
        <v>3.2500000000000001E-2</v>
      </c>
    </row>
    <row r="20" spans="1:7">
      <c r="A20" s="150">
        <v>41791</v>
      </c>
      <c r="B20" s="151">
        <v>1.8400000000000001E-3</v>
      </c>
      <c r="C20" s="151">
        <f t="shared" si="0"/>
        <v>3.2500000000000001E-2</v>
      </c>
      <c r="F20" s="151">
        <v>1.8400000000000001E-3</v>
      </c>
      <c r="G20" s="151">
        <v>3.2500000000000001E-2</v>
      </c>
    </row>
    <row r="21" spans="1:7">
      <c r="A21" s="150">
        <v>41821</v>
      </c>
      <c r="B21" s="151">
        <v>1.9174999999999999E-3</v>
      </c>
      <c r="C21" s="151">
        <f t="shared" si="0"/>
        <v>3.2500000000000001E-2</v>
      </c>
      <c r="F21" s="151">
        <v>1.544E-3</v>
      </c>
      <c r="G21" s="151">
        <v>3.2500000000000001E-2</v>
      </c>
    </row>
    <row r="22" spans="1:7">
      <c r="A22" s="150">
        <v>41852</v>
      </c>
      <c r="B22" s="151">
        <v>1.9854999999999999E-3</v>
      </c>
      <c r="C22" s="151">
        <f t="shared" si="0"/>
        <v>3.2500000000000001E-2</v>
      </c>
      <c r="F22" s="151">
        <v>1.56E-3</v>
      </c>
      <c r="G22" s="151">
        <v>3.2500000000000001E-2</v>
      </c>
    </row>
    <row r="23" spans="1:7">
      <c r="A23" s="150">
        <v>41883</v>
      </c>
      <c r="C23" s="151"/>
      <c r="F23" s="151">
        <v>1.5410000000000001E-3</v>
      </c>
      <c r="G23" s="151">
        <v>3.2500000000000001E-2</v>
      </c>
    </row>
    <row r="24" spans="1:7">
      <c r="A24" s="150">
        <v>41913</v>
      </c>
      <c r="C24" s="151"/>
      <c r="G24" s="151">
        <v>3.2500000000000001E-2</v>
      </c>
    </row>
    <row r="25" spans="1:7">
      <c r="A25" s="150">
        <v>41944</v>
      </c>
      <c r="C25" s="151"/>
      <c r="G25" s="151">
        <v>3.2500000000000001E-2</v>
      </c>
    </row>
    <row r="26" spans="1:7">
      <c r="A26" s="150">
        <v>41974</v>
      </c>
      <c r="C26" s="151"/>
      <c r="G26" s="151">
        <v>3.2500000000000001E-2</v>
      </c>
    </row>
    <row r="28" spans="1:7">
      <c r="A28" s="150" t="s">
        <v>615</v>
      </c>
      <c r="B28" s="153">
        <f>AVERAGE(B3:B26)</f>
        <v>1.6554249999999999E-3</v>
      </c>
      <c r="C28" s="153">
        <f>AVERAGE(C3:C26)</f>
        <v>3.2499999999999987E-2</v>
      </c>
      <c r="F28" s="153">
        <f>AVERAGE(F3:F26)</f>
        <v>1.6119285714285714E-3</v>
      </c>
      <c r="G28" s="153">
        <f>AVERAGE(G3:G26)</f>
        <v>3.249999999999998E-2</v>
      </c>
    </row>
    <row r="30" spans="1:7">
      <c r="A30" s="154" t="s">
        <v>616</v>
      </c>
    </row>
    <row r="31" spans="1:7">
      <c r="A31" s="154" t="s">
        <v>617</v>
      </c>
    </row>
    <row r="32" spans="1:7">
      <c r="B32" s="155" t="s">
        <v>618</v>
      </c>
    </row>
  </sheetData>
  <mergeCells count="2">
    <mergeCell ref="B1:C1"/>
    <mergeCell ref="F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9"/>
  <sheetViews>
    <sheetView tabSelected="1" zoomScale="80" zoomScaleNormal="80" zoomScaleSheetLayoutView="75" workbookViewId="0">
      <selection activeCell="D15" sqref="D15"/>
    </sheetView>
  </sheetViews>
  <sheetFormatPr defaultColWidth="10.88671875" defaultRowHeight="15.6"/>
  <cols>
    <col min="1" max="1" width="7.33203125" style="161" customWidth="1"/>
    <col min="2" max="2" width="46.44140625" style="161" customWidth="1"/>
    <col min="3" max="3" width="33.77734375" style="161" customWidth="1"/>
    <col min="4" max="4" width="14.5546875" style="161" customWidth="1"/>
    <col min="5" max="5" width="6" style="161" customWidth="1"/>
    <col min="6" max="6" width="5.6640625" style="161" customWidth="1"/>
    <col min="7" max="7" width="9.77734375" style="161" customWidth="1"/>
    <col min="8" max="8" width="4.77734375" style="161" customWidth="1"/>
    <col min="9" max="9" width="13.33203125" style="161" customWidth="1"/>
    <col min="10" max="10" width="2.5546875" style="161" customWidth="1"/>
    <col min="11" max="11" width="11.21875" style="161" customWidth="1"/>
    <col min="12" max="12" width="13" style="161" customWidth="1"/>
    <col min="13" max="13" width="34.109375" style="161" bestFit="1" customWidth="1"/>
    <col min="14" max="14" width="16" style="161" customWidth="1"/>
    <col min="15" max="15" width="10.6640625" style="161" bestFit="1" customWidth="1"/>
    <col min="16" max="17" width="18.5546875" style="161" bestFit="1" customWidth="1"/>
    <col min="18" max="18" width="13.77734375" style="161" bestFit="1" customWidth="1"/>
    <col min="19" max="19" width="10.88671875" style="161"/>
    <col min="20" max="20" width="10.88671875" style="134"/>
    <col min="21" max="21" width="6.6640625" style="134" bestFit="1" customWidth="1"/>
    <col min="22" max="16384" width="10.88671875" style="134"/>
  </cols>
  <sheetData>
    <row r="1" spans="1:15">
      <c r="K1" s="162" t="s">
        <v>621</v>
      </c>
    </row>
    <row r="2" spans="1:15">
      <c r="B2" s="163"/>
      <c r="C2" s="163"/>
      <c r="D2" s="164"/>
      <c r="E2" s="163"/>
      <c r="F2" s="163"/>
      <c r="G2" s="163"/>
      <c r="H2" s="165"/>
      <c r="I2" s="166"/>
      <c r="K2" s="162" t="s">
        <v>244</v>
      </c>
      <c r="M2" s="166"/>
      <c r="N2" s="166"/>
      <c r="O2" s="166"/>
    </row>
    <row r="3" spans="1:15">
      <c r="B3" s="163"/>
      <c r="C3" s="163"/>
      <c r="D3" s="164"/>
      <c r="E3" s="163"/>
      <c r="F3" s="163"/>
      <c r="G3" s="163"/>
      <c r="H3" s="165"/>
      <c r="I3" s="165"/>
      <c r="J3" s="166"/>
      <c r="K3" s="167"/>
      <c r="M3" s="166"/>
      <c r="N3" s="166"/>
      <c r="O3" s="166"/>
    </row>
    <row r="4" spans="1:15">
      <c r="B4" s="163" t="s">
        <v>245</v>
      </c>
      <c r="C4" s="163"/>
      <c r="D4" s="164" t="s">
        <v>246</v>
      </c>
      <c r="E4" s="163"/>
      <c r="F4" s="163"/>
      <c r="G4" s="163"/>
      <c r="H4" s="168"/>
      <c r="I4" s="169"/>
      <c r="J4" s="170"/>
      <c r="K4" s="171" t="s">
        <v>638</v>
      </c>
      <c r="M4" s="166"/>
      <c r="N4" s="166"/>
      <c r="O4" s="166"/>
    </row>
    <row r="5" spans="1:15">
      <c r="B5" s="163"/>
      <c r="C5" s="172" t="s">
        <v>247</v>
      </c>
      <c r="D5" s="172" t="s">
        <v>248</v>
      </c>
      <c r="E5" s="172"/>
      <c r="F5" s="172"/>
      <c r="G5" s="172"/>
      <c r="H5" s="165"/>
      <c r="I5" s="165"/>
      <c r="J5" s="166"/>
      <c r="K5" s="166"/>
      <c r="M5" s="166"/>
      <c r="N5" s="166"/>
      <c r="O5" s="166"/>
    </row>
    <row r="6" spans="1:15">
      <c r="B6" s="166"/>
      <c r="C6" s="166"/>
      <c r="D6" s="166"/>
      <c r="E6" s="166"/>
      <c r="F6" s="166"/>
      <c r="G6" s="166"/>
      <c r="H6" s="166"/>
      <c r="I6" s="166"/>
      <c r="J6" s="166"/>
      <c r="K6" s="166"/>
      <c r="M6" s="166"/>
      <c r="N6" s="166"/>
      <c r="O6" s="166"/>
    </row>
    <row r="7" spans="1:15">
      <c r="A7" s="173"/>
      <c r="B7" s="166"/>
      <c r="C7" s="166"/>
      <c r="D7" s="174" t="s">
        <v>249</v>
      </c>
      <c r="E7" s="170"/>
      <c r="F7" s="166"/>
      <c r="G7" s="166"/>
      <c r="H7" s="166"/>
      <c r="I7" s="166"/>
      <c r="J7" s="166"/>
      <c r="K7" s="166"/>
      <c r="M7" s="166"/>
      <c r="N7" s="166"/>
      <c r="O7" s="166"/>
    </row>
    <row r="8" spans="1:15">
      <c r="A8" s="173"/>
      <c r="B8" s="166"/>
      <c r="C8" s="166"/>
      <c r="D8" s="175"/>
      <c r="E8" s="166"/>
      <c r="F8" s="166"/>
      <c r="G8" s="166"/>
      <c r="H8" s="166"/>
      <c r="I8" s="166"/>
      <c r="J8" s="166"/>
      <c r="K8" s="166"/>
      <c r="M8" s="166"/>
      <c r="N8" s="166"/>
      <c r="O8" s="166"/>
    </row>
    <row r="9" spans="1:15">
      <c r="A9" s="173" t="s">
        <v>250</v>
      </c>
      <c r="B9" s="166"/>
      <c r="C9" s="166"/>
      <c r="D9" s="175"/>
      <c r="E9" s="166"/>
      <c r="F9" s="166"/>
      <c r="G9" s="166"/>
      <c r="H9" s="166"/>
      <c r="I9" s="173" t="s">
        <v>251</v>
      </c>
      <c r="J9" s="166"/>
      <c r="K9" s="166"/>
      <c r="M9" s="166"/>
      <c r="N9" s="166"/>
      <c r="O9" s="166"/>
    </row>
    <row r="10" spans="1:15" ht="16.2" thickBot="1">
      <c r="A10" s="176" t="s">
        <v>252</v>
      </c>
      <c r="B10" s="166"/>
      <c r="C10" s="166"/>
      <c r="D10" s="166"/>
      <c r="E10" s="166"/>
      <c r="F10" s="166"/>
      <c r="G10" s="166"/>
      <c r="H10" s="166"/>
      <c r="I10" s="176" t="s">
        <v>93</v>
      </c>
      <c r="J10" s="166"/>
      <c r="K10" s="166"/>
      <c r="M10" s="166"/>
      <c r="N10" s="166"/>
      <c r="O10" s="166"/>
    </row>
    <row r="11" spans="1:15">
      <c r="A11" s="173">
        <v>1</v>
      </c>
      <c r="B11" s="166" t="s">
        <v>253</v>
      </c>
      <c r="C11" s="166"/>
      <c r="D11" s="177"/>
      <c r="E11" s="166"/>
      <c r="F11" s="166"/>
      <c r="G11" s="166"/>
      <c r="H11" s="166"/>
      <c r="I11" s="178">
        <f>+I209</f>
        <v>6562139.4748010971</v>
      </c>
      <c r="J11" s="166"/>
      <c r="K11" s="166"/>
      <c r="M11" s="166"/>
      <c r="N11" s="166"/>
      <c r="O11" s="166"/>
    </row>
    <row r="12" spans="1:15">
      <c r="A12" s="173"/>
      <c r="B12" s="166"/>
      <c r="C12" s="166"/>
      <c r="D12" s="166"/>
      <c r="E12" s="166"/>
      <c r="F12" s="166"/>
      <c r="G12" s="166"/>
      <c r="H12" s="166"/>
      <c r="I12" s="177"/>
      <c r="J12" s="166"/>
      <c r="K12" s="166"/>
      <c r="M12" s="166"/>
      <c r="N12" s="166"/>
      <c r="O12" s="166"/>
    </row>
    <row r="13" spans="1:15" ht="16.2" thickBot="1">
      <c r="A13" s="173" t="s">
        <v>247</v>
      </c>
      <c r="B13" s="179" t="s">
        <v>254</v>
      </c>
      <c r="C13" s="172" t="s">
        <v>255</v>
      </c>
      <c r="D13" s="176" t="s">
        <v>85</v>
      </c>
      <c r="E13" s="172"/>
      <c r="F13" s="180" t="s">
        <v>256</v>
      </c>
      <c r="G13" s="180"/>
      <c r="H13" s="166"/>
      <c r="I13" s="177"/>
      <c r="J13" s="166"/>
      <c r="K13" s="166"/>
      <c r="M13" s="166"/>
      <c r="N13" s="166"/>
      <c r="O13" s="166"/>
    </row>
    <row r="14" spans="1:15">
      <c r="A14" s="173">
        <v>2</v>
      </c>
      <c r="B14" s="179" t="s">
        <v>257</v>
      </c>
      <c r="C14" s="172" t="s">
        <v>258</v>
      </c>
      <c r="D14" s="172">
        <f>I279</f>
        <v>7919</v>
      </c>
      <c r="E14" s="172"/>
      <c r="F14" s="172" t="s">
        <v>259</v>
      </c>
      <c r="G14" s="181">
        <f>I229</f>
        <v>1</v>
      </c>
      <c r="H14" s="172"/>
      <c r="I14" s="172">
        <f>+G14*D14</f>
        <v>7919</v>
      </c>
      <c r="J14" s="166"/>
      <c r="K14" s="166"/>
      <c r="M14" s="166"/>
      <c r="N14" s="166"/>
      <c r="O14" s="166"/>
    </row>
    <row r="15" spans="1:15">
      <c r="A15" s="173">
        <v>3</v>
      </c>
      <c r="B15" s="179" t="s">
        <v>260</v>
      </c>
      <c r="C15" s="172" t="s">
        <v>261</v>
      </c>
      <c r="D15" s="172">
        <f>I286</f>
        <v>0</v>
      </c>
      <c r="E15" s="172"/>
      <c r="F15" s="172" t="str">
        <f>+F14</f>
        <v>TP</v>
      </c>
      <c r="G15" s="181">
        <f>+G14</f>
        <v>1</v>
      </c>
      <c r="H15" s="172"/>
      <c r="I15" s="172">
        <f>+G15*D15</f>
        <v>0</v>
      </c>
      <c r="J15" s="166"/>
      <c r="K15" s="166"/>
      <c r="M15" s="166"/>
      <c r="N15" s="166"/>
      <c r="O15" s="166"/>
    </row>
    <row r="16" spans="1:15">
      <c r="A16" s="173">
        <v>4</v>
      </c>
      <c r="B16" s="179" t="s">
        <v>262</v>
      </c>
      <c r="C16" s="172"/>
      <c r="D16" s="182">
        <v>0</v>
      </c>
      <c r="E16" s="172"/>
      <c r="F16" s="172" t="s">
        <v>259</v>
      </c>
      <c r="G16" s="181">
        <f>+G14</f>
        <v>1</v>
      </c>
      <c r="H16" s="172"/>
      <c r="I16" s="172">
        <f>+G16*D16</f>
        <v>0</v>
      </c>
      <c r="J16" s="166"/>
      <c r="K16" s="166"/>
      <c r="L16" s="183" t="s">
        <v>263</v>
      </c>
      <c r="M16" s="166"/>
      <c r="N16" s="166"/>
      <c r="O16" s="166"/>
    </row>
    <row r="17" spans="1:15" ht="16.2" thickBot="1">
      <c r="A17" s="173">
        <v>5</v>
      </c>
      <c r="B17" s="179" t="s">
        <v>264</v>
      </c>
      <c r="C17" s="172"/>
      <c r="D17" s="182">
        <v>0</v>
      </c>
      <c r="E17" s="172"/>
      <c r="F17" s="172" t="s">
        <v>259</v>
      </c>
      <c r="G17" s="181">
        <f>+G14</f>
        <v>1</v>
      </c>
      <c r="H17" s="172"/>
      <c r="I17" s="184">
        <f>+G17*D17</f>
        <v>0</v>
      </c>
      <c r="J17" s="166"/>
      <c r="K17" s="166"/>
      <c r="L17" s="183" t="s">
        <v>265</v>
      </c>
      <c r="M17" s="166"/>
      <c r="N17" s="166"/>
      <c r="O17" s="166"/>
    </row>
    <row r="18" spans="1:15">
      <c r="A18" s="173">
        <v>6</v>
      </c>
      <c r="B18" s="179" t="s">
        <v>266</v>
      </c>
      <c r="C18" s="166"/>
      <c r="D18" s="185" t="s">
        <v>247</v>
      </c>
      <c r="E18" s="172"/>
      <c r="F18" s="172"/>
      <c r="G18" s="181"/>
      <c r="H18" s="172"/>
      <c r="I18" s="172">
        <f>SUM(I14:I17)</f>
        <v>7919</v>
      </c>
      <c r="J18" s="166"/>
      <c r="K18" s="166"/>
      <c r="M18" s="166"/>
      <c r="N18" s="166"/>
      <c r="O18" s="166"/>
    </row>
    <row r="19" spans="1:15">
      <c r="A19" s="173"/>
      <c r="B19" s="179"/>
      <c r="C19" s="166"/>
      <c r="I19" s="172"/>
      <c r="J19" s="166"/>
      <c r="K19" s="166"/>
      <c r="M19" s="166"/>
      <c r="N19" s="166"/>
      <c r="O19" s="166"/>
    </row>
    <row r="20" spans="1:15">
      <c r="A20" s="173" t="s">
        <v>267</v>
      </c>
      <c r="B20" s="179" t="s">
        <v>268</v>
      </c>
      <c r="C20" s="166"/>
      <c r="I20" s="182">
        <v>4410970</v>
      </c>
      <c r="J20" s="166"/>
      <c r="K20" s="166"/>
      <c r="M20" s="166"/>
      <c r="N20" s="166"/>
      <c r="O20" s="166"/>
    </row>
    <row r="21" spans="1:15" ht="16.2" thickBot="1">
      <c r="A21" s="173" t="s">
        <v>269</v>
      </c>
      <c r="B21" s="179" t="s">
        <v>270</v>
      </c>
      <c r="C21" s="166"/>
      <c r="I21" s="186">
        <v>4618873</v>
      </c>
      <c r="J21" s="166"/>
      <c r="K21" s="166"/>
      <c r="M21" s="166"/>
      <c r="N21" s="166"/>
      <c r="O21" s="166"/>
    </row>
    <row r="22" spans="1:15">
      <c r="A22" s="173" t="s">
        <v>271</v>
      </c>
      <c r="B22" s="179" t="s">
        <v>272</v>
      </c>
      <c r="C22" s="166"/>
      <c r="D22" s="161" t="s">
        <v>273</v>
      </c>
      <c r="I22" s="187">
        <f>I20-I21</f>
        <v>-207903</v>
      </c>
      <c r="J22" s="166"/>
      <c r="K22" s="166"/>
      <c r="M22" s="166"/>
      <c r="N22" s="166"/>
      <c r="O22" s="166"/>
    </row>
    <row r="23" spans="1:15">
      <c r="A23" s="173"/>
      <c r="B23" s="179"/>
      <c r="C23" s="166"/>
      <c r="I23" s="187"/>
      <c r="J23" s="166"/>
      <c r="K23" s="166"/>
      <c r="M23" s="166"/>
      <c r="N23" s="166"/>
      <c r="O23" s="166"/>
    </row>
    <row r="24" spans="1:15">
      <c r="A24" s="173" t="s">
        <v>274</v>
      </c>
      <c r="B24" s="179" t="s">
        <v>275</v>
      </c>
      <c r="C24" s="166"/>
      <c r="I24" s="182">
        <v>688216</v>
      </c>
      <c r="J24" s="166"/>
      <c r="K24" s="166"/>
      <c r="M24" s="166"/>
      <c r="N24" s="166"/>
      <c r="O24" s="166"/>
    </row>
    <row r="25" spans="1:15" ht="16.2" thickBot="1">
      <c r="A25" s="173" t="s">
        <v>276</v>
      </c>
      <c r="B25" s="179" t="s">
        <v>277</v>
      </c>
      <c r="C25" s="166"/>
      <c r="I25" s="186">
        <v>672094</v>
      </c>
      <c r="J25" s="166"/>
      <c r="K25" s="166"/>
      <c r="M25" s="166"/>
      <c r="N25" s="166"/>
      <c r="O25" s="166"/>
    </row>
    <row r="26" spans="1:15">
      <c r="A26" s="173" t="s">
        <v>278</v>
      </c>
      <c r="B26" s="179" t="s">
        <v>279</v>
      </c>
      <c r="C26" s="166"/>
      <c r="D26" s="161" t="s">
        <v>280</v>
      </c>
      <c r="I26" s="187">
        <f>I25-I24</f>
        <v>-16122</v>
      </c>
      <c r="J26" s="166"/>
      <c r="K26" s="166"/>
      <c r="M26" s="166"/>
      <c r="N26" s="166"/>
      <c r="O26" s="166"/>
    </row>
    <row r="27" spans="1:15" ht="16.2" thickBot="1">
      <c r="A27" s="173" t="s">
        <v>281</v>
      </c>
      <c r="B27" s="179" t="s">
        <v>282</v>
      </c>
      <c r="C27" s="166"/>
      <c r="I27" s="359">
        <f>I21/I25</f>
        <v>6.8723616041803677</v>
      </c>
      <c r="J27" s="166"/>
      <c r="K27" s="166"/>
      <c r="M27" s="166"/>
      <c r="N27" s="166"/>
      <c r="O27" s="166"/>
    </row>
    <row r="28" spans="1:15">
      <c r="A28" s="173" t="s">
        <v>283</v>
      </c>
      <c r="B28" s="179" t="s">
        <v>284</v>
      </c>
      <c r="C28" s="166"/>
      <c r="D28" s="161" t="s">
        <v>285</v>
      </c>
      <c r="I28" s="187">
        <f>I26*I27</f>
        <v>-110796.21378259589</v>
      </c>
      <c r="J28" s="166"/>
      <c r="K28" s="166"/>
      <c r="M28" s="166"/>
      <c r="N28" s="166"/>
      <c r="O28" s="166"/>
    </row>
    <row r="29" spans="1:15">
      <c r="A29" s="173"/>
      <c r="B29" s="179"/>
      <c r="C29" s="166"/>
      <c r="I29" s="187"/>
      <c r="J29" s="166"/>
      <c r="K29" s="166"/>
      <c r="M29" s="166"/>
      <c r="N29" s="166"/>
      <c r="O29" s="166"/>
    </row>
    <row r="30" spans="1:15">
      <c r="A30" s="173" t="s">
        <v>286</v>
      </c>
      <c r="B30" s="179" t="s">
        <v>287</v>
      </c>
      <c r="C30" s="166"/>
      <c r="I30" s="182">
        <v>-1727</v>
      </c>
      <c r="J30" s="166"/>
      <c r="K30" s="166"/>
      <c r="M30" s="166"/>
      <c r="N30" s="166"/>
      <c r="O30" s="166"/>
    </row>
    <row r="31" spans="1:15">
      <c r="A31" s="173"/>
      <c r="B31" s="179"/>
      <c r="C31" s="166"/>
      <c r="I31" s="172"/>
      <c r="J31" s="166"/>
      <c r="K31" s="166"/>
      <c r="M31" s="166"/>
      <c r="N31" s="166"/>
      <c r="O31" s="166"/>
    </row>
    <row r="32" spans="1:15" ht="16.2" thickBot="1">
      <c r="A32" s="173">
        <v>7</v>
      </c>
      <c r="B32" s="179" t="s">
        <v>288</v>
      </c>
      <c r="C32" s="166" t="s">
        <v>289</v>
      </c>
      <c r="E32" s="172"/>
      <c r="F32" s="172"/>
      <c r="G32" s="172"/>
      <c r="H32" s="172"/>
      <c r="I32" s="188">
        <f>+I11-I18+I22+I28+I30</f>
        <v>6233794.2610185016</v>
      </c>
      <c r="J32" s="166"/>
      <c r="K32" s="166"/>
      <c r="M32" s="166"/>
      <c r="N32" s="166"/>
      <c r="O32" s="166"/>
    </row>
    <row r="33" spans="1:15" ht="16.2" thickTop="1">
      <c r="A33" s="173"/>
      <c r="B33" s="179"/>
      <c r="C33" s="172"/>
      <c r="I33" s="172"/>
      <c r="J33" s="166"/>
      <c r="K33" s="166"/>
      <c r="M33" s="166"/>
      <c r="N33" s="166"/>
      <c r="O33" s="166"/>
    </row>
    <row r="34" spans="1:15">
      <c r="A34" s="173" t="s">
        <v>247</v>
      </c>
      <c r="B34" s="179" t="s">
        <v>294</v>
      </c>
      <c r="C34" s="166"/>
      <c r="D34" s="177"/>
      <c r="E34" s="166"/>
      <c r="F34" s="166"/>
      <c r="G34" s="166"/>
      <c r="H34" s="166"/>
      <c r="I34" s="177"/>
      <c r="J34" s="166"/>
      <c r="K34" s="166"/>
      <c r="M34" s="166"/>
      <c r="N34" s="166"/>
      <c r="O34" s="166"/>
    </row>
    <row r="35" spans="1:15">
      <c r="A35" s="173">
        <v>8</v>
      </c>
      <c r="B35" s="179" t="s">
        <v>296</v>
      </c>
      <c r="D35" s="177"/>
      <c r="E35" s="166"/>
      <c r="F35" s="166"/>
      <c r="G35" s="165" t="s">
        <v>297</v>
      </c>
      <c r="H35" s="166"/>
      <c r="I35" s="135">
        <f>Divisor!G21</f>
        <v>680773.16666666663</v>
      </c>
      <c r="J35" s="166"/>
      <c r="K35" s="166"/>
      <c r="N35" s="166"/>
      <c r="O35" s="166"/>
    </row>
    <row r="36" spans="1:15">
      <c r="A36" s="173">
        <v>9</v>
      </c>
      <c r="B36" s="179" t="s">
        <v>299</v>
      </c>
      <c r="C36" s="172"/>
      <c r="D36" s="172"/>
      <c r="E36" s="172"/>
      <c r="F36" s="172"/>
      <c r="G36" s="172" t="s">
        <v>300</v>
      </c>
      <c r="H36" s="172"/>
      <c r="I36" s="182">
        <v>0</v>
      </c>
      <c r="J36" s="166"/>
      <c r="K36" s="166"/>
      <c r="M36" s="369" t="s">
        <v>290</v>
      </c>
      <c r="N36" s="369"/>
      <c r="O36" s="189"/>
    </row>
    <row r="37" spans="1:15">
      <c r="A37" s="173">
        <v>10</v>
      </c>
      <c r="B37" s="179" t="s">
        <v>302</v>
      </c>
      <c r="C37" s="166"/>
      <c r="D37" s="166"/>
      <c r="E37" s="166"/>
      <c r="F37" s="166"/>
      <c r="G37" s="165" t="s">
        <v>303</v>
      </c>
      <c r="H37" s="166"/>
      <c r="I37" s="182">
        <v>0</v>
      </c>
      <c r="J37" s="166"/>
      <c r="K37" s="166"/>
      <c r="M37" s="190" t="s">
        <v>622</v>
      </c>
      <c r="N37" s="191" t="s">
        <v>292</v>
      </c>
      <c r="O37" s="192" t="s">
        <v>293</v>
      </c>
    </row>
    <row r="38" spans="1:15">
      <c r="A38" s="173">
        <v>11</v>
      </c>
      <c r="B38" s="193" t="s">
        <v>305</v>
      </c>
      <c r="C38" s="166"/>
      <c r="D38" s="166"/>
      <c r="E38" s="166"/>
      <c r="F38" s="166"/>
      <c r="G38" s="165" t="s">
        <v>306</v>
      </c>
      <c r="H38" s="166"/>
      <c r="I38" s="182">
        <v>0</v>
      </c>
      <c r="J38" s="166"/>
      <c r="K38" s="166"/>
      <c r="M38" s="194" t="s">
        <v>295</v>
      </c>
      <c r="N38" s="196">
        <f>ROUND(S95*$I$32,0)</f>
        <v>3140487</v>
      </c>
      <c r="O38" s="195"/>
    </row>
    <row r="39" spans="1:15">
      <c r="A39" s="173">
        <v>12</v>
      </c>
      <c r="B39" s="193" t="s">
        <v>307</v>
      </c>
      <c r="C39" s="166"/>
      <c r="D39" s="166"/>
      <c r="E39" s="166"/>
      <c r="F39" s="166"/>
      <c r="G39" s="165"/>
      <c r="H39" s="166"/>
      <c r="I39" s="182">
        <v>0</v>
      </c>
      <c r="J39" s="166"/>
      <c r="K39" s="166"/>
      <c r="M39" s="194" t="s">
        <v>298</v>
      </c>
      <c r="N39" s="196">
        <f>ROUND(S96*$I$32,0)</f>
        <v>3093308</v>
      </c>
      <c r="O39" s="195">
        <f>+I42-O38</f>
        <v>680773.16666666663</v>
      </c>
    </row>
    <row r="40" spans="1:15">
      <c r="A40" s="173">
        <v>13</v>
      </c>
      <c r="B40" s="193" t="s">
        <v>308</v>
      </c>
      <c r="C40" s="166"/>
      <c r="D40" s="166"/>
      <c r="E40" s="166"/>
      <c r="F40" s="166"/>
      <c r="G40" s="165"/>
      <c r="H40" s="166"/>
      <c r="I40" s="197">
        <v>0</v>
      </c>
      <c r="J40" s="166"/>
      <c r="K40" s="166"/>
      <c r="M40" s="194" t="s">
        <v>619</v>
      </c>
      <c r="N40" s="196">
        <f>ROUND(S97*$I$32,0)</f>
        <v>0</v>
      </c>
      <c r="O40" s="195">
        <v>0</v>
      </c>
    </row>
    <row r="41" spans="1:15" ht="16.2" thickBot="1">
      <c r="A41" s="173">
        <v>14</v>
      </c>
      <c r="B41" s="163" t="s">
        <v>309</v>
      </c>
      <c r="C41" s="166"/>
      <c r="D41" s="166"/>
      <c r="E41" s="166"/>
      <c r="F41" s="166"/>
      <c r="G41" s="166"/>
      <c r="H41" s="166"/>
      <c r="I41" s="186">
        <v>0</v>
      </c>
      <c r="J41" s="166"/>
      <c r="K41" s="166"/>
      <c r="M41" s="198" t="s">
        <v>301</v>
      </c>
      <c r="N41" s="196">
        <f>+N38+N39+N40</f>
        <v>6233795</v>
      </c>
      <c r="O41" s="199">
        <f>+O38+O39+O40</f>
        <v>680773.16666666663</v>
      </c>
    </row>
    <row r="42" spans="1:15">
      <c r="A42" s="173">
        <v>15</v>
      </c>
      <c r="B42" s="179" t="s">
        <v>310</v>
      </c>
      <c r="C42" s="166"/>
      <c r="D42" s="166"/>
      <c r="E42" s="166"/>
      <c r="F42" s="166"/>
      <c r="G42" s="166"/>
      <c r="H42" s="166"/>
      <c r="I42" s="177">
        <f>SUM(I35:I41)</f>
        <v>680773.16666666663</v>
      </c>
      <c r="J42" s="166"/>
      <c r="K42" s="166"/>
      <c r="M42" s="200" t="s">
        <v>304</v>
      </c>
      <c r="O42" s="201"/>
    </row>
    <row r="43" spans="1:15">
      <c r="A43" s="173"/>
      <c r="B43" s="179"/>
      <c r="C43" s="166"/>
      <c r="D43" s="166"/>
      <c r="E43" s="166"/>
      <c r="F43" s="166"/>
      <c r="G43" s="166"/>
      <c r="H43" s="166"/>
      <c r="I43" s="177"/>
      <c r="J43" s="166"/>
      <c r="K43" s="166"/>
      <c r="N43" s="366">
        <f>I32-N41</f>
        <v>-0.73898149840533733</v>
      </c>
    </row>
    <row r="44" spans="1:15">
      <c r="A44" s="173">
        <v>16</v>
      </c>
      <c r="B44" s="179" t="s">
        <v>311</v>
      </c>
      <c r="C44" s="166" t="s">
        <v>312</v>
      </c>
      <c r="D44" s="202">
        <f>IF(I42&gt;0,I32/I42,0)</f>
        <v>9.1569329789269052</v>
      </c>
      <c r="E44" s="166"/>
      <c r="F44" s="166"/>
      <c r="G44" s="166"/>
      <c r="H44" s="166"/>
      <c r="J44" s="166"/>
      <c r="K44" s="166"/>
    </row>
    <row r="45" spans="1:15">
      <c r="A45" s="173">
        <v>17</v>
      </c>
      <c r="B45" s="179" t="s">
        <v>313</v>
      </c>
      <c r="C45" s="166"/>
      <c r="D45" s="202">
        <f>+D44/12</f>
        <v>0.76307774824390873</v>
      </c>
      <c r="E45" s="166"/>
      <c r="F45" s="166"/>
      <c r="G45" s="166"/>
      <c r="H45" s="166"/>
      <c r="J45" s="166"/>
      <c r="K45" s="166"/>
    </row>
    <row r="46" spans="1:15">
      <c r="A46" s="173"/>
      <c r="B46" s="179"/>
      <c r="C46" s="166"/>
      <c r="D46" s="202"/>
      <c r="E46" s="166"/>
      <c r="F46" s="166"/>
      <c r="G46" s="166"/>
      <c r="H46" s="166"/>
      <c r="J46" s="166"/>
      <c r="K46" s="166"/>
      <c r="M46" s="166"/>
      <c r="N46" s="166"/>
      <c r="O46" s="166"/>
    </row>
    <row r="47" spans="1:15">
      <c r="A47" s="173"/>
      <c r="B47" s="179"/>
      <c r="C47" s="166"/>
      <c r="D47" s="203" t="s">
        <v>314</v>
      </c>
      <c r="E47" s="166"/>
      <c r="F47" s="166"/>
      <c r="G47" s="166"/>
      <c r="H47" s="166"/>
      <c r="I47" s="204" t="s">
        <v>315</v>
      </c>
      <c r="J47" s="166"/>
      <c r="K47" s="166"/>
      <c r="M47" s="166"/>
      <c r="N47" s="166"/>
      <c r="O47" s="166"/>
    </row>
    <row r="48" spans="1:15">
      <c r="A48" s="173">
        <v>18</v>
      </c>
      <c r="B48" s="179" t="s">
        <v>316</v>
      </c>
      <c r="C48" s="166" t="s">
        <v>317</v>
      </c>
      <c r="D48" s="202">
        <f>+D44/52</f>
        <v>0.17609486497936355</v>
      </c>
      <c r="E48" s="166"/>
      <c r="F48" s="166"/>
      <c r="G48" s="166"/>
      <c r="H48" s="166"/>
      <c r="I48" s="205">
        <f>+D44/52</f>
        <v>0.17609486497936355</v>
      </c>
      <c r="J48" s="166"/>
      <c r="K48" s="166"/>
      <c r="M48" s="166"/>
      <c r="N48" s="166"/>
      <c r="O48" s="166"/>
    </row>
    <row r="49" spans="1:15">
      <c r="A49" s="173">
        <v>19</v>
      </c>
      <c r="B49" s="179" t="s">
        <v>318</v>
      </c>
      <c r="C49" s="166" t="s">
        <v>319</v>
      </c>
      <c r="D49" s="202">
        <f>+D44/260</f>
        <v>3.5218972995872712E-2</v>
      </c>
      <c r="E49" s="166" t="s">
        <v>320</v>
      </c>
      <c r="G49" s="166"/>
      <c r="H49" s="166"/>
      <c r="I49" s="205">
        <f>+D44/365</f>
        <v>2.5087487613498369E-2</v>
      </c>
      <c r="J49" s="166"/>
      <c r="K49" s="166"/>
      <c r="M49" s="166"/>
      <c r="N49" s="166"/>
      <c r="O49" s="166"/>
    </row>
    <row r="50" spans="1:15">
      <c r="A50" s="173">
        <v>20</v>
      </c>
      <c r="B50" s="179" t="s">
        <v>321</v>
      </c>
      <c r="C50" s="166" t="s">
        <v>322</v>
      </c>
      <c r="D50" s="202">
        <f>+D44/4160*1000</f>
        <v>2.2011858122420445</v>
      </c>
      <c r="E50" s="166" t="s">
        <v>323</v>
      </c>
      <c r="G50" s="166"/>
      <c r="H50" s="166"/>
      <c r="I50" s="205">
        <f>+D44/8760*1000</f>
        <v>1.0453119838957654</v>
      </c>
      <c r="J50" s="166"/>
      <c r="K50" s="166" t="s">
        <v>247</v>
      </c>
      <c r="M50" s="166"/>
      <c r="N50" s="166"/>
      <c r="O50" s="166"/>
    </row>
    <row r="51" spans="1:15">
      <c r="A51" s="173"/>
      <c r="B51" s="179"/>
      <c r="C51" s="166" t="s">
        <v>324</v>
      </c>
      <c r="D51" s="166"/>
      <c r="E51" s="166" t="s">
        <v>325</v>
      </c>
      <c r="G51" s="166"/>
      <c r="H51" s="166"/>
      <c r="J51" s="166"/>
      <c r="K51" s="166" t="s">
        <v>247</v>
      </c>
      <c r="M51" s="166"/>
      <c r="N51" s="166"/>
      <c r="O51" s="166"/>
    </row>
    <row r="52" spans="1:15">
      <c r="A52" s="173"/>
      <c r="B52" s="179"/>
      <c r="C52" s="166"/>
      <c r="D52" s="166"/>
      <c r="E52" s="166"/>
      <c r="G52" s="166"/>
      <c r="H52" s="166"/>
      <c r="J52" s="166"/>
      <c r="K52" s="166" t="s">
        <v>247</v>
      </c>
      <c r="M52" s="166"/>
      <c r="N52" s="166"/>
      <c r="O52" s="166"/>
    </row>
    <row r="53" spans="1:15">
      <c r="A53" s="173">
        <v>21</v>
      </c>
      <c r="B53" s="179" t="s">
        <v>326</v>
      </c>
      <c r="C53" s="166" t="s">
        <v>327</v>
      </c>
      <c r="D53" s="206">
        <v>0</v>
      </c>
      <c r="E53" s="207" t="s">
        <v>328</v>
      </c>
      <c r="F53" s="207"/>
      <c r="G53" s="207"/>
      <c r="H53" s="207"/>
      <c r="I53" s="207">
        <f>D53</f>
        <v>0</v>
      </c>
      <c r="J53" s="207" t="s">
        <v>328</v>
      </c>
      <c r="K53" s="166"/>
      <c r="M53" s="166"/>
      <c r="N53" s="166"/>
      <c r="O53" s="166"/>
    </row>
    <row r="54" spans="1:15">
      <c r="A54" s="173">
        <v>22</v>
      </c>
      <c r="B54" s="179"/>
      <c r="C54" s="166"/>
      <c r="D54" s="206">
        <v>0</v>
      </c>
      <c r="E54" s="207" t="s">
        <v>329</v>
      </c>
      <c r="F54" s="207"/>
      <c r="G54" s="207"/>
      <c r="H54" s="207"/>
      <c r="I54" s="207">
        <f>D54</f>
        <v>0</v>
      </c>
      <c r="J54" s="207" t="s">
        <v>329</v>
      </c>
      <c r="K54" s="166"/>
      <c r="M54" s="166"/>
      <c r="N54" s="166"/>
      <c r="O54" s="166"/>
    </row>
    <row r="55" spans="1:15">
      <c r="J55" s="165"/>
      <c r="K55" s="166"/>
      <c r="M55" s="166"/>
      <c r="N55" s="166"/>
      <c r="O55" s="166"/>
    </row>
    <row r="56" spans="1:15">
      <c r="J56" s="165"/>
      <c r="K56" s="166"/>
      <c r="M56" s="166"/>
      <c r="N56" s="166"/>
      <c r="O56" s="166"/>
    </row>
    <row r="57" spans="1:15">
      <c r="J57" s="165"/>
      <c r="K57" s="166"/>
      <c r="M57" s="166"/>
      <c r="N57" s="166"/>
      <c r="O57" s="166"/>
    </row>
    <row r="58" spans="1:15">
      <c r="J58" s="165"/>
      <c r="K58" s="166"/>
      <c r="M58" s="166"/>
      <c r="N58" s="166"/>
      <c r="O58" s="166"/>
    </row>
    <row r="59" spans="1:15">
      <c r="J59" s="165"/>
      <c r="K59" s="166"/>
      <c r="M59" s="166"/>
      <c r="N59" s="166"/>
      <c r="O59" s="166"/>
    </row>
    <row r="60" spans="1:15">
      <c r="J60" s="165"/>
      <c r="K60" s="166"/>
      <c r="M60" s="166"/>
      <c r="N60" s="166"/>
      <c r="O60" s="166"/>
    </row>
    <row r="61" spans="1:15">
      <c r="J61" s="165"/>
      <c r="K61" s="166"/>
      <c r="M61" s="166"/>
      <c r="N61" s="166"/>
      <c r="O61" s="166"/>
    </row>
    <row r="62" spans="1:15">
      <c r="J62" s="165"/>
      <c r="K62" s="166"/>
      <c r="M62" s="166"/>
      <c r="N62" s="166"/>
      <c r="O62" s="166"/>
    </row>
    <row r="63" spans="1:15">
      <c r="J63" s="165"/>
      <c r="K63" s="166"/>
      <c r="M63" s="166"/>
      <c r="N63" s="166"/>
      <c r="O63" s="166"/>
    </row>
    <row r="64" spans="1:15">
      <c r="J64" s="165"/>
      <c r="K64" s="166"/>
      <c r="M64" s="166"/>
      <c r="N64" s="166"/>
      <c r="O64" s="166"/>
    </row>
    <row r="65" spans="10:15">
      <c r="J65" s="165"/>
      <c r="K65" s="166"/>
      <c r="M65" s="166"/>
      <c r="N65" s="166"/>
      <c r="O65" s="166"/>
    </row>
    <row r="66" spans="10:15">
      <c r="J66" s="165"/>
      <c r="K66" s="166"/>
      <c r="M66" s="166"/>
      <c r="N66" s="166"/>
      <c r="O66" s="166"/>
    </row>
    <row r="67" spans="10:15">
      <c r="J67" s="165"/>
      <c r="K67" s="166"/>
      <c r="M67" s="166"/>
      <c r="N67" s="166"/>
      <c r="O67" s="166"/>
    </row>
    <row r="68" spans="10:15">
      <c r="J68" s="165"/>
      <c r="K68" s="166"/>
      <c r="M68" s="166"/>
      <c r="N68" s="166"/>
      <c r="O68" s="166"/>
    </row>
    <row r="69" spans="10:15">
      <c r="J69" s="165"/>
      <c r="K69" s="166"/>
      <c r="M69" s="166"/>
      <c r="N69" s="166"/>
      <c r="O69" s="166"/>
    </row>
    <row r="70" spans="10:15">
      <c r="J70" s="165"/>
      <c r="K70" s="166"/>
      <c r="M70" s="166"/>
      <c r="N70" s="166"/>
      <c r="O70" s="166"/>
    </row>
    <row r="71" spans="10:15">
      <c r="J71" s="165"/>
      <c r="K71" s="166"/>
      <c r="M71" s="166"/>
      <c r="N71" s="166"/>
      <c r="O71" s="166"/>
    </row>
    <row r="72" spans="10:15">
      <c r="J72" s="165"/>
      <c r="K72" s="166"/>
      <c r="M72" s="166"/>
      <c r="N72" s="166"/>
      <c r="O72" s="166"/>
    </row>
    <row r="73" spans="10:15">
      <c r="J73" s="165"/>
      <c r="K73" s="166"/>
      <c r="M73" s="166"/>
      <c r="N73" s="166"/>
      <c r="O73" s="166"/>
    </row>
    <row r="74" spans="10:15">
      <c r="J74" s="165"/>
      <c r="K74" s="166"/>
      <c r="M74" s="166"/>
      <c r="N74" s="166"/>
      <c r="O74" s="166"/>
    </row>
    <row r="75" spans="10:15">
      <c r="J75" s="165"/>
      <c r="K75" s="166"/>
      <c r="M75" s="166"/>
      <c r="N75" s="166"/>
      <c r="O75" s="166"/>
    </row>
    <row r="76" spans="10:15">
      <c r="J76" s="165"/>
      <c r="K76" s="166"/>
      <c r="M76" s="166"/>
      <c r="N76" s="166"/>
      <c r="O76" s="166"/>
    </row>
    <row r="77" spans="10:15">
      <c r="J77" s="165"/>
      <c r="K77" s="166"/>
      <c r="M77" s="166"/>
      <c r="N77" s="166"/>
      <c r="O77" s="166"/>
    </row>
    <row r="78" spans="10:15">
      <c r="J78" s="165"/>
      <c r="K78" s="166"/>
      <c r="M78" s="166"/>
      <c r="N78" s="166"/>
      <c r="O78" s="166"/>
    </row>
    <row r="79" spans="10:15">
      <c r="J79" s="165"/>
      <c r="K79" s="166"/>
      <c r="M79" s="166"/>
      <c r="N79" s="166"/>
      <c r="O79" s="166"/>
    </row>
    <row r="80" spans="10:15">
      <c r="J80" s="165"/>
      <c r="K80" s="166"/>
      <c r="M80" s="166"/>
      <c r="N80" s="166"/>
      <c r="O80" s="166"/>
    </row>
    <row r="81" spans="1:21">
      <c r="J81" s="165"/>
      <c r="K81" s="162" t="s">
        <v>621</v>
      </c>
      <c r="M81" s="166"/>
      <c r="N81" s="166"/>
      <c r="O81" s="166"/>
    </row>
    <row r="82" spans="1:21">
      <c r="B82" s="163"/>
      <c r="C82" s="163"/>
      <c r="D82" s="164"/>
      <c r="E82" s="163"/>
      <c r="F82" s="163"/>
      <c r="G82" s="163"/>
      <c r="H82" s="165"/>
      <c r="I82" s="165"/>
      <c r="K82" s="162" t="s">
        <v>330</v>
      </c>
      <c r="M82" s="166"/>
      <c r="N82" s="166"/>
      <c r="O82" s="166"/>
    </row>
    <row r="83" spans="1:21">
      <c r="B83" s="166"/>
      <c r="C83" s="166"/>
      <c r="D83" s="166"/>
      <c r="E83" s="166"/>
      <c r="F83" s="166"/>
      <c r="G83" s="166"/>
      <c r="H83" s="166"/>
      <c r="I83" s="166"/>
      <c r="J83" s="166"/>
      <c r="K83" s="166"/>
      <c r="M83" s="166"/>
      <c r="N83" s="166"/>
      <c r="O83" s="166"/>
    </row>
    <row r="84" spans="1:21">
      <c r="B84" s="179" t="str">
        <f>B4</f>
        <v xml:space="preserve">Formula Rate - Non-Levelized </v>
      </c>
      <c r="C84" s="179"/>
      <c r="D84" s="208" t="str">
        <f>D4</f>
        <v xml:space="preserve">   Rate Formula Template</v>
      </c>
      <c r="E84" s="179"/>
      <c r="F84" s="179"/>
      <c r="G84" s="179"/>
      <c r="H84" s="179"/>
      <c r="J84" s="179"/>
      <c r="K84" s="162" t="str">
        <f>K4</f>
        <v>For the 12 months ended 12/31/16</v>
      </c>
      <c r="M84" s="179"/>
      <c r="N84" s="179"/>
      <c r="O84" s="179"/>
    </row>
    <row r="85" spans="1:21">
      <c r="B85" s="179"/>
      <c r="C85" s="172" t="s">
        <v>247</v>
      </c>
      <c r="D85" s="172" t="str">
        <f>D5</f>
        <v>Utilizing EIA Form 412 Data</v>
      </c>
      <c r="E85" s="172"/>
      <c r="F85" s="172"/>
      <c r="G85" s="172"/>
      <c r="H85" s="172"/>
      <c r="I85" s="172"/>
      <c r="J85" s="172"/>
      <c r="K85" s="172"/>
      <c r="M85" s="166"/>
      <c r="N85" s="172"/>
      <c r="O85" s="179"/>
    </row>
    <row r="86" spans="1:21">
      <c r="B86" s="179"/>
      <c r="C86" s="172" t="s">
        <v>247</v>
      </c>
      <c r="D86" s="172" t="s">
        <v>247</v>
      </c>
      <c r="E86" s="172"/>
      <c r="F86" s="172"/>
      <c r="G86" s="172" t="s">
        <v>247</v>
      </c>
      <c r="H86" s="172"/>
      <c r="I86" s="172"/>
      <c r="J86" s="172"/>
      <c r="K86" s="172"/>
      <c r="M86" s="172"/>
      <c r="N86" s="172"/>
      <c r="O86" s="179"/>
    </row>
    <row r="87" spans="1:21">
      <c r="B87" s="179"/>
      <c r="C87" s="166"/>
      <c r="D87" s="172" t="str">
        <f>D7</f>
        <v>MRES</v>
      </c>
      <c r="E87" s="172"/>
      <c r="F87" s="172"/>
      <c r="G87" s="172"/>
      <c r="H87" s="172"/>
      <c r="I87" s="172"/>
      <c r="J87" s="172"/>
      <c r="K87" s="172"/>
      <c r="M87" s="172"/>
      <c r="N87" s="172"/>
      <c r="O87" s="179"/>
    </row>
    <row r="88" spans="1:21">
      <c r="B88" s="167" t="s">
        <v>331</v>
      </c>
      <c r="C88" s="167" t="s">
        <v>332</v>
      </c>
      <c r="D88" s="167" t="s">
        <v>333</v>
      </c>
      <c r="E88" s="172" t="s">
        <v>247</v>
      </c>
      <c r="F88" s="172"/>
      <c r="G88" s="209" t="s">
        <v>334</v>
      </c>
      <c r="H88" s="172"/>
      <c r="I88" s="210" t="s">
        <v>335</v>
      </c>
      <c r="J88" s="172"/>
      <c r="K88" s="167"/>
      <c r="M88" s="167"/>
      <c r="N88" s="172"/>
      <c r="O88" s="179"/>
      <c r="T88" s="360"/>
      <c r="U88" s="137"/>
    </row>
    <row r="89" spans="1:21">
      <c r="A89" s="173" t="s">
        <v>250</v>
      </c>
      <c r="B89" s="179"/>
      <c r="C89" s="211" t="s">
        <v>336</v>
      </c>
      <c r="D89" s="172"/>
      <c r="E89" s="172"/>
      <c r="F89" s="172"/>
      <c r="G89" s="173"/>
      <c r="H89" s="172"/>
      <c r="I89" s="212" t="s">
        <v>24</v>
      </c>
      <c r="J89" s="172"/>
      <c r="K89" s="167"/>
      <c r="M89" s="167"/>
      <c r="N89" s="167"/>
      <c r="O89" s="179"/>
      <c r="T89" s="360"/>
      <c r="U89" s="137"/>
    </row>
    <row r="90" spans="1:21" ht="16.2" thickBot="1">
      <c r="A90" s="176" t="s">
        <v>252</v>
      </c>
      <c r="B90" s="213" t="s">
        <v>337</v>
      </c>
      <c r="C90" s="214" t="s">
        <v>338</v>
      </c>
      <c r="D90" s="212" t="s">
        <v>339</v>
      </c>
      <c r="E90" s="215"/>
      <c r="F90" s="212" t="s">
        <v>340</v>
      </c>
      <c r="H90" s="215"/>
      <c r="I90" s="173" t="s">
        <v>341</v>
      </c>
      <c r="J90" s="172"/>
      <c r="K90" s="167"/>
      <c r="M90" s="167"/>
      <c r="N90" s="167"/>
      <c r="O90" s="179"/>
      <c r="T90" s="360"/>
      <c r="U90" s="156"/>
    </row>
    <row r="91" spans="1:21">
      <c r="A91" s="173"/>
      <c r="B91" s="179" t="s">
        <v>342</v>
      </c>
      <c r="C91" s="172"/>
      <c r="D91" s="172"/>
      <c r="E91" s="172"/>
      <c r="F91" s="172"/>
      <c r="G91" s="172"/>
      <c r="H91" s="172"/>
      <c r="I91" s="172"/>
      <c r="J91" s="172"/>
      <c r="K91" s="172"/>
      <c r="M91" s="172"/>
      <c r="N91" s="172"/>
      <c r="O91" s="179"/>
      <c r="T91" s="361"/>
      <c r="U91" s="157"/>
    </row>
    <row r="92" spans="1:21">
      <c r="A92" s="173">
        <v>1</v>
      </c>
      <c r="B92" s="179" t="s">
        <v>343</v>
      </c>
      <c r="C92" s="172" t="s">
        <v>344</v>
      </c>
      <c r="D92" s="136">
        <f>Plant!E22</f>
        <v>320117748.94</v>
      </c>
      <c r="E92" s="172"/>
      <c r="F92" s="172" t="s">
        <v>345</v>
      </c>
      <c r="G92" s="217" t="s">
        <v>247</v>
      </c>
      <c r="H92" s="172"/>
      <c r="I92" s="172" t="s">
        <v>247</v>
      </c>
      <c r="J92" s="172"/>
      <c r="K92" s="172"/>
      <c r="N92" s="172"/>
      <c r="O92" s="179"/>
      <c r="T92" s="362"/>
      <c r="U92" s="158"/>
    </row>
    <row r="93" spans="1:21">
      <c r="A93" s="173">
        <v>2</v>
      </c>
      <c r="B93" s="179" t="s">
        <v>348</v>
      </c>
      <c r="C93" s="172" t="s">
        <v>349</v>
      </c>
      <c r="D93" s="136">
        <f>Plant!F22</f>
        <v>75312061.820000023</v>
      </c>
      <c r="E93" s="172"/>
      <c r="F93" s="172" t="s">
        <v>259</v>
      </c>
      <c r="G93" s="217">
        <f>$I$229</f>
        <v>1</v>
      </c>
      <c r="H93" s="172"/>
      <c r="I93" s="172">
        <f>+G93*D93</f>
        <v>75312061.820000023</v>
      </c>
      <c r="J93" s="172"/>
      <c r="K93" s="172"/>
      <c r="P93" s="218" t="s">
        <v>623</v>
      </c>
      <c r="Q93" s="218" t="s">
        <v>623</v>
      </c>
      <c r="R93" s="218" t="s">
        <v>346</v>
      </c>
      <c r="S93" s="218" t="s">
        <v>347</v>
      </c>
      <c r="T93" s="363"/>
      <c r="U93" s="137"/>
    </row>
    <row r="94" spans="1:21">
      <c r="A94" s="173" t="s">
        <v>350</v>
      </c>
      <c r="B94" s="179" t="s">
        <v>351</v>
      </c>
      <c r="C94" s="219"/>
      <c r="D94" s="136">
        <f>Plant!G22</f>
        <v>98823935.615384609</v>
      </c>
      <c r="E94" s="172"/>
      <c r="F94" s="172" t="s">
        <v>259</v>
      </c>
      <c r="G94" s="217">
        <f>$I$229</f>
        <v>1</v>
      </c>
      <c r="H94" s="172"/>
      <c r="I94" s="172">
        <f>+G94*D94</f>
        <v>98823935.615384609</v>
      </c>
      <c r="J94" s="172"/>
      <c r="K94" s="172"/>
      <c r="M94" s="220" t="s">
        <v>291</v>
      </c>
      <c r="N94" s="221" t="s">
        <v>346</v>
      </c>
      <c r="O94" s="222" t="s">
        <v>347</v>
      </c>
      <c r="P94" s="223" t="s">
        <v>624</v>
      </c>
      <c r="Q94" s="223" t="s">
        <v>625</v>
      </c>
      <c r="R94" s="218" t="s">
        <v>620</v>
      </c>
      <c r="S94" s="218" t="s">
        <v>626</v>
      </c>
      <c r="T94" s="364"/>
      <c r="U94" s="365"/>
    </row>
    <row r="95" spans="1:21">
      <c r="A95" s="173">
        <v>3</v>
      </c>
      <c r="B95" s="179" t="s">
        <v>352</v>
      </c>
      <c r="C95" s="172" t="s">
        <v>353</v>
      </c>
      <c r="D95" s="136">
        <v>0</v>
      </c>
      <c r="E95" s="172"/>
      <c r="F95" s="172" t="s">
        <v>345</v>
      </c>
      <c r="G95" s="217" t="s">
        <v>247</v>
      </c>
      <c r="H95" s="172"/>
      <c r="I95" s="219"/>
      <c r="J95" s="172"/>
      <c r="K95" s="172"/>
      <c r="M95" s="194" t="s">
        <v>295</v>
      </c>
      <c r="N95" s="224">
        <f>Plant!M22</f>
        <v>35392765.210000023</v>
      </c>
      <c r="O95" s="225">
        <f>N95/N98</f>
        <v>0.20324783922481598</v>
      </c>
      <c r="P95" s="224">
        <v>0</v>
      </c>
      <c r="Q95" s="224">
        <v>0</v>
      </c>
      <c r="R95" s="226">
        <f>N95-P95-Q95</f>
        <v>35392765.210000023</v>
      </c>
      <c r="S95" s="227">
        <f>R95/R98</f>
        <v>0.50378414677840755</v>
      </c>
    </row>
    <row r="96" spans="1:21">
      <c r="A96" s="173">
        <v>4</v>
      </c>
      <c r="B96" s="179" t="s">
        <v>354</v>
      </c>
      <c r="C96" s="172" t="s">
        <v>355</v>
      </c>
      <c r="D96" s="136">
        <f>Plant!I22+Plant!J22</f>
        <v>27052431.599999998</v>
      </c>
      <c r="E96" s="172"/>
      <c r="F96" s="172" t="s">
        <v>356</v>
      </c>
      <c r="G96" s="217">
        <f>I245</f>
        <v>0.15744139593430984</v>
      </c>
      <c r="H96" s="172"/>
      <c r="I96" s="172">
        <f>+G96*D96</f>
        <v>4259172.594521435</v>
      </c>
      <c r="J96" s="172"/>
      <c r="K96" s="172"/>
      <c r="M96" s="194" t="s">
        <v>298</v>
      </c>
      <c r="N96" s="224">
        <f>Plant!N22</f>
        <v>34861063.610000022</v>
      </c>
      <c r="O96" s="228">
        <f>N96/N98</f>
        <v>0.20019446939990487</v>
      </c>
      <c r="P96" s="224">
        <v>0</v>
      </c>
      <c r="Q96" s="224">
        <v>0</v>
      </c>
      <c r="R96" s="226">
        <f>N96-P96-Q96</f>
        <v>34861063.610000022</v>
      </c>
      <c r="S96" s="227">
        <f>R96/R98</f>
        <v>0.49621585322159234</v>
      </c>
    </row>
    <row r="97" spans="1:22" ht="16.2" thickBot="1">
      <c r="A97" s="173">
        <v>5</v>
      </c>
      <c r="B97" s="179" t="s">
        <v>357</v>
      </c>
      <c r="C97" s="172"/>
      <c r="D97" s="138">
        <v>0</v>
      </c>
      <c r="E97" s="172"/>
      <c r="F97" s="172" t="s">
        <v>358</v>
      </c>
      <c r="G97" s="217">
        <f>K249</f>
        <v>0.15744139593430984</v>
      </c>
      <c r="H97" s="172"/>
      <c r="I97" s="184">
        <f>+G97*D97</f>
        <v>0</v>
      </c>
      <c r="J97" s="172"/>
      <c r="K97" s="172"/>
      <c r="M97" s="194" t="s">
        <v>619</v>
      </c>
      <c r="N97" s="224">
        <f>SUM(Plant!O22:R22)</f>
        <v>103882168.61538461</v>
      </c>
      <c r="O97" s="228">
        <f>N97/N98</f>
        <v>0.59655769137527925</v>
      </c>
      <c r="P97" s="224">
        <f>SUM(Plant!O22:Q22)</f>
        <v>67156614</v>
      </c>
      <c r="Q97" s="224">
        <f>Plant!R22</f>
        <v>36725554.615384616</v>
      </c>
      <c r="R97" s="226">
        <f>N97-P97-Q97</f>
        <v>0</v>
      </c>
      <c r="S97" s="227">
        <f>R97/R98</f>
        <v>0</v>
      </c>
      <c r="T97" s="137"/>
      <c r="U97" s="137"/>
      <c r="V97" s="137"/>
    </row>
    <row r="98" spans="1:22">
      <c r="A98" s="173">
        <v>6</v>
      </c>
      <c r="B98" s="163" t="s">
        <v>359</v>
      </c>
      <c r="C98" s="172"/>
      <c r="D98" s="172">
        <f>SUM(D92:D97)</f>
        <v>521306177.97538459</v>
      </c>
      <c r="E98" s="172"/>
      <c r="F98" s="172" t="s">
        <v>360</v>
      </c>
      <c r="G98" s="230">
        <f>IF(I98&gt;0,I98/D98,0)</f>
        <v>0.3422080488720578</v>
      </c>
      <c r="H98" s="172"/>
      <c r="I98" s="172">
        <f>SUM(I92:I97)</f>
        <v>178395170.02990606</v>
      </c>
      <c r="J98" s="172"/>
      <c r="K98" s="230"/>
      <c r="M98" s="194" t="s">
        <v>627</v>
      </c>
      <c r="N98" s="196">
        <f>+I93+I94</f>
        <v>174135997.43538463</v>
      </c>
      <c r="O98" s="228">
        <f>SUM(O95:O97)</f>
        <v>1</v>
      </c>
      <c r="P98" s="196">
        <f>+P95+P96+P97</f>
        <v>67156614</v>
      </c>
      <c r="Q98" s="196">
        <f>+Q95+Q96+Q97</f>
        <v>36725554.615384616</v>
      </c>
      <c r="R98" s="231">
        <f>SUM(R95:R97)</f>
        <v>70253828.820000052</v>
      </c>
      <c r="S98" s="227">
        <f>SUM(S95:S97)</f>
        <v>0.99999999999999989</v>
      </c>
      <c r="T98" s="137"/>
      <c r="U98" s="137"/>
      <c r="V98" s="137"/>
    </row>
    <row r="99" spans="1:22">
      <c r="B99" s="179"/>
      <c r="C99" s="172"/>
      <c r="D99" s="172"/>
      <c r="E99" s="172"/>
      <c r="F99" s="172"/>
      <c r="G99" s="230"/>
      <c r="H99" s="172"/>
      <c r="I99" s="172"/>
      <c r="J99" s="172"/>
      <c r="K99" s="230"/>
      <c r="M99" s="200" t="s">
        <v>304</v>
      </c>
      <c r="P99" s="232"/>
      <c r="Q99" s="232"/>
      <c r="R99" s="232"/>
      <c r="T99" s="137"/>
      <c r="U99" s="137"/>
      <c r="V99" s="137"/>
    </row>
    <row r="100" spans="1:22">
      <c r="B100" s="179" t="s">
        <v>361</v>
      </c>
      <c r="C100" s="172"/>
      <c r="D100" s="172"/>
      <c r="E100" s="172"/>
      <c r="F100" s="172"/>
      <c r="G100" s="172"/>
      <c r="H100" s="172"/>
      <c r="I100" s="172"/>
      <c r="J100" s="172"/>
      <c r="K100" s="172"/>
      <c r="M100" s="233"/>
      <c r="N100" s="234"/>
      <c r="T100" s="137"/>
      <c r="U100" s="159"/>
      <c r="V100" s="137"/>
    </row>
    <row r="101" spans="1:22">
      <c r="A101" s="173">
        <v>7</v>
      </c>
      <c r="B101" s="179" t="str">
        <f>+B92</f>
        <v xml:space="preserve">  Production</v>
      </c>
      <c r="D101" s="135">
        <f>Plant!E40</f>
        <v>186362997.47892034</v>
      </c>
      <c r="E101" s="172"/>
      <c r="F101" s="172" t="str">
        <f>+F92</f>
        <v>NA</v>
      </c>
      <c r="G101" s="217" t="str">
        <f>+G92</f>
        <v xml:space="preserve"> </v>
      </c>
      <c r="H101" s="172"/>
      <c r="I101" s="172" t="s">
        <v>247</v>
      </c>
      <c r="J101" s="172"/>
      <c r="K101" s="172"/>
      <c r="M101" s="236" t="s">
        <v>628</v>
      </c>
      <c r="N101" s="237">
        <f>I93+I94</f>
        <v>174135997.43538463</v>
      </c>
      <c r="O101" s="172"/>
      <c r="P101" s="179"/>
      <c r="Q101" s="179"/>
      <c r="T101" s="137"/>
      <c r="U101" s="137"/>
      <c r="V101" s="137"/>
    </row>
    <row r="102" spans="1:22">
      <c r="A102" s="173">
        <v>8</v>
      </c>
      <c r="B102" s="179" t="str">
        <f>+B93</f>
        <v xml:space="preserve">  Transmission</v>
      </c>
      <c r="D102" s="135">
        <f>Plant!F40</f>
        <v>37906274.239743881</v>
      </c>
      <c r="E102" s="172"/>
      <c r="F102" s="172" t="str">
        <f>+F93</f>
        <v>TP</v>
      </c>
      <c r="G102" s="217">
        <f>G93</f>
        <v>1</v>
      </c>
      <c r="H102" s="172"/>
      <c r="I102" s="172">
        <f>+G102*D102</f>
        <v>37906274.239743881</v>
      </c>
      <c r="J102" s="172"/>
      <c r="K102" s="172"/>
      <c r="M102" s="238" t="s">
        <v>304</v>
      </c>
      <c r="N102" s="239"/>
      <c r="O102" s="172"/>
      <c r="P102" s="179"/>
      <c r="Q102" s="179"/>
      <c r="T102" s="160"/>
      <c r="U102" s="137"/>
      <c r="V102" s="137"/>
    </row>
    <row r="103" spans="1:22">
      <c r="A103" s="173" t="s">
        <v>362</v>
      </c>
      <c r="B103" s="179" t="s">
        <v>363</v>
      </c>
      <c r="C103" s="240"/>
      <c r="D103" s="135">
        <f>Plant!G40</f>
        <v>4868047.8182051294</v>
      </c>
      <c r="E103" s="219"/>
      <c r="F103" s="172" t="s">
        <v>259</v>
      </c>
      <c r="G103" s="217">
        <f>G93</f>
        <v>1</v>
      </c>
      <c r="H103" s="219"/>
      <c r="I103" s="172">
        <f>+G103*D103</f>
        <v>4868047.8182051294</v>
      </c>
      <c r="J103" s="172"/>
      <c r="K103" s="172"/>
      <c r="M103" s="241"/>
      <c r="N103" s="241"/>
      <c r="O103" s="172"/>
      <c r="P103" s="179"/>
      <c r="Q103" s="179"/>
      <c r="T103" s="137"/>
      <c r="U103" s="137"/>
      <c r="V103" s="137"/>
    </row>
    <row r="104" spans="1:22">
      <c r="A104" s="173">
        <v>9</v>
      </c>
      <c r="B104" s="179" t="str">
        <f>+B95</f>
        <v xml:space="preserve">  Distribution</v>
      </c>
      <c r="D104" s="135">
        <v>0</v>
      </c>
      <c r="E104" s="172"/>
      <c r="F104" s="172" t="str">
        <f t="shared" ref="F104:G106" si="0">+F95</f>
        <v>NA</v>
      </c>
      <c r="G104" s="217" t="str">
        <f t="shared" si="0"/>
        <v xml:space="preserve"> </v>
      </c>
      <c r="H104" s="172"/>
      <c r="I104" s="172"/>
      <c r="J104" s="172"/>
      <c r="K104" s="172"/>
      <c r="M104" s="241" t="s">
        <v>629</v>
      </c>
      <c r="N104" s="241">
        <f>N101-N98</f>
        <v>0</v>
      </c>
      <c r="O104" s="172"/>
      <c r="P104" s="179"/>
      <c r="Q104" s="179"/>
    </row>
    <row r="105" spans="1:22">
      <c r="A105" s="173">
        <v>10</v>
      </c>
      <c r="B105" s="179" t="str">
        <f>+B96</f>
        <v xml:space="preserve">  General &amp; Intangible</v>
      </c>
      <c r="D105" s="135">
        <f>Plant!I40+Plant!J40</f>
        <v>16853286.193062156</v>
      </c>
      <c r="E105" s="172"/>
      <c r="F105" s="172" t="str">
        <f t="shared" si="0"/>
        <v>W/S</v>
      </c>
      <c r="G105" s="217">
        <f t="shared" si="0"/>
        <v>0.15744139593430984</v>
      </c>
      <c r="H105" s="172"/>
      <c r="I105" s="172">
        <f>+G105*D105</f>
        <v>2653404.9043161361</v>
      </c>
      <c r="J105" s="172"/>
      <c r="K105" s="172"/>
      <c r="M105" s="172"/>
      <c r="N105" s="167"/>
      <c r="O105" s="179"/>
    </row>
    <row r="106" spans="1:22" ht="16.2" thickBot="1">
      <c r="A106" s="173">
        <v>11</v>
      </c>
      <c r="B106" s="179" t="str">
        <f>+B97</f>
        <v xml:space="preserve">  Common</v>
      </c>
      <c r="C106" s="172"/>
      <c r="D106" s="138">
        <v>0</v>
      </c>
      <c r="E106" s="172"/>
      <c r="F106" s="172" t="str">
        <f t="shared" si="0"/>
        <v>CE</v>
      </c>
      <c r="G106" s="217">
        <f t="shared" si="0"/>
        <v>0.15744139593430984</v>
      </c>
      <c r="H106" s="172"/>
      <c r="I106" s="184">
        <f>+G106*D106</f>
        <v>0</v>
      </c>
      <c r="J106" s="172"/>
      <c r="K106" s="172"/>
      <c r="M106" s="172"/>
      <c r="N106" s="167"/>
      <c r="O106" s="179"/>
    </row>
    <row r="107" spans="1:22">
      <c r="A107" s="173">
        <v>12</v>
      </c>
      <c r="B107" s="179" t="s">
        <v>364</v>
      </c>
      <c r="C107" s="172"/>
      <c r="D107" s="172">
        <f>SUM(D101:D106)</f>
        <v>245990605.7299315</v>
      </c>
      <c r="E107" s="172"/>
      <c r="F107" s="172"/>
      <c r="G107" s="172"/>
      <c r="H107" s="172"/>
      <c r="I107" s="172">
        <f>SUM(I101:I106)</f>
        <v>45427726.962265141</v>
      </c>
      <c r="J107" s="172"/>
      <c r="K107" s="172"/>
      <c r="M107" s="242"/>
      <c r="N107" s="172"/>
      <c r="O107" s="179"/>
    </row>
    <row r="108" spans="1:22">
      <c r="A108" s="173"/>
      <c r="C108" s="172" t="s">
        <v>247</v>
      </c>
      <c r="E108" s="172"/>
      <c r="F108" s="172"/>
      <c r="G108" s="230"/>
      <c r="H108" s="172"/>
      <c r="J108" s="172"/>
      <c r="K108" s="230"/>
      <c r="M108" s="172"/>
      <c r="N108" s="172"/>
      <c r="O108" s="179"/>
    </row>
    <row r="109" spans="1:22">
      <c r="A109" s="173"/>
      <c r="B109" s="179" t="s">
        <v>365</v>
      </c>
      <c r="C109" s="172"/>
      <c r="D109" s="172"/>
      <c r="E109" s="172"/>
      <c r="F109" s="172"/>
      <c r="G109" s="172"/>
      <c r="H109" s="172"/>
      <c r="I109" s="172"/>
      <c r="J109" s="172"/>
      <c r="K109" s="172"/>
      <c r="M109" s="172"/>
      <c r="N109" s="172"/>
      <c r="O109" s="179"/>
    </row>
    <row r="110" spans="1:22">
      <c r="A110" s="173">
        <v>13</v>
      </c>
      <c r="B110" s="179" t="str">
        <f>+B101</f>
        <v xml:space="preserve">  Production</v>
      </c>
      <c r="C110" s="172" t="s">
        <v>366</v>
      </c>
      <c r="D110" s="172">
        <f t="shared" ref="D110:D115" si="1">D92-D101</f>
        <v>133754751.46107966</v>
      </c>
      <c r="E110" s="172"/>
      <c r="F110" s="172"/>
      <c r="G110" s="230"/>
      <c r="H110" s="172"/>
      <c r="I110" s="172" t="s">
        <v>247</v>
      </c>
      <c r="J110" s="172"/>
      <c r="K110" s="230"/>
      <c r="M110" s="172"/>
      <c r="N110" s="172"/>
      <c r="O110" s="179"/>
    </row>
    <row r="111" spans="1:22">
      <c r="A111" s="173">
        <v>14</v>
      </c>
      <c r="B111" s="179" t="str">
        <f>+B102</f>
        <v xml:space="preserve">  Transmission</v>
      </c>
      <c r="C111" s="172" t="s">
        <v>367</v>
      </c>
      <c r="D111" s="172">
        <f t="shared" si="1"/>
        <v>37405787.580256142</v>
      </c>
      <c r="E111" s="172"/>
      <c r="F111" s="172"/>
      <c r="G111" s="217"/>
      <c r="H111" s="172"/>
      <c r="I111" s="172">
        <f>I93-I102</f>
        <v>37405787.580256142</v>
      </c>
      <c r="J111" s="172"/>
      <c r="K111" s="230"/>
      <c r="M111" s="172"/>
      <c r="N111" s="172"/>
      <c r="O111" s="179"/>
    </row>
    <row r="112" spans="1:22">
      <c r="A112" s="173" t="s">
        <v>368</v>
      </c>
      <c r="B112" s="179" t="s">
        <v>369</v>
      </c>
      <c r="C112" s="219"/>
      <c r="D112" s="172">
        <f>D94-D103</f>
        <v>93955887.797179475</v>
      </c>
      <c r="E112" s="219"/>
      <c r="F112" s="219"/>
      <c r="G112" s="243"/>
      <c r="H112" s="219"/>
      <c r="I112" s="172">
        <f>I94-I103</f>
        <v>93955887.797179475</v>
      </c>
      <c r="J112" s="172"/>
      <c r="K112" s="230"/>
      <c r="M112" s="172"/>
      <c r="N112" s="172"/>
      <c r="O112" s="179"/>
    </row>
    <row r="113" spans="1:15">
      <c r="A113" s="173">
        <v>15</v>
      </c>
      <c r="B113" s="179" t="str">
        <f>+B104</f>
        <v xml:space="preserve">  Distribution</v>
      </c>
      <c r="C113" s="172" t="s">
        <v>370</v>
      </c>
      <c r="D113" s="172">
        <f t="shared" si="1"/>
        <v>0</v>
      </c>
      <c r="E113" s="172"/>
      <c r="F113" s="172"/>
      <c r="G113" s="230"/>
      <c r="H113" s="172"/>
      <c r="I113" s="172">
        <f>I95-I104</f>
        <v>0</v>
      </c>
      <c r="J113" s="172"/>
      <c r="K113" s="230"/>
      <c r="M113" s="172"/>
      <c r="N113" s="172"/>
      <c r="O113" s="179"/>
    </row>
    <row r="114" spans="1:15">
      <c r="A114" s="173">
        <v>16</v>
      </c>
      <c r="B114" s="179" t="str">
        <f>+B105</f>
        <v xml:space="preserve">  General &amp; Intangible</v>
      </c>
      <c r="C114" s="172" t="s">
        <v>371</v>
      </c>
      <c r="D114" s="172">
        <f t="shared" si="1"/>
        <v>10199145.406937841</v>
      </c>
      <c r="E114" s="172"/>
      <c r="F114" s="172"/>
      <c r="G114" s="230"/>
      <c r="H114" s="172"/>
      <c r="I114" s="172">
        <f>I96-I105</f>
        <v>1605767.6902052988</v>
      </c>
      <c r="J114" s="172"/>
      <c r="K114" s="230"/>
      <c r="M114" s="172"/>
      <c r="N114" s="167"/>
      <c r="O114" s="179"/>
    </row>
    <row r="115" spans="1:15" ht="16.2" thickBot="1">
      <c r="A115" s="173">
        <v>17</v>
      </c>
      <c r="B115" s="179" t="str">
        <f>+B106</f>
        <v xml:space="preserve">  Common</v>
      </c>
      <c r="C115" s="172" t="s">
        <v>372</v>
      </c>
      <c r="D115" s="184">
        <f t="shared" si="1"/>
        <v>0</v>
      </c>
      <c r="E115" s="172"/>
      <c r="F115" s="172"/>
      <c r="G115" s="230"/>
      <c r="H115" s="172"/>
      <c r="I115" s="184">
        <f>I97-I106</f>
        <v>0</v>
      </c>
      <c r="J115" s="172"/>
      <c r="K115" s="230"/>
      <c r="M115" s="172"/>
      <c r="N115" s="167"/>
      <c r="O115" s="179"/>
    </row>
    <row r="116" spans="1:15">
      <c r="A116" s="173">
        <v>18</v>
      </c>
      <c r="B116" s="179" t="s">
        <v>373</v>
      </c>
      <c r="C116" s="172"/>
      <c r="D116" s="172">
        <f>SUM(D110:D115)</f>
        <v>275315572.24545312</v>
      </c>
      <c r="E116" s="172"/>
      <c r="F116" s="172" t="s">
        <v>374</v>
      </c>
      <c r="G116" s="230">
        <f>IF(I116&gt;0,I116/D116,0)</f>
        <v>0.48296375676525832</v>
      </c>
      <c r="H116" s="172"/>
      <c r="I116" s="172">
        <f>SUM(I110:I115)</f>
        <v>132967443.06764093</v>
      </c>
      <c r="J116" s="172"/>
      <c r="K116" s="172"/>
      <c r="M116" s="185"/>
      <c r="N116" s="172"/>
      <c r="O116" s="179"/>
    </row>
    <row r="117" spans="1:15">
      <c r="A117" s="173"/>
      <c r="B117" s="179"/>
      <c r="C117" s="172"/>
      <c r="D117" s="172"/>
      <c r="E117" s="172"/>
      <c r="F117" s="172"/>
      <c r="G117" s="230"/>
      <c r="H117" s="172"/>
      <c r="I117" s="172"/>
      <c r="J117" s="172"/>
      <c r="K117" s="172"/>
      <c r="M117" s="185"/>
      <c r="N117" s="172"/>
      <c r="O117" s="179"/>
    </row>
    <row r="118" spans="1:15">
      <c r="A118" s="173" t="s">
        <v>375</v>
      </c>
      <c r="B118" s="179" t="s">
        <v>376</v>
      </c>
      <c r="C118" s="219"/>
      <c r="D118" s="139">
        <f>CWIP!H22</f>
        <v>77657.307692307688</v>
      </c>
      <c r="E118" s="172"/>
      <c r="F118" s="172" t="s">
        <v>377</v>
      </c>
      <c r="G118" s="140">
        <v>1</v>
      </c>
      <c r="H118" s="172"/>
      <c r="I118" s="172">
        <f>+G118*D118</f>
        <v>77657.307692307688</v>
      </c>
      <c r="J118" s="172"/>
      <c r="K118" s="172"/>
      <c r="M118" s="185"/>
      <c r="N118" s="172"/>
      <c r="O118" s="179"/>
    </row>
    <row r="119" spans="1:15">
      <c r="A119" s="173"/>
      <c r="C119" s="172"/>
      <c r="E119" s="172"/>
      <c r="H119" s="172"/>
      <c r="J119" s="172"/>
      <c r="K119" s="230"/>
      <c r="M119" s="172"/>
      <c r="N119" s="172"/>
      <c r="O119" s="179"/>
    </row>
    <row r="120" spans="1:15">
      <c r="A120" s="173"/>
      <c r="B120" s="163" t="s">
        <v>378</v>
      </c>
      <c r="C120" s="172"/>
      <c r="D120" s="172"/>
      <c r="E120" s="172"/>
      <c r="F120" s="172"/>
      <c r="G120" s="172"/>
      <c r="H120" s="172"/>
      <c r="I120" s="172"/>
      <c r="J120" s="172"/>
      <c r="K120" s="172"/>
      <c r="M120" s="172" t="s">
        <v>247</v>
      </c>
      <c r="N120" s="172"/>
      <c r="O120" s="179"/>
    </row>
    <row r="121" spans="1:15">
      <c r="A121" s="173">
        <v>19</v>
      </c>
      <c r="B121" s="179" t="s">
        <v>379</v>
      </c>
      <c r="C121" s="172"/>
      <c r="D121" s="235">
        <v>0</v>
      </c>
      <c r="E121" s="172"/>
      <c r="F121" s="172"/>
      <c r="G121" s="244" t="s">
        <v>380</v>
      </c>
      <c r="H121" s="172"/>
      <c r="I121" s="172">
        <v>0</v>
      </c>
      <c r="J121" s="172"/>
      <c r="K121" s="230"/>
      <c r="M121" s="230"/>
      <c r="N121" s="167"/>
      <c r="O121" s="179"/>
    </row>
    <row r="122" spans="1:15">
      <c r="A122" s="173">
        <v>20</v>
      </c>
      <c r="B122" s="179" t="s">
        <v>381</v>
      </c>
      <c r="C122" s="172"/>
      <c r="D122" s="235">
        <v>0</v>
      </c>
      <c r="E122" s="172"/>
      <c r="F122" s="172" t="s">
        <v>382</v>
      </c>
      <c r="G122" s="217">
        <f>+G116</f>
        <v>0.48296375676525832</v>
      </c>
      <c r="H122" s="172"/>
      <c r="I122" s="172">
        <f>D122*G122</f>
        <v>0</v>
      </c>
      <c r="J122" s="172"/>
      <c r="K122" s="230"/>
      <c r="M122" s="230"/>
      <c r="N122" s="167"/>
      <c r="O122" s="179"/>
    </row>
    <row r="123" spans="1:15">
      <c r="A123" s="173">
        <v>21</v>
      </c>
      <c r="B123" s="179" t="s">
        <v>383</v>
      </c>
      <c r="C123" s="172"/>
      <c r="D123" s="216">
        <v>0</v>
      </c>
      <c r="E123" s="172"/>
      <c r="F123" s="172" t="s">
        <v>382</v>
      </c>
      <c r="G123" s="217">
        <f>+G122</f>
        <v>0.48296375676525832</v>
      </c>
      <c r="H123" s="172"/>
      <c r="I123" s="172">
        <f>D123*G123</f>
        <v>0</v>
      </c>
      <c r="J123" s="172"/>
      <c r="K123" s="230"/>
      <c r="M123" s="230"/>
      <c r="N123" s="167"/>
      <c r="O123" s="179"/>
    </row>
    <row r="124" spans="1:15">
      <c r="A124" s="173">
        <v>22</v>
      </c>
      <c r="B124" s="179" t="s">
        <v>384</v>
      </c>
      <c r="C124" s="172"/>
      <c r="D124" s="216">
        <v>0</v>
      </c>
      <c r="E124" s="172"/>
      <c r="F124" s="172" t="str">
        <f>+F123</f>
        <v>NP</v>
      </c>
      <c r="G124" s="217">
        <f>+G123</f>
        <v>0.48296375676525832</v>
      </c>
      <c r="H124" s="172"/>
      <c r="I124" s="172">
        <f>D124*G124</f>
        <v>0</v>
      </c>
      <c r="J124" s="172"/>
      <c r="K124" s="230"/>
      <c r="M124" s="230"/>
      <c r="N124" s="167"/>
      <c r="O124" s="179"/>
    </row>
    <row r="125" spans="1:15">
      <c r="A125" s="173">
        <v>23</v>
      </c>
      <c r="B125" s="161" t="s">
        <v>385</v>
      </c>
      <c r="D125" s="216">
        <v>0</v>
      </c>
      <c r="E125" s="172"/>
      <c r="F125" s="172" t="s">
        <v>382</v>
      </c>
      <c r="G125" s="217">
        <f>+G123</f>
        <v>0.48296375676525832</v>
      </c>
      <c r="H125" s="172"/>
      <c r="I125" s="245">
        <f>D125*G125</f>
        <v>0</v>
      </c>
      <c r="J125" s="172"/>
      <c r="K125" s="172"/>
      <c r="M125" s="242"/>
      <c r="N125" s="172"/>
      <c r="O125" s="179"/>
    </row>
    <row r="126" spans="1:15" ht="16.2" thickBot="1">
      <c r="A126" s="173" t="s">
        <v>386</v>
      </c>
      <c r="B126" s="161" t="s">
        <v>387</v>
      </c>
      <c r="C126" s="240"/>
      <c r="D126" s="229">
        <v>0</v>
      </c>
      <c r="E126" s="172"/>
      <c r="F126" s="172" t="s">
        <v>377</v>
      </c>
      <c r="G126" s="217">
        <v>1</v>
      </c>
      <c r="H126" s="219"/>
      <c r="I126" s="184">
        <f>D126*G126</f>
        <v>0</v>
      </c>
      <c r="J126" s="172"/>
      <c r="K126" s="172"/>
      <c r="M126" s="242"/>
      <c r="N126" s="172"/>
      <c r="O126" s="179"/>
    </row>
    <row r="127" spans="1:15">
      <c r="A127" s="173">
        <v>24</v>
      </c>
      <c r="B127" s="179" t="s">
        <v>388</v>
      </c>
      <c r="C127" s="172"/>
      <c r="D127" s="172">
        <f>SUM(D121:D126)</f>
        <v>0</v>
      </c>
      <c r="E127" s="172"/>
      <c r="F127" s="172"/>
      <c r="G127" s="172"/>
      <c r="H127" s="172"/>
      <c r="I127" s="172">
        <f>SUM(I121:I126)</f>
        <v>0</v>
      </c>
      <c r="J127" s="172"/>
      <c r="K127" s="230"/>
      <c r="M127" s="172"/>
      <c r="N127" s="172"/>
      <c r="O127" s="179"/>
    </row>
    <row r="128" spans="1:15">
      <c r="A128" s="173"/>
      <c r="B128" s="179"/>
      <c r="C128" s="172"/>
      <c r="D128" s="172"/>
      <c r="E128" s="172"/>
      <c r="F128" s="172"/>
      <c r="G128" s="172"/>
      <c r="H128" s="172"/>
      <c r="I128" s="172"/>
      <c r="J128" s="172"/>
      <c r="K128" s="230"/>
      <c r="M128" s="172"/>
      <c r="N128" s="172"/>
      <c r="O128" s="179"/>
    </row>
    <row r="129" spans="1:15">
      <c r="A129" s="173">
        <v>25</v>
      </c>
      <c r="B129" s="163" t="s">
        <v>389</v>
      </c>
      <c r="C129" s="172" t="s">
        <v>390</v>
      </c>
      <c r="D129" s="235">
        <v>0</v>
      </c>
      <c r="E129" s="172"/>
      <c r="F129" s="172" t="str">
        <f>+F102</f>
        <v>TP</v>
      </c>
      <c r="G129" s="217">
        <f>+G102</f>
        <v>1</v>
      </c>
      <c r="H129" s="172"/>
      <c r="I129" s="172">
        <f>+G129*D129</f>
        <v>0</v>
      </c>
      <c r="J129" s="172"/>
      <c r="K129" s="172"/>
      <c r="M129" s="172"/>
      <c r="N129" s="172"/>
      <c r="O129" s="179"/>
    </row>
    <row r="130" spans="1:15">
      <c r="A130" s="173"/>
      <c r="B130" s="179"/>
      <c r="C130" s="172"/>
      <c r="D130" s="172"/>
      <c r="E130" s="172"/>
      <c r="F130" s="172"/>
      <c r="G130" s="172"/>
      <c r="H130" s="172"/>
      <c r="I130" s="172"/>
      <c r="J130" s="172"/>
      <c r="K130" s="172"/>
      <c r="M130" s="172"/>
      <c r="N130" s="172"/>
      <c r="O130" s="179"/>
    </row>
    <row r="131" spans="1:15">
      <c r="A131" s="173"/>
      <c r="B131" s="179" t="s">
        <v>391</v>
      </c>
      <c r="C131" s="172" t="s">
        <v>392</v>
      </c>
      <c r="D131" s="172"/>
      <c r="E131" s="172"/>
      <c r="F131" s="172"/>
      <c r="G131" s="172"/>
      <c r="H131" s="172"/>
      <c r="I131" s="172"/>
      <c r="J131" s="172"/>
      <c r="K131" s="172"/>
      <c r="M131" s="172"/>
      <c r="N131" s="172"/>
      <c r="O131" s="179"/>
    </row>
    <row r="132" spans="1:15">
      <c r="A132" s="173">
        <v>26</v>
      </c>
      <c r="B132" s="179" t="s">
        <v>393</v>
      </c>
      <c r="D132" s="172">
        <f>D162/8</f>
        <v>1856537.6473877104</v>
      </c>
      <c r="E132" s="172"/>
      <c r="F132" s="172"/>
      <c r="G132" s="230"/>
      <c r="H132" s="172"/>
      <c r="I132" s="172">
        <f>I162/8</f>
        <v>710458.78543707868</v>
      </c>
      <c r="J132" s="166"/>
      <c r="K132" s="230"/>
      <c r="M132" s="246"/>
      <c r="N132" s="208"/>
      <c r="O132" s="179"/>
    </row>
    <row r="133" spans="1:15">
      <c r="A133" s="173">
        <v>27</v>
      </c>
      <c r="B133" s="179" t="s">
        <v>394</v>
      </c>
      <c r="C133" s="161" t="s">
        <v>395</v>
      </c>
      <c r="D133" s="135">
        <f>'Materials and Prepayments'!E22</f>
        <v>234719</v>
      </c>
      <c r="E133" s="172"/>
      <c r="F133" s="172" t="s">
        <v>396</v>
      </c>
      <c r="G133" s="217">
        <f>I238</f>
        <v>0.99408070230901346</v>
      </c>
      <c r="H133" s="172"/>
      <c r="I133" s="172">
        <f>G133*D133</f>
        <v>233329.62836526934</v>
      </c>
      <c r="J133" s="172" t="s">
        <v>247</v>
      </c>
      <c r="K133" s="230"/>
      <c r="M133" s="246"/>
      <c r="N133" s="167"/>
      <c r="O133" s="179"/>
    </row>
    <row r="134" spans="1:15" ht="16.2" thickBot="1">
      <c r="A134" s="173">
        <v>28</v>
      </c>
      <c r="B134" s="179" t="s">
        <v>397</v>
      </c>
      <c r="C134" s="161" t="s">
        <v>398</v>
      </c>
      <c r="D134" s="141">
        <f>'Materials and Prepayments'!F22</f>
        <v>962975</v>
      </c>
      <c r="E134" s="172"/>
      <c r="F134" s="172" t="s">
        <v>399</v>
      </c>
      <c r="G134" s="217">
        <f>+G98</f>
        <v>0.3422080488720578</v>
      </c>
      <c r="H134" s="172"/>
      <c r="I134" s="184">
        <f>+G134*D134</f>
        <v>329537.79586256988</v>
      </c>
      <c r="J134" s="172"/>
      <c r="K134" s="230"/>
      <c r="M134" s="246"/>
      <c r="N134" s="167"/>
      <c r="O134" s="179"/>
    </row>
    <row r="135" spans="1:15">
      <c r="A135" s="173">
        <v>29</v>
      </c>
      <c r="B135" s="179" t="s">
        <v>400</v>
      </c>
      <c r="C135" s="166"/>
      <c r="D135" s="172">
        <f>D132+D133+D134</f>
        <v>3054231.6473877104</v>
      </c>
      <c r="E135" s="166"/>
      <c r="F135" s="166"/>
      <c r="G135" s="166"/>
      <c r="H135" s="166"/>
      <c r="I135" s="172">
        <f>I132+I133+I134</f>
        <v>1273326.209664918</v>
      </c>
      <c r="J135" s="166"/>
      <c r="K135" s="166"/>
      <c r="M135" s="242"/>
      <c r="N135" s="172"/>
      <c r="O135" s="179"/>
    </row>
    <row r="136" spans="1:15" ht="16.2" thickBot="1">
      <c r="C136" s="172"/>
      <c r="D136" s="247"/>
      <c r="E136" s="172"/>
      <c r="F136" s="172"/>
      <c r="G136" s="172"/>
      <c r="H136" s="172"/>
      <c r="I136" s="247"/>
      <c r="J136" s="172"/>
      <c r="K136" s="172"/>
      <c r="M136" s="172"/>
      <c r="N136" s="172"/>
      <c r="O136" s="179"/>
    </row>
    <row r="137" spans="1:15" ht="16.2" thickBot="1">
      <c r="A137" s="173">
        <v>30</v>
      </c>
      <c r="B137" s="179" t="s">
        <v>401</v>
      </c>
      <c r="C137" s="172"/>
      <c r="D137" s="248">
        <f>+D135+D129+D127+D116-D112-D126</f>
        <v>184413916.09566134</v>
      </c>
      <c r="E137" s="172"/>
      <c r="F137" s="172"/>
      <c r="G137" s="230"/>
      <c r="H137" s="172"/>
      <c r="I137" s="248">
        <f>+I135+I129+I127+I116-I112-I126</f>
        <v>40284881.480126366</v>
      </c>
      <c r="J137" s="172"/>
      <c r="K137" s="230"/>
      <c r="M137" s="172"/>
      <c r="N137" s="172"/>
      <c r="O137" s="179"/>
    </row>
    <row r="138" spans="1:15" ht="16.2" thickTop="1">
      <c r="A138" s="173"/>
      <c r="B138" s="179"/>
      <c r="C138" s="172"/>
      <c r="D138" s="172"/>
      <c r="E138" s="172"/>
      <c r="F138" s="172"/>
      <c r="G138" s="172"/>
      <c r="H138" s="172"/>
      <c r="I138" s="172"/>
      <c r="J138" s="172"/>
      <c r="K138" s="172"/>
      <c r="M138" s="172"/>
      <c r="N138" s="172"/>
      <c r="O138" s="179"/>
    </row>
    <row r="139" spans="1:15" ht="16.2" thickBot="1">
      <c r="A139" s="173" t="s">
        <v>402</v>
      </c>
      <c r="B139" s="179" t="s">
        <v>403</v>
      </c>
      <c r="C139" s="219"/>
      <c r="D139" s="249">
        <f>D112+D118+D126</f>
        <v>94033545.10487178</v>
      </c>
      <c r="E139" s="219"/>
      <c r="F139" s="219"/>
      <c r="G139" s="219"/>
      <c r="H139" s="219"/>
      <c r="I139" s="249">
        <f>I112+I118+I126</f>
        <v>94033545.10487178</v>
      </c>
      <c r="J139" s="172"/>
      <c r="K139" s="172"/>
      <c r="M139" s="172"/>
      <c r="N139" s="172"/>
      <c r="O139" s="179"/>
    </row>
    <row r="140" spans="1:15" ht="16.2" thickTop="1">
      <c r="A140" s="173"/>
      <c r="B140" s="179"/>
      <c r="C140" s="172"/>
      <c r="D140" s="172"/>
      <c r="E140" s="172"/>
      <c r="F140" s="172"/>
      <c r="G140" s="172"/>
      <c r="H140" s="172"/>
      <c r="I140" s="172"/>
      <c r="J140" s="172"/>
      <c r="K140" s="172"/>
      <c r="M140" s="172"/>
      <c r="N140" s="172"/>
      <c r="O140" s="179"/>
    </row>
    <row r="141" spans="1:15">
      <c r="A141" s="173"/>
      <c r="B141" s="179"/>
      <c r="C141" s="172"/>
      <c r="D141" s="172"/>
      <c r="E141" s="172"/>
      <c r="F141" s="172"/>
      <c r="G141" s="172"/>
      <c r="H141" s="172"/>
      <c r="I141" s="172"/>
      <c r="J141" s="172"/>
      <c r="K141" s="172"/>
      <c r="M141" s="172"/>
      <c r="N141" s="172"/>
      <c r="O141" s="179"/>
    </row>
    <row r="142" spans="1:15">
      <c r="A142" s="173"/>
      <c r="B142" s="179"/>
      <c r="C142" s="172"/>
      <c r="D142" s="172"/>
      <c r="E142" s="172"/>
      <c r="F142" s="172"/>
      <c r="G142" s="172"/>
      <c r="H142" s="172"/>
      <c r="I142" s="172"/>
      <c r="J142" s="172"/>
      <c r="K142" s="162" t="s">
        <v>621</v>
      </c>
      <c r="M142" s="172"/>
      <c r="N142" s="172"/>
      <c r="O142" s="179"/>
    </row>
    <row r="143" spans="1:15">
      <c r="B143" s="163"/>
      <c r="C143" s="163"/>
      <c r="D143" s="164"/>
      <c r="E143" s="163"/>
      <c r="F143" s="163"/>
      <c r="G143" s="163"/>
      <c r="H143" s="165"/>
      <c r="I143" s="166"/>
      <c r="K143" s="162" t="s">
        <v>404</v>
      </c>
      <c r="M143" s="166"/>
      <c r="N143" s="166"/>
      <c r="O143" s="166"/>
    </row>
    <row r="144" spans="1:15">
      <c r="A144" s="173"/>
      <c r="B144" s="179"/>
      <c r="C144" s="172"/>
      <c r="D144" s="172"/>
      <c r="E144" s="172"/>
      <c r="F144" s="172"/>
      <c r="G144" s="172"/>
      <c r="H144" s="172"/>
      <c r="I144" s="172"/>
      <c r="J144" s="172"/>
      <c r="K144" s="172"/>
      <c r="M144" s="172"/>
      <c r="N144" s="172"/>
      <c r="O144" s="179"/>
    </row>
    <row r="145" spans="1:15">
      <c r="A145" s="173"/>
      <c r="B145" s="179" t="str">
        <f>B4</f>
        <v xml:space="preserve">Formula Rate - Non-Levelized </v>
      </c>
      <c r="C145" s="172"/>
      <c r="D145" s="172" t="str">
        <f>D4</f>
        <v xml:space="preserve">   Rate Formula Template</v>
      </c>
      <c r="E145" s="172"/>
      <c r="F145" s="172"/>
      <c r="G145" s="172"/>
      <c r="H145" s="172"/>
      <c r="J145" s="172"/>
      <c r="K145" s="250" t="str">
        <f>K4</f>
        <v>For the 12 months ended 12/31/16</v>
      </c>
      <c r="M145" s="172"/>
      <c r="N145" s="172"/>
      <c r="O145" s="179"/>
    </row>
    <row r="146" spans="1:15">
      <c r="A146" s="173"/>
      <c r="B146" s="179"/>
      <c r="C146" s="172"/>
      <c r="D146" s="172" t="str">
        <f>D5</f>
        <v>Utilizing EIA Form 412 Data</v>
      </c>
      <c r="E146" s="172"/>
      <c r="F146" s="172"/>
      <c r="G146" s="172"/>
      <c r="H146" s="172"/>
      <c r="I146" s="172"/>
      <c r="J146" s="172"/>
      <c r="K146" s="172"/>
      <c r="M146" s="172"/>
      <c r="N146" s="172"/>
      <c r="O146" s="179"/>
    </row>
    <row r="147" spans="1:15">
      <c r="A147" s="173"/>
      <c r="C147" s="172"/>
      <c r="D147" s="172"/>
      <c r="E147" s="172"/>
      <c r="F147" s="172"/>
      <c r="G147" s="172"/>
      <c r="H147" s="172"/>
      <c r="I147" s="172"/>
      <c r="J147" s="172"/>
      <c r="K147" s="172"/>
      <c r="M147" s="172"/>
      <c r="N147" s="172"/>
      <c r="O147" s="179"/>
    </row>
    <row r="148" spans="1:15">
      <c r="A148" s="173"/>
      <c r="D148" s="161" t="str">
        <f>D7</f>
        <v>MRES</v>
      </c>
      <c r="J148" s="172"/>
      <c r="K148" s="172"/>
      <c r="M148" s="172"/>
      <c r="N148" s="172"/>
      <c r="O148" s="179"/>
    </row>
    <row r="149" spans="1:15">
      <c r="A149" s="173"/>
      <c r="B149" s="167" t="s">
        <v>331</v>
      </c>
      <c r="C149" s="167" t="s">
        <v>332</v>
      </c>
      <c r="D149" s="167" t="s">
        <v>333</v>
      </c>
      <c r="E149" s="172" t="s">
        <v>247</v>
      </c>
      <c r="F149" s="172"/>
      <c r="G149" s="209" t="s">
        <v>334</v>
      </c>
      <c r="H149" s="172"/>
      <c r="I149" s="210" t="s">
        <v>335</v>
      </c>
      <c r="J149" s="172"/>
      <c r="K149" s="172"/>
      <c r="M149" s="166"/>
      <c r="N149" s="172"/>
      <c r="O149" s="179"/>
    </row>
    <row r="150" spans="1:15">
      <c r="A150" s="173" t="s">
        <v>250</v>
      </c>
      <c r="B150" s="179"/>
      <c r="C150" s="211" t="s">
        <v>336</v>
      </c>
      <c r="D150" s="172"/>
      <c r="E150" s="172"/>
      <c r="F150" s="172"/>
      <c r="G150" s="173"/>
      <c r="H150" s="172"/>
      <c r="I150" s="212" t="s">
        <v>24</v>
      </c>
      <c r="J150" s="172"/>
      <c r="K150" s="212"/>
      <c r="M150" s="173"/>
      <c r="N150" s="172"/>
      <c r="O150" s="179"/>
    </row>
    <row r="151" spans="1:15" ht="16.2" thickBot="1">
      <c r="A151" s="176" t="s">
        <v>252</v>
      </c>
      <c r="B151" s="179"/>
      <c r="C151" s="214" t="s">
        <v>338</v>
      </c>
      <c r="D151" s="212" t="s">
        <v>339</v>
      </c>
      <c r="E151" s="215"/>
      <c r="F151" s="212" t="s">
        <v>340</v>
      </c>
      <c r="H151" s="215"/>
      <c r="I151" s="173" t="s">
        <v>341</v>
      </c>
      <c r="J151" s="172"/>
      <c r="K151" s="212"/>
      <c r="M151" s="212"/>
      <c r="N151" s="172"/>
      <c r="O151" s="179"/>
    </row>
    <row r="152" spans="1:15">
      <c r="A152" s="173"/>
      <c r="B152" s="179" t="s">
        <v>405</v>
      </c>
      <c r="C152" s="172"/>
      <c r="D152" s="172"/>
      <c r="E152" s="172"/>
      <c r="F152" s="172"/>
      <c r="G152" s="172"/>
      <c r="H152" s="172"/>
      <c r="I152" s="172"/>
      <c r="J152" s="172"/>
      <c r="K152" s="172"/>
      <c r="M152" s="172"/>
      <c r="N152" s="172"/>
      <c r="O152" s="179"/>
    </row>
    <row r="153" spans="1:15">
      <c r="A153" s="173">
        <v>1</v>
      </c>
      <c r="B153" s="179" t="s">
        <v>406</v>
      </c>
      <c r="C153" s="161" t="s">
        <v>407</v>
      </c>
      <c r="D153" s="135">
        <f>Trans_OM!D34</f>
        <v>41654578.179101683</v>
      </c>
      <c r="E153" s="172"/>
      <c r="F153" s="172" t="s">
        <v>396</v>
      </c>
      <c r="G153" s="217">
        <f>I238</f>
        <v>0.99408070230901346</v>
      </c>
      <c r="H153" s="172"/>
      <c r="I153" s="172">
        <f t="shared" ref="I153:I161" si="2">+G153*D153</f>
        <v>41408012.330667108</v>
      </c>
      <c r="J153" s="166"/>
      <c r="K153" s="172"/>
      <c r="M153" s="172"/>
      <c r="N153" s="167"/>
      <c r="O153" s="172" t="s">
        <v>247</v>
      </c>
    </row>
    <row r="154" spans="1:15">
      <c r="A154" s="251" t="s">
        <v>408</v>
      </c>
      <c r="B154" s="252" t="s">
        <v>409</v>
      </c>
      <c r="C154" s="253"/>
      <c r="D154" s="135">
        <f>Trans_OM!D11+Trans_OM!D15</f>
        <v>0</v>
      </c>
      <c r="E154" s="172"/>
      <c r="F154" s="254"/>
      <c r="G154" s="217">
        <v>1</v>
      </c>
      <c r="H154" s="172"/>
      <c r="I154" s="172">
        <f>+G154*D154</f>
        <v>0</v>
      </c>
      <c r="J154" s="166"/>
      <c r="K154" s="172"/>
      <c r="M154" s="172"/>
      <c r="N154" s="167"/>
      <c r="O154" s="172"/>
    </row>
    <row r="155" spans="1:15">
      <c r="A155" s="173">
        <v>2</v>
      </c>
      <c r="B155" s="179" t="s">
        <v>410</v>
      </c>
      <c r="C155" s="161" t="s">
        <v>247</v>
      </c>
      <c r="D155" s="135">
        <f>Trans_OM!D19</f>
        <v>37706077</v>
      </c>
      <c r="E155" s="172"/>
      <c r="F155" s="172" t="s">
        <v>396</v>
      </c>
      <c r="G155" s="217">
        <f>+G153</f>
        <v>0.99408070230901346</v>
      </c>
      <c r="H155" s="172"/>
      <c r="I155" s="172">
        <f t="shared" si="2"/>
        <v>37482883.505477741</v>
      </c>
      <c r="J155" s="166"/>
      <c r="K155" s="172"/>
      <c r="M155" s="172"/>
      <c r="N155" s="167"/>
      <c r="O155" s="172"/>
    </row>
    <row r="156" spans="1:15">
      <c r="A156" s="173">
        <v>3</v>
      </c>
      <c r="B156" s="179" t="s">
        <v>411</v>
      </c>
      <c r="C156" s="161" t="s">
        <v>412</v>
      </c>
      <c r="D156" s="135">
        <f>'A&amp;G'!E22</f>
        <v>11389800</v>
      </c>
      <c r="E156" s="172"/>
      <c r="F156" s="172" t="s">
        <v>356</v>
      </c>
      <c r="G156" s="217">
        <f>I245</f>
        <v>0.15744139593430984</v>
      </c>
      <c r="H156" s="172"/>
      <c r="I156" s="172">
        <f t="shared" si="2"/>
        <v>1793226.0114126022</v>
      </c>
      <c r="J156" s="172"/>
      <c r="K156" s="172" t="s">
        <v>247</v>
      </c>
      <c r="M156" s="172"/>
      <c r="N156" s="167"/>
      <c r="O156" s="179"/>
    </row>
    <row r="157" spans="1:15">
      <c r="A157" s="173">
        <v>4</v>
      </c>
      <c r="B157" s="179" t="s">
        <v>413</v>
      </c>
      <c r="C157" s="172"/>
      <c r="D157" s="135">
        <v>0</v>
      </c>
      <c r="E157" s="172"/>
      <c r="F157" s="172" t="str">
        <f>+F156</f>
        <v>W/S</v>
      </c>
      <c r="G157" s="217">
        <f>I245</f>
        <v>0.15744139593430984</v>
      </c>
      <c r="H157" s="172"/>
      <c r="I157" s="172">
        <f t="shared" si="2"/>
        <v>0</v>
      </c>
      <c r="J157" s="172"/>
      <c r="K157" s="172"/>
      <c r="M157" s="172"/>
      <c r="N157" s="167"/>
      <c r="O157" s="179"/>
    </row>
    <row r="158" spans="1:15">
      <c r="A158" s="173">
        <v>5</v>
      </c>
      <c r="B158" s="179" t="s">
        <v>414</v>
      </c>
      <c r="C158" s="172"/>
      <c r="D158" s="135">
        <f>'A&amp;G'!E30</f>
        <v>536000</v>
      </c>
      <c r="E158" s="172"/>
      <c r="F158" s="172" t="str">
        <f>+F157</f>
        <v>W/S</v>
      </c>
      <c r="G158" s="217">
        <f>I245</f>
        <v>0.15744139593430984</v>
      </c>
      <c r="H158" s="172"/>
      <c r="I158" s="172">
        <f t="shared" si="2"/>
        <v>84388.588220790072</v>
      </c>
      <c r="J158" s="172"/>
      <c r="K158" s="172"/>
      <c r="M158" s="172"/>
      <c r="N158" s="167"/>
      <c r="O158" s="179"/>
    </row>
    <row r="159" spans="1:15">
      <c r="A159" s="173" t="s">
        <v>415</v>
      </c>
      <c r="B159" s="179" t="s">
        <v>416</v>
      </c>
      <c r="C159" s="172"/>
      <c r="D159" s="135">
        <f>'A&amp;G'!E31</f>
        <v>50000</v>
      </c>
      <c r="E159" s="172"/>
      <c r="F159" s="172" t="str">
        <f>+F153</f>
        <v>TE</v>
      </c>
      <c r="G159" s="217">
        <f>+G153</f>
        <v>0.99408070230901346</v>
      </c>
      <c r="H159" s="172"/>
      <c r="I159" s="172">
        <f t="shared" si="2"/>
        <v>49704.035115450672</v>
      </c>
      <c r="J159" s="172"/>
      <c r="K159" s="172"/>
      <c r="M159" s="172"/>
      <c r="N159" s="167"/>
      <c r="O159" s="179"/>
    </row>
    <row r="160" spans="1:15">
      <c r="A160" s="173">
        <v>6</v>
      </c>
      <c r="B160" s="179" t="s">
        <v>357</v>
      </c>
      <c r="C160" s="172"/>
      <c r="D160" s="135">
        <v>0</v>
      </c>
      <c r="E160" s="172"/>
      <c r="F160" s="172" t="s">
        <v>358</v>
      </c>
      <c r="G160" s="217">
        <f>K249</f>
        <v>0.15744139593430984</v>
      </c>
      <c r="H160" s="172"/>
      <c r="I160" s="172">
        <f t="shared" si="2"/>
        <v>0</v>
      </c>
      <c r="J160" s="172"/>
      <c r="K160" s="172"/>
      <c r="M160" s="172"/>
      <c r="N160" s="167"/>
      <c r="O160" s="179"/>
    </row>
    <row r="161" spans="1:15" ht="16.2" thickBot="1">
      <c r="A161" s="173">
        <v>7</v>
      </c>
      <c r="B161" s="179" t="s">
        <v>417</v>
      </c>
      <c r="C161" s="172"/>
      <c r="D161" s="141">
        <v>0</v>
      </c>
      <c r="E161" s="172"/>
      <c r="F161" s="172" t="s">
        <v>345</v>
      </c>
      <c r="G161" s="217">
        <v>1</v>
      </c>
      <c r="H161" s="172"/>
      <c r="I161" s="184">
        <f t="shared" si="2"/>
        <v>0</v>
      </c>
      <c r="J161" s="172"/>
      <c r="K161" s="172"/>
      <c r="M161" s="172"/>
      <c r="N161" s="208"/>
      <c r="O161" s="179"/>
    </row>
    <row r="162" spans="1:15">
      <c r="A162" s="251">
        <v>8</v>
      </c>
      <c r="B162" s="252" t="s">
        <v>418</v>
      </c>
      <c r="C162" s="255"/>
      <c r="D162" s="255">
        <f>+D153-D155+D156-D157-D158+D159+D160+D161-D154</f>
        <v>14852301.179101683</v>
      </c>
      <c r="E162" s="255"/>
      <c r="F162" s="255"/>
      <c r="G162" s="255"/>
      <c r="H162" s="255"/>
      <c r="I162" s="255">
        <f>+I153-I155+I156-I157-I158+I159+I160+I161-I154</f>
        <v>5683670.2834966294</v>
      </c>
      <c r="J162" s="255"/>
      <c r="K162" s="255"/>
      <c r="L162" s="253"/>
      <c r="M162" s="256"/>
      <c r="N162" s="257"/>
      <c r="O162" s="179"/>
    </row>
    <row r="163" spans="1:15">
      <c r="A163" s="173"/>
      <c r="C163" s="172"/>
      <c r="E163" s="172"/>
      <c r="F163" s="172"/>
      <c r="G163" s="172"/>
      <c r="H163" s="172"/>
      <c r="J163" s="172"/>
      <c r="K163" s="172"/>
      <c r="M163" s="172"/>
      <c r="N163" s="172"/>
      <c r="O163" s="179"/>
    </row>
    <row r="164" spans="1:15">
      <c r="A164" s="173"/>
      <c r="B164" s="179" t="s">
        <v>419</v>
      </c>
      <c r="C164" s="172"/>
      <c r="D164" s="172"/>
      <c r="E164" s="172"/>
      <c r="F164" s="172"/>
      <c r="G164" s="172"/>
      <c r="H164" s="172"/>
      <c r="I164" s="172"/>
      <c r="J164" s="172"/>
      <c r="K164" s="172"/>
      <c r="M164" s="172"/>
      <c r="N164" s="172"/>
      <c r="O164" s="179"/>
    </row>
    <row r="165" spans="1:15">
      <c r="A165" s="173">
        <v>9</v>
      </c>
      <c r="B165" s="179" t="str">
        <f>+B153</f>
        <v xml:space="preserve">  Transmission </v>
      </c>
      <c r="C165" s="161" t="s">
        <v>247</v>
      </c>
      <c r="D165" s="135">
        <f>Other_Exp_Inc!E11</f>
        <v>3475284.7969499999</v>
      </c>
      <c r="E165" s="172"/>
      <c r="F165" s="172" t="s">
        <v>259</v>
      </c>
      <c r="G165" s="217">
        <f>+G129</f>
        <v>1</v>
      </c>
      <c r="H165" s="172"/>
      <c r="I165" s="172">
        <f>+G165*D165</f>
        <v>3475284.7969499999</v>
      </c>
      <c r="J165" s="172"/>
      <c r="K165" s="230"/>
      <c r="M165" s="172"/>
      <c r="N165" s="167"/>
      <c r="O165" s="172" t="s">
        <v>247</v>
      </c>
    </row>
    <row r="166" spans="1:15">
      <c r="A166" s="173" t="s">
        <v>420</v>
      </c>
      <c r="B166" s="208" t="s">
        <v>421</v>
      </c>
      <c r="C166" s="240"/>
      <c r="D166" s="135">
        <v>0</v>
      </c>
      <c r="E166" s="219"/>
      <c r="F166" s="172" t="s">
        <v>377</v>
      </c>
      <c r="G166" s="217">
        <v>1</v>
      </c>
      <c r="H166" s="219"/>
      <c r="I166" s="172">
        <f>+G166*D166</f>
        <v>0</v>
      </c>
      <c r="J166" s="172"/>
      <c r="K166" s="230"/>
      <c r="M166" s="172"/>
      <c r="N166" s="167"/>
      <c r="O166" s="172"/>
    </row>
    <row r="167" spans="1:15">
      <c r="A167" s="173">
        <v>10</v>
      </c>
      <c r="B167" s="179" t="s">
        <v>422</v>
      </c>
      <c r="C167" s="161" t="s">
        <v>247</v>
      </c>
      <c r="D167" s="135">
        <f>Other_Exp_Inc!E12</f>
        <v>933328.29399999988</v>
      </c>
      <c r="E167" s="172"/>
      <c r="F167" s="172" t="s">
        <v>356</v>
      </c>
      <c r="G167" s="217">
        <f>+G156</f>
        <v>0.15744139593430984</v>
      </c>
      <c r="H167" s="172"/>
      <c r="I167" s="172">
        <f>+G167*D167</f>
        <v>146944.50947234791</v>
      </c>
      <c r="J167" s="172"/>
      <c r="K167" s="230"/>
      <c r="M167" s="172"/>
      <c r="N167" s="167"/>
      <c r="O167" s="172" t="s">
        <v>247</v>
      </c>
    </row>
    <row r="168" spans="1:15" ht="16.2" thickBot="1">
      <c r="A168" s="173">
        <v>11</v>
      </c>
      <c r="B168" s="179" t="str">
        <f>+B160</f>
        <v xml:space="preserve">  Common</v>
      </c>
      <c r="C168" s="172"/>
      <c r="D168" s="138">
        <v>0</v>
      </c>
      <c r="E168" s="172"/>
      <c r="F168" s="172" t="s">
        <v>358</v>
      </c>
      <c r="G168" s="217">
        <f>+G160</f>
        <v>0.15744139593430984</v>
      </c>
      <c r="H168" s="172"/>
      <c r="I168" s="184">
        <f>+G168*D168</f>
        <v>0</v>
      </c>
      <c r="J168" s="172"/>
      <c r="K168" s="230"/>
      <c r="M168" s="172"/>
      <c r="N168" s="167"/>
      <c r="O168" s="172" t="s">
        <v>247</v>
      </c>
    </row>
    <row r="169" spans="1:15">
      <c r="A169" s="173">
        <v>12</v>
      </c>
      <c r="B169" s="179" t="s">
        <v>423</v>
      </c>
      <c r="C169" s="172"/>
      <c r="D169" s="172">
        <f>SUM(D165:D168)</f>
        <v>4408613.0909500001</v>
      </c>
      <c r="E169" s="172"/>
      <c r="F169" s="172"/>
      <c r="G169" s="172"/>
      <c r="H169" s="172"/>
      <c r="I169" s="172">
        <f>SUM(I165:I168)</f>
        <v>3622229.3064223477</v>
      </c>
      <c r="J169" s="172"/>
      <c r="K169" s="172"/>
      <c r="M169" s="242"/>
      <c r="N169" s="172"/>
      <c r="O169" s="179"/>
    </row>
    <row r="170" spans="1:15">
      <c r="A170" s="173"/>
      <c r="B170" s="179"/>
      <c r="C170" s="172"/>
      <c r="D170" s="172"/>
      <c r="E170" s="172"/>
      <c r="F170" s="172"/>
      <c r="G170" s="172"/>
      <c r="H170" s="172"/>
      <c r="I170" s="172"/>
      <c r="J170" s="172"/>
      <c r="K170" s="172"/>
      <c r="M170" s="172"/>
      <c r="N170" s="172"/>
      <c r="O170" s="179"/>
    </row>
    <row r="171" spans="1:15">
      <c r="A171" s="173" t="s">
        <v>247</v>
      </c>
      <c r="B171" s="179" t="s">
        <v>424</v>
      </c>
      <c r="D171" s="172"/>
      <c r="E171" s="172"/>
      <c r="F171" s="172"/>
      <c r="G171" s="172"/>
      <c r="H171" s="172"/>
      <c r="I171" s="172"/>
      <c r="J171" s="172"/>
      <c r="K171" s="172"/>
      <c r="M171" s="172"/>
      <c r="N171" s="172"/>
      <c r="O171" s="179"/>
    </row>
    <row r="172" spans="1:15">
      <c r="A172" s="173"/>
      <c r="B172" s="179" t="s">
        <v>425</v>
      </c>
      <c r="E172" s="172"/>
      <c r="F172" s="172"/>
      <c r="H172" s="172"/>
      <c r="J172" s="172"/>
      <c r="K172" s="230"/>
      <c r="M172" s="246"/>
      <c r="N172" s="167"/>
      <c r="O172" s="179"/>
    </row>
    <row r="173" spans="1:15">
      <c r="A173" s="173">
        <v>13</v>
      </c>
      <c r="B173" s="179" t="s">
        <v>426</v>
      </c>
      <c r="C173" s="172"/>
      <c r="D173" s="235">
        <v>0</v>
      </c>
      <c r="E173" s="172"/>
      <c r="F173" s="172" t="s">
        <v>356</v>
      </c>
      <c r="G173" s="181">
        <f>+G167</f>
        <v>0.15744139593430984</v>
      </c>
      <c r="H173" s="172"/>
      <c r="I173" s="172">
        <f>+G173*D173</f>
        <v>0</v>
      </c>
      <c r="J173" s="172"/>
      <c r="K173" s="230"/>
      <c r="M173" s="246"/>
      <c r="N173" s="167"/>
      <c r="O173" s="179"/>
    </row>
    <row r="174" spans="1:15">
      <c r="A174" s="173">
        <v>14</v>
      </c>
      <c r="B174" s="179" t="s">
        <v>427</v>
      </c>
      <c r="C174" s="172"/>
      <c r="D174" s="235">
        <v>0</v>
      </c>
      <c r="E174" s="172"/>
      <c r="F174" s="172" t="str">
        <f>+F173</f>
        <v>W/S</v>
      </c>
      <c r="G174" s="181">
        <f>+G173</f>
        <v>0.15744139593430984</v>
      </c>
      <c r="H174" s="172"/>
      <c r="I174" s="172">
        <f>+G174*D174</f>
        <v>0</v>
      </c>
      <c r="J174" s="172"/>
      <c r="K174" s="230"/>
      <c r="M174" s="246"/>
      <c r="N174" s="167"/>
      <c r="O174" s="179"/>
    </row>
    <row r="175" spans="1:15">
      <c r="A175" s="173">
        <v>15</v>
      </c>
      <c r="B175" s="179" t="s">
        <v>428</v>
      </c>
      <c r="C175" s="172"/>
      <c r="E175" s="172"/>
      <c r="F175" s="172"/>
      <c r="H175" s="172"/>
      <c r="J175" s="172"/>
      <c r="K175" s="230"/>
      <c r="M175" s="246"/>
      <c r="N175" s="167"/>
      <c r="O175" s="179"/>
    </row>
    <row r="176" spans="1:15">
      <c r="A176" s="173">
        <v>16</v>
      </c>
      <c r="B176" s="179" t="s">
        <v>429</v>
      </c>
      <c r="C176" s="172"/>
      <c r="D176" s="351">
        <f>Other_Exp_Inc!E16</f>
        <v>3501440</v>
      </c>
      <c r="E176" s="172"/>
      <c r="F176" s="172" t="s">
        <v>399</v>
      </c>
      <c r="G176" s="181">
        <f>+G98</f>
        <v>0.3422080488720578</v>
      </c>
      <c r="H176" s="172"/>
      <c r="I176" s="172">
        <f>+G176*D176</f>
        <v>1198220.9506425781</v>
      </c>
      <c r="J176" s="172"/>
      <c r="K176" s="230"/>
      <c r="M176" s="246"/>
      <c r="N176" s="167"/>
      <c r="O176" s="179"/>
    </row>
    <row r="177" spans="1:15">
      <c r="A177" s="173">
        <v>17</v>
      </c>
      <c r="B177" s="179" t="s">
        <v>430</v>
      </c>
      <c r="C177" s="172"/>
      <c r="D177" s="235">
        <v>0</v>
      </c>
      <c r="E177" s="172"/>
      <c r="F177" s="172" t="s">
        <v>345</v>
      </c>
      <c r="G177" s="258" t="s">
        <v>380</v>
      </c>
      <c r="H177" s="172"/>
      <c r="I177" s="172">
        <v>0</v>
      </c>
      <c r="J177" s="172"/>
      <c r="K177" s="230"/>
      <c r="M177" s="246"/>
      <c r="N177" s="167"/>
      <c r="O177" s="179"/>
    </row>
    <row r="178" spans="1:15">
      <c r="A178" s="173">
        <v>18</v>
      </c>
      <c r="B178" s="179" t="s">
        <v>431</v>
      </c>
      <c r="C178" s="172"/>
      <c r="D178" s="235">
        <v>0</v>
      </c>
      <c r="E178" s="172"/>
      <c r="F178" s="172" t="str">
        <f>+F176</f>
        <v>GP</v>
      </c>
      <c r="G178" s="181">
        <f>+G176</f>
        <v>0.3422080488720578</v>
      </c>
      <c r="H178" s="172"/>
      <c r="I178" s="172">
        <f>+G178*D178</f>
        <v>0</v>
      </c>
      <c r="J178" s="172"/>
      <c r="K178" s="230"/>
      <c r="M178" s="246"/>
      <c r="N178" s="167"/>
      <c r="O178" s="179"/>
    </row>
    <row r="179" spans="1:15" ht="16.2" thickBot="1">
      <c r="A179" s="173">
        <v>19</v>
      </c>
      <c r="B179" s="179" t="s">
        <v>432</v>
      </c>
      <c r="C179" s="172"/>
      <c r="D179" s="229">
        <v>0</v>
      </c>
      <c r="E179" s="172"/>
      <c r="F179" s="172" t="s">
        <v>399</v>
      </c>
      <c r="G179" s="181">
        <f>+G178</f>
        <v>0.3422080488720578</v>
      </c>
      <c r="H179" s="172"/>
      <c r="I179" s="184">
        <f>+G179*D179</f>
        <v>0</v>
      </c>
      <c r="J179" s="172"/>
      <c r="K179" s="230"/>
      <c r="M179" s="246"/>
      <c r="N179" s="167"/>
      <c r="O179" s="179"/>
    </row>
    <row r="180" spans="1:15">
      <c r="A180" s="173">
        <v>20</v>
      </c>
      <c r="B180" s="179" t="s">
        <v>433</v>
      </c>
      <c r="C180" s="172"/>
      <c r="D180" s="172">
        <f>SUM(D173:D179)</f>
        <v>3501440</v>
      </c>
      <c r="E180" s="172"/>
      <c r="F180" s="172"/>
      <c r="G180" s="181"/>
      <c r="H180" s="172"/>
      <c r="I180" s="172">
        <f>SUM(I173:I179)</f>
        <v>1198220.9506425781</v>
      </c>
      <c r="J180" s="172"/>
      <c r="K180" s="172"/>
      <c r="M180" s="242"/>
      <c r="N180" s="172"/>
      <c r="O180" s="179"/>
    </row>
    <row r="181" spans="1:15">
      <c r="A181" s="173" t="s">
        <v>434</v>
      </c>
      <c r="B181" s="179"/>
      <c r="C181" s="172"/>
      <c r="D181" s="172"/>
      <c r="E181" s="172"/>
      <c r="F181" s="172"/>
      <c r="G181" s="181"/>
      <c r="H181" s="172"/>
      <c r="I181" s="172"/>
      <c r="J181" s="172"/>
      <c r="K181" s="172"/>
      <c r="M181" s="172"/>
      <c r="N181" s="172"/>
      <c r="O181" s="179"/>
    </row>
    <row r="182" spans="1:15">
      <c r="A182" s="173" t="s">
        <v>247</v>
      </c>
      <c r="B182" s="179" t="s">
        <v>435</v>
      </c>
      <c r="C182" s="259" t="s">
        <v>436</v>
      </c>
      <c r="D182" s="172"/>
      <c r="E182" s="172"/>
      <c r="F182" s="172" t="s">
        <v>345</v>
      </c>
      <c r="G182" s="260"/>
      <c r="H182" s="172"/>
      <c r="I182" s="172"/>
      <c r="J182" s="172"/>
      <c r="M182" s="172"/>
      <c r="N182" s="208"/>
      <c r="O182" s="172" t="s">
        <v>247</v>
      </c>
    </row>
    <row r="183" spans="1:15">
      <c r="A183" s="173">
        <v>21</v>
      </c>
      <c r="B183" s="261" t="s">
        <v>437</v>
      </c>
      <c r="C183" s="172"/>
      <c r="D183" s="262">
        <f>IF(D312&gt;0,1-(((1-D313)*(1-D312))/(1-D313*D312*D314)),0)</f>
        <v>0</v>
      </c>
      <c r="E183" s="172"/>
      <c r="G183" s="260"/>
      <c r="H183" s="172"/>
      <c r="J183" s="172"/>
      <c r="M183" s="172"/>
      <c r="N183" s="208"/>
      <c r="O183" s="172"/>
    </row>
    <row r="184" spans="1:15">
      <c r="A184" s="173">
        <v>22</v>
      </c>
      <c r="B184" s="161" t="s">
        <v>438</v>
      </c>
      <c r="C184" s="172"/>
      <c r="D184" s="262">
        <f>IF(I259&gt;0,(D183/(1-D183))*(1-I257/I259),0)</f>
        <v>0</v>
      </c>
      <c r="E184" s="172"/>
      <c r="G184" s="260"/>
      <c r="H184" s="172"/>
      <c r="J184" s="172"/>
      <c r="M184" s="172"/>
      <c r="N184" s="167"/>
      <c r="O184" s="172"/>
    </row>
    <row r="185" spans="1:15">
      <c r="A185" s="173"/>
      <c r="B185" s="179" t="s">
        <v>439</v>
      </c>
      <c r="C185" s="172"/>
      <c r="D185" s="172"/>
      <c r="E185" s="172"/>
      <c r="G185" s="260"/>
      <c r="H185" s="172"/>
      <c r="J185" s="172"/>
      <c r="M185" s="172"/>
      <c r="N185" s="167"/>
      <c r="O185" s="172"/>
    </row>
    <row r="186" spans="1:15">
      <c r="A186" s="173"/>
      <c r="B186" s="179" t="s">
        <v>440</v>
      </c>
      <c r="C186" s="172"/>
      <c r="D186" s="172"/>
      <c r="E186" s="172"/>
      <c r="G186" s="260"/>
      <c r="H186" s="172"/>
      <c r="J186" s="172"/>
      <c r="M186" s="172"/>
      <c r="N186" s="167"/>
      <c r="O186" s="172"/>
    </row>
    <row r="187" spans="1:15">
      <c r="A187" s="173">
        <v>23</v>
      </c>
      <c r="B187" s="261" t="s">
        <v>441</v>
      </c>
      <c r="C187" s="172"/>
      <c r="D187" s="263">
        <f>IF(D183&gt;0,1/(1-D183),0)</f>
        <v>0</v>
      </c>
      <c r="E187" s="172"/>
      <c r="G187" s="260"/>
      <c r="H187" s="172"/>
      <c r="J187" s="172"/>
      <c r="M187" s="172"/>
      <c r="N187" s="167"/>
      <c r="O187" s="172"/>
    </row>
    <row r="188" spans="1:15">
      <c r="A188" s="173">
        <v>24</v>
      </c>
      <c r="B188" s="179" t="s">
        <v>442</v>
      </c>
      <c r="C188" s="172"/>
      <c r="D188" s="235">
        <v>0</v>
      </c>
      <c r="E188" s="172"/>
      <c r="G188" s="260"/>
      <c r="H188" s="172"/>
      <c r="J188" s="172"/>
      <c r="M188" s="172"/>
      <c r="N188" s="167"/>
      <c r="O188" s="172"/>
    </row>
    <row r="189" spans="1:15">
      <c r="A189" s="173"/>
      <c r="B189" s="179"/>
      <c r="C189" s="172"/>
      <c r="D189" s="172"/>
      <c r="E189" s="172"/>
      <c r="G189" s="260"/>
      <c r="H189" s="172"/>
      <c r="J189" s="172"/>
      <c r="M189" s="172"/>
      <c r="N189" s="167"/>
      <c r="O189" s="172"/>
    </row>
    <row r="190" spans="1:15">
      <c r="A190" s="173">
        <v>25</v>
      </c>
      <c r="B190" s="261" t="s">
        <v>443</v>
      </c>
      <c r="C190" s="259"/>
      <c r="D190" s="172">
        <f>D184*D195</f>
        <v>0</v>
      </c>
      <c r="E190" s="172"/>
      <c r="F190" s="172" t="s">
        <v>345</v>
      </c>
      <c r="G190" s="181"/>
      <c r="H190" s="172"/>
      <c r="I190" s="172">
        <f>D184*I195</f>
        <v>0</v>
      </c>
      <c r="J190" s="172"/>
      <c r="M190" s="172"/>
      <c r="N190" s="167"/>
      <c r="O190" s="172"/>
    </row>
    <row r="191" spans="1:15" ht="16.2" thickBot="1">
      <c r="A191" s="173">
        <v>26</v>
      </c>
      <c r="B191" s="161" t="s">
        <v>444</v>
      </c>
      <c r="C191" s="259"/>
      <c r="D191" s="184">
        <f>D187*D188</f>
        <v>0</v>
      </c>
      <c r="E191" s="172"/>
      <c r="F191" s="161" t="s">
        <v>382</v>
      </c>
      <c r="G191" s="181">
        <f>G116</f>
        <v>0.48296375676525832</v>
      </c>
      <c r="H191" s="172"/>
      <c r="I191" s="184">
        <f>G191*D191</f>
        <v>0</v>
      </c>
      <c r="J191" s="172"/>
      <c r="M191" s="172"/>
      <c r="N191" s="167"/>
      <c r="O191" s="172"/>
    </row>
    <row r="192" spans="1:15">
      <c r="A192" s="173">
        <v>27</v>
      </c>
      <c r="B192" s="264" t="s">
        <v>445</v>
      </c>
      <c r="C192" s="161" t="s">
        <v>446</v>
      </c>
      <c r="D192" s="265">
        <f>+D190+D191</f>
        <v>0</v>
      </c>
      <c r="E192" s="172"/>
      <c r="F192" s="172" t="s">
        <v>247</v>
      </c>
      <c r="G192" s="181" t="s">
        <v>247</v>
      </c>
      <c r="H192" s="172"/>
      <c r="I192" s="265">
        <f>+I190+I191</f>
        <v>0</v>
      </c>
      <c r="J192" s="172"/>
      <c r="M192" s="172"/>
      <c r="N192" s="167"/>
      <c r="O192" s="172"/>
    </row>
    <row r="193" spans="1:19">
      <c r="A193" s="173" t="s">
        <v>247</v>
      </c>
      <c r="C193" s="266"/>
      <c r="D193" s="172"/>
      <c r="E193" s="172"/>
      <c r="F193" s="172"/>
      <c r="G193" s="181"/>
      <c r="H193" s="172"/>
      <c r="I193" s="172"/>
      <c r="J193" s="172"/>
      <c r="K193" s="172"/>
      <c r="M193" s="172"/>
      <c r="N193" s="172"/>
      <c r="O193" s="179"/>
    </row>
    <row r="194" spans="1:19">
      <c r="A194" s="173">
        <v>28</v>
      </c>
      <c r="B194" s="179" t="s">
        <v>447</v>
      </c>
      <c r="C194" s="230"/>
      <c r="E194" s="172"/>
      <c r="J194" s="172"/>
      <c r="M194" s="172"/>
      <c r="N194" s="167"/>
      <c r="O194" s="172" t="s">
        <v>247</v>
      </c>
    </row>
    <row r="195" spans="1:19">
      <c r="A195" s="173"/>
      <c r="B195" s="264" t="s">
        <v>448</v>
      </c>
      <c r="D195" s="172">
        <f>+$I259*(D137+D139)</f>
        <v>17986336.691444643</v>
      </c>
      <c r="E195" s="172"/>
      <c r="F195" s="172" t="s">
        <v>345</v>
      </c>
      <c r="G195" s="260"/>
      <c r="H195" s="172"/>
      <c r="I195" s="172">
        <f>+$I259*(I137+I139)</f>
        <v>8676309.8288153447</v>
      </c>
      <c r="J195" s="172"/>
      <c r="K195" s="230"/>
      <c r="M195" s="172"/>
      <c r="N195" s="167"/>
      <c r="O195" s="172"/>
    </row>
    <row r="196" spans="1:19">
      <c r="A196" s="173"/>
      <c r="B196" s="179"/>
      <c r="D196" s="245"/>
      <c r="E196" s="172"/>
      <c r="F196" s="172"/>
      <c r="G196" s="260"/>
      <c r="H196" s="172"/>
      <c r="I196" s="245"/>
      <c r="J196" s="172"/>
      <c r="K196" s="230"/>
      <c r="M196" s="172"/>
      <c r="N196" s="167"/>
      <c r="O196" s="172"/>
    </row>
    <row r="197" spans="1:19">
      <c r="A197" s="173" t="s">
        <v>449</v>
      </c>
      <c r="B197" s="179" t="s">
        <v>450</v>
      </c>
      <c r="C197" s="267"/>
      <c r="J197" s="172"/>
      <c r="K197" s="230"/>
      <c r="M197" s="172"/>
      <c r="N197" s="167"/>
      <c r="O197" s="172"/>
    </row>
    <row r="198" spans="1:19">
      <c r="A198" s="173"/>
      <c r="B198" s="264" t="s">
        <v>451</v>
      </c>
      <c r="C198" s="240"/>
      <c r="D198" s="172">
        <f>I270*D139</f>
        <v>1511763.1054241988</v>
      </c>
      <c r="E198" s="219"/>
      <c r="F198" s="172" t="s">
        <v>345</v>
      </c>
      <c r="G198" s="268"/>
      <c r="H198" s="219"/>
      <c r="I198" s="172">
        <f>+$I270*I139</f>
        <v>1511763.1054241988</v>
      </c>
      <c r="J198" s="172"/>
      <c r="K198" s="230"/>
      <c r="M198" s="172"/>
      <c r="N198" s="167"/>
      <c r="O198" s="172"/>
    </row>
    <row r="199" spans="1:19">
      <c r="A199" s="173"/>
      <c r="B199" s="179"/>
      <c r="D199" s="245"/>
      <c r="E199" s="172"/>
      <c r="F199" s="172"/>
      <c r="G199" s="260"/>
      <c r="H199" s="172"/>
      <c r="I199" s="245"/>
      <c r="J199" s="172"/>
      <c r="K199" s="230"/>
      <c r="M199" s="172"/>
      <c r="N199" s="167"/>
      <c r="O199" s="172"/>
    </row>
    <row r="200" spans="1:19">
      <c r="A200" s="173">
        <v>29</v>
      </c>
      <c r="B200" s="179" t="s">
        <v>452</v>
      </c>
      <c r="C200" s="172"/>
      <c r="D200" s="245">
        <f>+D195+D192+D180+D169+D162+D198</f>
        <v>42260454.066920519</v>
      </c>
      <c r="E200" s="172"/>
      <c r="F200" s="172"/>
      <c r="G200" s="172"/>
      <c r="H200" s="172"/>
      <c r="I200" s="245">
        <f>+I195+I192+I180+I169+I162+I198</f>
        <v>20692193.474801097</v>
      </c>
      <c r="J200" s="166"/>
      <c r="K200" s="166"/>
      <c r="M200" s="166"/>
      <c r="N200" s="208"/>
      <c r="O200" s="179"/>
    </row>
    <row r="201" spans="1:19">
      <c r="A201" s="173"/>
      <c r="B201" s="179"/>
      <c r="C201" s="172"/>
      <c r="D201" s="245"/>
      <c r="E201" s="172"/>
      <c r="F201" s="172"/>
      <c r="G201" s="172"/>
      <c r="H201" s="172"/>
      <c r="I201" s="245"/>
      <c r="J201" s="166"/>
      <c r="K201" s="166"/>
      <c r="M201" s="166"/>
      <c r="N201" s="208"/>
      <c r="O201" s="179"/>
    </row>
    <row r="202" spans="1:19">
      <c r="A202" s="173">
        <v>30</v>
      </c>
      <c r="B202" s="161" t="s">
        <v>453</v>
      </c>
      <c r="J202" s="166"/>
      <c r="K202" s="166"/>
      <c r="M202" s="166"/>
      <c r="N202" s="208"/>
      <c r="O202" s="179"/>
    </row>
    <row r="203" spans="1:19">
      <c r="A203" s="173"/>
      <c r="B203" s="161" t="s">
        <v>454</v>
      </c>
      <c r="J203" s="166"/>
      <c r="K203" s="166"/>
      <c r="M203" s="166"/>
      <c r="N203" s="208"/>
      <c r="O203" s="179"/>
    </row>
    <row r="204" spans="1:19">
      <c r="A204" s="173"/>
      <c r="B204" s="161" t="s">
        <v>455</v>
      </c>
      <c r="D204" s="355">
        <v>9518223</v>
      </c>
      <c r="E204" s="179"/>
      <c r="F204" s="179"/>
      <c r="G204" s="179"/>
      <c r="H204" s="179"/>
      <c r="I204" s="269">
        <f>D204</f>
        <v>9518223</v>
      </c>
      <c r="J204" s="166"/>
      <c r="K204" s="166"/>
      <c r="M204" s="166"/>
      <c r="N204" s="208"/>
      <c r="O204" s="179"/>
    </row>
    <row r="205" spans="1:19">
      <c r="A205" s="173"/>
      <c r="B205" s="179"/>
      <c r="C205" s="172"/>
      <c r="D205" s="356"/>
      <c r="E205" s="172"/>
      <c r="F205" s="172"/>
      <c r="G205" s="172"/>
      <c r="H205" s="172"/>
      <c r="I205" s="245"/>
      <c r="J205" s="166"/>
      <c r="K205" s="166"/>
      <c r="M205" s="166"/>
      <c r="N205" s="208"/>
      <c r="O205" s="179"/>
    </row>
    <row r="206" spans="1:19">
      <c r="A206" s="173" t="s">
        <v>402</v>
      </c>
      <c r="B206" s="161" t="s">
        <v>456</v>
      </c>
      <c r="D206" s="134"/>
      <c r="J206" s="172"/>
      <c r="K206" s="172"/>
      <c r="M206" s="172"/>
      <c r="N206" s="167"/>
      <c r="O206" s="172" t="s">
        <v>247</v>
      </c>
    </row>
    <row r="207" spans="1:19">
      <c r="A207" s="173"/>
      <c r="B207" s="161" t="s">
        <v>454</v>
      </c>
      <c r="D207" s="134"/>
      <c r="J207" s="172"/>
      <c r="K207" s="172"/>
      <c r="M207" s="172"/>
      <c r="N207" s="167"/>
      <c r="O207" s="172"/>
    </row>
    <row r="208" spans="1:19" s="144" customFormat="1" ht="16.2" thickBot="1">
      <c r="A208" s="173"/>
      <c r="B208" s="161" t="s">
        <v>457</v>
      </c>
      <c r="C208" s="161"/>
      <c r="D208" s="143">
        <v>4611831</v>
      </c>
      <c r="E208" s="179"/>
      <c r="F208" s="179"/>
      <c r="G208" s="179"/>
      <c r="H208" s="179"/>
      <c r="I208" s="270">
        <f>D208</f>
        <v>4611831</v>
      </c>
      <c r="J208" s="172"/>
      <c r="K208" s="172"/>
      <c r="L208" s="161"/>
      <c r="M208" s="172"/>
      <c r="N208" s="167"/>
      <c r="O208" s="172"/>
      <c r="P208" s="161"/>
      <c r="Q208" s="161"/>
      <c r="R208" s="161"/>
      <c r="S208" s="161"/>
    </row>
    <row r="209" spans="1:19" s="144" customFormat="1" ht="16.2" thickBot="1">
      <c r="A209" s="251">
        <v>31</v>
      </c>
      <c r="B209" s="253" t="s">
        <v>458</v>
      </c>
      <c r="C209" s="253"/>
      <c r="D209" s="271">
        <f>+D200-D204-D208</f>
        <v>28130400.066920519</v>
      </c>
      <c r="E209" s="253"/>
      <c r="F209" s="253"/>
      <c r="G209" s="253"/>
      <c r="H209" s="253"/>
      <c r="I209" s="271">
        <f>+I200-I204-I208</f>
        <v>6562139.4748010971</v>
      </c>
      <c r="J209" s="255"/>
      <c r="K209" s="255"/>
      <c r="L209" s="253"/>
      <c r="M209" s="255"/>
      <c r="N209" s="167"/>
      <c r="O209" s="172"/>
      <c r="P209" s="161"/>
      <c r="Q209" s="161"/>
      <c r="R209" s="161"/>
      <c r="S209" s="161"/>
    </row>
    <row r="210" spans="1:19" s="144" customFormat="1" ht="16.2" thickTop="1">
      <c r="A210" s="173"/>
      <c r="B210" s="161" t="s">
        <v>459</v>
      </c>
      <c r="C210" s="161"/>
      <c r="D210" s="161"/>
      <c r="E210" s="161"/>
      <c r="F210" s="161"/>
      <c r="G210" s="161"/>
      <c r="H210" s="161"/>
      <c r="I210" s="161"/>
      <c r="J210" s="172"/>
      <c r="K210" s="172"/>
      <c r="L210" s="161"/>
      <c r="M210" s="172"/>
      <c r="N210" s="167"/>
      <c r="O210" s="172"/>
      <c r="P210" s="161"/>
      <c r="Q210" s="161"/>
      <c r="R210" s="161"/>
      <c r="S210" s="161"/>
    </row>
    <row r="211" spans="1:19">
      <c r="A211" s="272"/>
      <c r="B211" s="273"/>
      <c r="C211" s="273"/>
      <c r="D211" s="273"/>
      <c r="E211" s="273"/>
      <c r="F211" s="273"/>
      <c r="G211" s="273"/>
      <c r="H211" s="273"/>
      <c r="I211" s="273"/>
      <c r="J211" s="274"/>
      <c r="K211" s="274"/>
      <c r="L211" s="273"/>
      <c r="M211" s="274"/>
      <c r="N211" s="275"/>
      <c r="O211" s="274"/>
      <c r="P211" s="273"/>
      <c r="Q211" s="273"/>
      <c r="R211" s="273"/>
      <c r="S211" s="273"/>
    </row>
    <row r="212" spans="1:19">
      <c r="A212" s="272"/>
      <c r="B212" s="273"/>
      <c r="C212" s="273"/>
      <c r="D212" s="273"/>
      <c r="E212" s="273"/>
      <c r="F212" s="273"/>
      <c r="G212" s="273"/>
      <c r="H212" s="273"/>
      <c r="I212" s="273"/>
      <c r="J212" s="274"/>
      <c r="K212" s="274"/>
      <c r="L212" s="273"/>
      <c r="M212" s="274"/>
      <c r="N212" s="275"/>
      <c r="O212" s="274"/>
      <c r="P212" s="273"/>
      <c r="Q212" s="273"/>
      <c r="R212" s="273"/>
      <c r="S212" s="273"/>
    </row>
    <row r="213" spans="1:19">
      <c r="A213" s="272"/>
      <c r="B213" s="273"/>
      <c r="C213" s="273"/>
      <c r="D213" s="273"/>
      <c r="E213" s="273"/>
      <c r="F213" s="273"/>
      <c r="G213" s="273"/>
      <c r="H213" s="273"/>
      <c r="I213" s="273"/>
      <c r="J213" s="274"/>
      <c r="K213" s="274"/>
      <c r="L213" s="273"/>
      <c r="M213" s="274"/>
      <c r="N213" s="275"/>
      <c r="O213" s="274"/>
      <c r="P213" s="273"/>
      <c r="Q213" s="273"/>
      <c r="R213" s="273"/>
      <c r="S213" s="273"/>
    </row>
    <row r="214" spans="1:19">
      <c r="A214" s="272"/>
      <c r="B214" s="273"/>
      <c r="C214" s="273"/>
      <c r="D214" s="273"/>
      <c r="E214" s="273"/>
      <c r="F214" s="273"/>
      <c r="G214" s="273"/>
      <c r="H214" s="273"/>
      <c r="I214" s="273"/>
      <c r="J214" s="274"/>
      <c r="K214" s="162" t="s">
        <v>621</v>
      </c>
      <c r="L214" s="273"/>
      <c r="M214" s="274"/>
      <c r="N214" s="275"/>
      <c r="O214" s="274"/>
      <c r="P214" s="273"/>
      <c r="Q214" s="273"/>
      <c r="R214" s="273"/>
      <c r="S214" s="273"/>
    </row>
    <row r="215" spans="1:19" ht="9" customHeight="1">
      <c r="B215" s="163"/>
      <c r="C215" s="163"/>
      <c r="D215" s="164"/>
      <c r="E215" s="163"/>
      <c r="F215" s="163"/>
      <c r="G215" s="163"/>
      <c r="H215" s="165"/>
      <c r="I215" s="165"/>
      <c r="J215" s="166"/>
      <c r="K215" s="162" t="s">
        <v>460</v>
      </c>
      <c r="M215" s="166"/>
      <c r="N215" s="166"/>
      <c r="O215" s="166"/>
    </row>
    <row r="216" spans="1:19">
      <c r="A216" s="173"/>
      <c r="J216" s="172"/>
      <c r="K216" s="172"/>
      <c r="M216" s="172"/>
      <c r="N216" s="167"/>
      <c r="O216" s="172"/>
    </row>
    <row r="217" spans="1:19">
      <c r="A217" s="173"/>
      <c r="B217" s="179" t="str">
        <f>B4</f>
        <v xml:space="preserve">Formula Rate - Non-Levelized </v>
      </c>
      <c r="D217" s="161" t="str">
        <f>D4</f>
        <v xml:space="preserve">   Rate Formula Template</v>
      </c>
      <c r="J217" s="172"/>
      <c r="K217" s="276" t="str">
        <f>K4</f>
        <v>For the 12 months ended 12/31/16</v>
      </c>
      <c r="M217" s="172"/>
      <c r="N217" s="172"/>
      <c r="O217" s="179"/>
    </row>
    <row r="218" spans="1:19">
      <c r="A218" s="173"/>
      <c r="B218" s="179"/>
      <c r="D218" s="161" t="str">
        <f>D5</f>
        <v>Utilizing EIA Form 412 Data</v>
      </c>
      <c r="J218" s="172"/>
      <c r="K218" s="172"/>
      <c r="M218" s="172"/>
      <c r="N218" s="172"/>
      <c r="O218" s="179"/>
    </row>
    <row r="219" spans="1:19">
      <c r="A219" s="173"/>
      <c r="J219" s="172"/>
      <c r="K219" s="172"/>
      <c r="M219" s="172"/>
      <c r="N219" s="172"/>
      <c r="O219" s="179"/>
    </row>
    <row r="220" spans="1:19">
      <c r="A220" s="173"/>
      <c r="D220" s="161" t="str">
        <f>D7</f>
        <v>MRES</v>
      </c>
      <c r="J220" s="172"/>
      <c r="K220" s="172"/>
      <c r="M220" s="172"/>
      <c r="N220" s="172"/>
      <c r="O220" s="179"/>
    </row>
    <row r="221" spans="1:19">
      <c r="A221" s="173" t="s">
        <v>250</v>
      </c>
      <c r="C221" s="179"/>
      <c r="D221" s="179"/>
      <c r="E221" s="179"/>
      <c r="F221" s="179"/>
      <c r="G221" s="179"/>
      <c r="H221" s="179"/>
      <c r="I221" s="179"/>
      <c r="J221" s="179"/>
      <c r="K221" s="179"/>
      <c r="M221" s="179"/>
      <c r="N221" s="179"/>
      <c r="O221" s="179"/>
    </row>
    <row r="222" spans="1:19" ht="16.2" thickBot="1">
      <c r="A222" s="176" t="s">
        <v>252</v>
      </c>
      <c r="C222" s="213" t="s">
        <v>461</v>
      </c>
      <c r="E222" s="166"/>
      <c r="F222" s="166"/>
      <c r="G222" s="166"/>
      <c r="H222" s="166"/>
      <c r="I222" s="166"/>
      <c r="J222" s="172"/>
      <c r="K222" s="172"/>
      <c r="M222" s="166"/>
      <c r="N222" s="172"/>
      <c r="O222" s="179"/>
    </row>
    <row r="223" spans="1:19">
      <c r="A223" s="173"/>
      <c r="B223" s="163" t="s">
        <v>462</v>
      </c>
      <c r="C223" s="166"/>
      <c r="D223" s="166"/>
      <c r="E223" s="166"/>
      <c r="F223" s="166"/>
      <c r="G223" s="166"/>
      <c r="H223" s="166"/>
      <c r="I223" s="166"/>
      <c r="J223" s="172"/>
      <c r="K223" s="172"/>
      <c r="M223" s="166"/>
      <c r="N223" s="172"/>
      <c r="O223" s="179"/>
    </row>
    <row r="224" spans="1:19">
      <c r="A224" s="173">
        <v>1</v>
      </c>
      <c r="B224" s="165" t="s">
        <v>630</v>
      </c>
      <c r="C224" s="166"/>
      <c r="D224" s="172"/>
      <c r="E224" s="172"/>
      <c r="F224" s="172"/>
      <c r="G224" s="172"/>
      <c r="H224" s="172"/>
      <c r="I224" s="235">
        <f>D93+D94</f>
        <v>174135997.43538463</v>
      </c>
      <c r="J224" s="172"/>
      <c r="K224" s="172"/>
      <c r="M224" s="166"/>
      <c r="N224" s="172"/>
      <c r="O224" s="179"/>
    </row>
    <row r="225" spans="1:18">
      <c r="A225" s="173">
        <v>2</v>
      </c>
      <c r="B225" s="165" t="s">
        <v>463</v>
      </c>
      <c r="I225" s="235">
        <v>0</v>
      </c>
      <c r="J225" s="172"/>
      <c r="K225" s="172"/>
      <c r="M225" s="166"/>
      <c r="N225" s="172"/>
      <c r="O225" s="179"/>
    </row>
    <row r="226" spans="1:18" ht="16.2" thickBot="1">
      <c r="A226" s="173">
        <v>3</v>
      </c>
      <c r="B226" s="277" t="s">
        <v>464</v>
      </c>
      <c r="C226" s="278"/>
      <c r="D226" s="245"/>
      <c r="E226" s="172"/>
      <c r="F226" s="172"/>
      <c r="G226" s="246"/>
      <c r="H226" s="172"/>
      <c r="I226" s="229">
        <v>0</v>
      </c>
      <c r="J226" s="172"/>
      <c r="K226" s="172"/>
      <c r="M226" s="166"/>
      <c r="N226" s="172"/>
      <c r="O226" s="179"/>
    </row>
    <row r="227" spans="1:18">
      <c r="A227" s="173">
        <v>4</v>
      </c>
      <c r="B227" s="165" t="s">
        <v>465</v>
      </c>
      <c r="C227" s="166"/>
      <c r="D227" s="172"/>
      <c r="E227" s="172"/>
      <c r="F227" s="172"/>
      <c r="G227" s="246"/>
      <c r="H227" s="172"/>
      <c r="I227" s="172">
        <f>I224-I225-I226</f>
        <v>174135997.43538463</v>
      </c>
      <c r="J227" s="172"/>
      <c r="K227" s="172"/>
      <c r="M227" s="166"/>
      <c r="N227" s="172"/>
      <c r="O227" s="179"/>
    </row>
    <row r="228" spans="1:18">
      <c r="A228" s="173"/>
      <c r="C228" s="166"/>
      <c r="D228" s="172"/>
      <c r="E228" s="172"/>
      <c r="F228" s="172"/>
      <c r="G228" s="246"/>
      <c r="H228" s="172"/>
      <c r="J228" s="172"/>
      <c r="K228" s="172"/>
    </row>
    <row r="229" spans="1:18">
      <c r="A229" s="173">
        <v>5</v>
      </c>
      <c r="B229" s="165" t="s">
        <v>466</v>
      </c>
      <c r="C229" s="175"/>
      <c r="D229" s="279"/>
      <c r="E229" s="279"/>
      <c r="F229" s="279"/>
      <c r="G229" s="210"/>
      <c r="H229" s="172" t="s">
        <v>467</v>
      </c>
      <c r="I229" s="244">
        <f>IF(I224&gt;0,I227/I224,0)</f>
        <v>1</v>
      </c>
      <c r="J229" s="172"/>
      <c r="K229" s="172"/>
    </row>
    <row r="230" spans="1:18">
      <c r="J230" s="172"/>
      <c r="K230" s="172"/>
      <c r="L230" s="280"/>
      <c r="M230" s="281"/>
      <c r="N230" s="280"/>
      <c r="O230" s="280"/>
      <c r="P230" s="280"/>
      <c r="Q230" s="280"/>
      <c r="R230" s="280"/>
    </row>
    <row r="231" spans="1:18">
      <c r="B231" s="179" t="s">
        <v>468</v>
      </c>
      <c r="J231" s="172"/>
      <c r="K231" s="172"/>
      <c r="L231" s="280"/>
      <c r="M231" s="280"/>
      <c r="N231" s="280"/>
      <c r="O231" s="280"/>
      <c r="P231" s="280"/>
      <c r="Q231" s="280"/>
      <c r="R231" s="280"/>
    </row>
    <row r="232" spans="1:18">
      <c r="A232" s="173">
        <v>6</v>
      </c>
      <c r="B232" s="161" t="s">
        <v>469</v>
      </c>
      <c r="D232" s="166"/>
      <c r="E232" s="166"/>
      <c r="F232" s="166"/>
      <c r="G232" s="167"/>
      <c r="H232" s="166"/>
      <c r="I232" s="172">
        <f>D153</f>
        <v>41654578.179101683</v>
      </c>
      <c r="J232" s="172"/>
      <c r="K232" s="172"/>
      <c r="L232" s="370"/>
      <c r="M232" s="370"/>
      <c r="N232" s="370"/>
      <c r="O232" s="370"/>
      <c r="P232" s="370"/>
      <c r="Q232" s="370"/>
      <c r="R232" s="280"/>
    </row>
    <row r="233" spans="1:18" ht="16.2" thickBot="1">
      <c r="A233" s="173">
        <v>7</v>
      </c>
      <c r="B233" s="277" t="s">
        <v>470</v>
      </c>
      <c r="C233" s="278"/>
      <c r="D233" s="245"/>
      <c r="E233" s="245"/>
      <c r="F233" s="172"/>
      <c r="G233" s="172"/>
      <c r="H233" s="172"/>
      <c r="I233" s="138">
        <f>Trans_OM!D8+Trans_OM!D9+Trans_OM!D10</f>
        <v>246565.8484345761</v>
      </c>
      <c r="J233" s="172"/>
      <c r="K233" s="172"/>
      <c r="L233" s="282"/>
      <c r="M233" s="283"/>
      <c r="N233" s="284"/>
      <c r="O233" s="285"/>
      <c r="P233" s="286"/>
      <c r="Q233" s="280"/>
      <c r="R233" s="280"/>
    </row>
    <row r="234" spans="1:18">
      <c r="A234" s="173">
        <v>8</v>
      </c>
      <c r="B234" s="165" t="s">
        <v>471</v>
      </c>
      <c r="C234" s="175"/>
      <c r="D234" s="279"/>
      <c r="E234" s="279"/>
      <c r="F234" s="279"/>
      <c r="G234" s="210"/>
      <c r="H234" s="279"/>
      <c r="I234" s="172">
        <f>+I232-I233</f>
        <v>41408012.330667108</v>
      </c>
      <c r="J234" s="172"/>
      <c r="K234" s="172"/>
      <c r="L234" s="282"/>
      <c r="M234" s="287"/>
      <c r="N234" s="280"/>
      <c r="O234" s="280"/>
      <c r="P234" s="280"/>
      <c r="Q234" s="280"/>
      <c r="R234" s="280"/>
    </row>
    <row r="235" spans="1:18">
      <c r="A235" s="173"/>
      <c r="B235" s="165"/>
      <c r="C235" s="166"/>
      <c r="D235" s="172"/>
      <c r="E235" s="172"/>
      <c r="F235" s="172"/>
      <c r="G235" s="172"/>
      <c r="J235" s="172"/>
      <c r="K235" s="172"/>
      <c r="L235" s="282"/>
      <c r="M235" s="287"/>
      <c r="N235" s="280"/>
      <c r="O235" s="280"/>
      <c r="P235" s="280"/>
      <c r="Q235" s="280"/>
      <c r="R235" s="280"/>
    </row>
    <row r="236" spans="1:18">
      <c r="A236" s="173">
        <v>9</v>
      </c>
      <c r="B236" s="165" t="s">
        <v>472</v>
      </c>
      <c r="C236" s="166"/>
      <c r="D236" s="172"/>
      <c r="E236" s="172"/>
      <c r="F236" s="172"/>
      <c r="G236" s="172"/>
      <c r="H236" s="172"/>
      <c r="I236" s="217">
        <f>IF(I232&gt;0,I234/I232,0)</f>
        <v>0.99408070230901346</v>
      </c>
      <c r="J236" s="172"/>
      <c r="K236" s="172"/>
      <c r="L236" s="288"/>
      <c r="M236" s="289"/>
      <c r="N236" s="288"/>
      <c r="O236" s="288"/>
      <c r="P236" s="288"/>
      <c r="Q236" s="288"/>
      <c r="R236" s="280"/>
    </row>
    <row r="237" spans="1:18">
      <c r="A237" s="173">
        <v>10</v>
      </c>
      <c r="B237" s="165" t="s">
        <v>473</v>
      </c>
      <c r="C237" s="166"/>
      <c r="D237" s="172"/>
      <c r="E237" s="172"/>
      <c r="F237" s="172"/>
      <c r="G237" s="172"/>
      <c r="H237" s="166" t="s">
        <v>259</v>
      </c>
      <c r="I237" s="290">
        <f>I229</f>
        <v>1</v>
      </c>
      <c r="J237" s="172"/>
      <c r="K237" s="172"/>
      <c r="L237" s="282"/>
      <c r="M237" s="291"/>
      <c r="N237" s="285"/>
      <c r="O237" s="286"/>
      <c r="P237" s="280"/>
      <c r="Q237" s="280"/>
      <c r="R237" s="280"/>
    </row>
    <row r="238" spans="1:18">
      <c r="A238" s="173">
        <v>11</v>
      </c>
      <c r="B238" s="165" t="s">
        <v>474</v>
      </c>
      <c r="C238" s="166"/>
      <c r="D238" s="166"/>
      <c r="E238" s="166"/>
      <c r="F238" s="166"/>
      <c r="G238" s="166"/>
      <c r="H238" s="166" t="s">
        <v>475</v>
      </c>
      <c r="I238" s="292">
        <f>+I237*I236</f>
        <v>0.99408070230901346</v>
      </c>
      <c r="J238" s="172"/>
      <c r="K238" s="172"/>
      <c r="L238" s="282"/>
      <c r="M238" s="291"/>
      <c r="N238" s="285"/>
      <c r="O238" s="286"/>
      <c r="P238" s="280"/>
      <c r="Q238" s="280"/>
      <c r="R238" s="280"/>
    </row>
    <row r="239" spans="1:18">
      <c r="A239" s="173"/>
      <c r="C239" s="166"/>
      <c r="D239" s="172"/>
      <c r="E239" s="172"/>
      <c r="F239" s="172"/>
      <c r="G239" s="246"/>
      <c r="H239" s="172"/>
      <c r="L239" s="282"/>
      <c r="M239" s="291"/>
      <c r="N239" s="285"/>
      <c r="O239" s="286"/>
      <c r="P239" s="280"/>
      <c r="Q239" s="280"/>
      <c r="R239" s="280"/>
    </row>
    <row r="240" spans="1:18" ht="16.2" thickBot="1">
      <c r="A240" s="173" t="s">
        <v>247</v>
      </c>
      <c r="B240" s="179" t="s">
        <v>476</v>
      </c>
      <c r="C240" s="172"/>
      <c r="D240" s="293" t="s">
        <v>477</v>
      </c>
      <c r="E240" s="293" t="s">
        <v>259</v>
      </c>
      <c r="F240" s="172"/>
      <c r="G240" s="293" t="s">
        <v>347</v>
      </c>
      <c r="H240" s="172"/>
      <c r="I240" s="172"/>
      <c r="L240" s="282"/>
      <c r="M240" s="287"/>
      <c r="N240" s="280"/>
      <c r="O240" s="280"/>
      <c r="P240" s="280"/>
      <c r="Q240" s="280"/>
      <c r="R240" s="280"/>
    </row>
    <row r="241" spans="1:18">
      <c r="A241" s="173">
        <v>12</v>
      </c>
      <c r="B241" s="179" t="s">
        <v>343</v>
      </c>
      <c r="C241" s="172"/>
      <c r="D241" s="135">
        <f>Other_Exp_Inc!E38</f>
        <v>2441323.0359999998</v>
      </c>
      <c r="E241" s="294">
        <v>0</v>
      </c>
      <c r="F241" s="294"/>
      <c r="G241" s="172">
        <f>D241*E241</f>
        <v>0</v>
      </c>
      <c r="H241" s="172"/>
      <c r="I241" s="172"/>
      <c r="J241" s="172"/>
      <c r="K241" s="172"/>
      <c r="L241" s="282"/>
      <c r="M241" s="287"/>
      <c r="N241" s="280"/>
      <c r="O241" s="280"/>
      <c r="P241" s="280"/>
      <c r="Q241" s="280"/>
      <c r="R241" s="280"/>
    </row>
    <row r="242" spans="1:18">
      <c r="A242" s="173">
        <v>13</v>
      </c>
      <c r="B242" s="179" t="s">
        <v>348</v>
      </c>
      <c r="C242" s="172"/>
      <c r="D242" s="135">
        <f>Other_Exp_Inc!E39</f>
        <v>482329.9499999999</v>
      </c>
      <c r="E242" s="294">
        <f>+I229</f>
        <v>1</v>
      </c>
      <c r="F242" s="294"/>
      <c r="G242" s="172">
        <f>D242*E242</f>
        <v>482329.9499999999</v>
      </c>
      <c r="H242" s="172"/>
      <c r="I242" s="172"/>
      <c r="J242" s="172"/>
      <c r="K242" s="172"/>
      <c r="L242" s="287"/>
      <c r="M242" s="285"/>
      <c r="N242" s="286"/>
      <c r="O242" s="280"/>
      <c r="P242" s="280"/>
      <c r="Q242" s="280"/>
      <c r="R242" s="280"/>
    </row>
    <row r="243" spans="1:18">
      <c r="A243" s="173">
        <v>14</v>
      </c>
      <c r="B243" s="179" t="s">
        <v>352</v>
      </c>
      <c r="C243" s="172"/>
      <c r="D243" s="135">
        <f>Other_Exp_Inc!E40</f>
        <v>0</v>
      </c>
      <c r="E243" s="294">
        <v>0</v>
      </c>
      <c r="F243" s="294"/>
      <c r="G243" s="172">
        <f>D243*E243</f>
        <v>0</v>
      </c>
      <c r="H243" s="172"/>
      <c r="I243" s="295" t="s">
        <v>478</v>
      </c>
      <c r="J243" s="172"/>
      <c r="K243" s="172"/>
      <c r="L243" s="280"/>
      <c r="M243" s="285"/>
      <c r="N243" s="285"/>
      <c r="O243" s="286"/>
      <c r="P243" s="280"/>
      <c r="Q243" s="280"/>
      <c r="R243" s="280"/>
    </row>
    <row r="244" spans="1:18" ht="16.2" thickBot="1">
      <c r="A244" s="173">
        <v>15</v>
      </c>
      <c r="B244" s="179" t="s">
        <v>479</v>
      </c>
      <c r="C244" s="172"/>
      <c r="D244" s="141">
        <f>Other_Exp_Inc!E41</f>
        <v>139899.31</v>
      </c>
      <c r="E244" s="294">
        <v>0</v>
      </c>
      <c r="F244" s="294"/>
      <c r="G244" s="184">
        <f>D244*E244</f>
        <v>0</v>
      </c>
      <c r="H244" s="172"/>
      <c r="I244" s="176" t="s">
        <v>480</v>
      </c>
      <c r="J244" s="172"/>
      <c r="K244" s="172"/>
      <c r="M244" s="172"/>
      <c r="N244" s="172"/>
      <c r="O244" s="179"/>
    </row>
    <row r="245" spans="1:18">
      <c r="A245" s="173">
        <v>16</v>
      </c>
      <c r="B245" s="179" t="s">
        <v>481</v>
      </c>
      <c r="C245" s="172"/>
      <c r="D245" s="172">
        <f>SUM(D241:D244)</f>
        <v>3063552.2959999996</v>
      </c>
      <c r="E245" s="172"/>
      <c r="F245" s="172"/>
      <c r="G245" s="172">
        <f>SUM(G241:G244)</f>
        <v>482329.9499999999</v>
      </c>
      <c r="H245" s="167" t="s">
        <v>482</v>
      </c>
      <c r="I245" s="217">
        <f>IF(G245&gt;0,G242/D245,0)</f>
        <v>0.15744139593430984</v>
      </c>
      <c r="J245" s="172" t="s">
        <v>482</v>
      </c>
      <c r="K245" s="172" t="s">
        <v>356</v>
      </c>
      <c r="M245" s="172"/>
      <c r="N245" s="172"/>
      <c r="O245" s="179"/>
    </row>
    <row r="246" spans="1:18">
      <c r="A246" s="173" t="s">
        <v>247</v>
      </c>
      <c r="B246" s="179" t="s">
        <v>247</v>
      </c>
      <c r="C246" s="172" t="s">
        <v>247</v>
      </c>
      <c r="E246" s="172"/>
      <c r="F246" s="172"/>
      <c r="M246" s="172"/>
      <c r="N246" s="172"/>
      <c r="O246" s="179"/>
    </row>
    <row r="247" spans="1:18">
      <c r="A247" s="173"/>
      <c r="B247" s="179" t="s">
        <v>483</v>
      </c>
      <c r="C247" s="172"/>
      <c r="D247" s="211" t="s">
        <v>477</v>
      </c>
      <c r="E247" s="172"/>
      <c r="F247" s="172"/>
      <c r="G247" s="246" t="s">
        <v>484</v>
      </c>
      <c r="H247" s="260" t="s">
        <v>247</v>
      </c>
      <c r="I247" s="230" t="s">
        <v>485</v>
      </c>
      <c r="J247" s="172"/>
      <c r="K247" s="172"/>
      <c r="M247" s="172"/>
      <c r="N247" s="172"/>
      <c r="O247" s="179"/>
    </row>
    <row r="248" spans="1:18">
      <c r="A248" s="173">
        <v>17</v>
      </c>
      <c r="B248" s="179" t="s">
        <v>486</v>
      </c>
      <c r="C248" s="172"/>
      <c r="D248" s="351">
        <f>D98</f>
        <v>521306177.97538459</v>
      </c>
      <c r="E248" s="172"/>
      <c r="G248" s="173" t="s">
        <v>487</v>
      </c>
      <c r="H248" s="296"/>
      <c r="I248" s="173" t="s">
        <v>488</v>
      </c>
      <c r="J248" s="172"/>
      <c r="K248" s="167" t="s">
        <v>358</v>
      </c>
      <c r="M248" s="172"/>
      <c r="N248" s="172"/>
      <c r="O248" s="179"/>
    </row>
    <row r="249" spans="1:18">
      <c r="A249" s="173">
        <v>18</v>
      </c>
      <c r="B249" s="179" t="s">
        <v>489</v>
      </c>
      <c r="C249" s="172"/>
      <c r="D249" s="235">
        <v>0</v>
      </c>
      <c r="E249" s="172"/>
      <c r="G249" s="181">
        <f>IF(D251&gt;0,D248/D251,0)</f>
        <v>1</v>
      </c>
      <c r="H249" s="246" t="s">
        <v>490</v>
      </c>
      <c r="I249" s="181">
        <f>I245</f>
        <v>0.15744139593430984</v>
      </c>
      <c r="J249" s="260" t="s">
        <v>482</v>
      </c>
      <c r="K249" s="181">
        <f>I249*G249</f>
        <v>0.15744139593430984</v>
      </c>
      <c r="M249" s="172"/>
      <c r="N249" s="172"/>
      <c r="O249" s="179"/>
    </row>
    <row r="250" spans="1:18" ht="16.2" thickBot="1">
      <c r="A250" s="173">
        <v>19</v>
      </c>
      <c r="B250" s="297" t="s">
        <v>491</v>
      </c>
      <c r="C250" s="184"/>
      <c r="D250" s="229">
        <v>0</v>
      </c>
      <c r="E250" s="172"/>
      <c r="F250" s="172"/>
      <c r="G250" s="172" t="s">
        <v>247</v>
      </c>
      <c r="H250" s="172"/>
      <c r="I250" s="172"/>
      <c r="M250" s="172"/>
      <c r="N250" s="172"/>
      <c r="O250" s="179"/>
    </row>
    <row r="251" spans="1:18">
      <c r="A251" s="173">
        <v>20</v>
      </c>
      <c r="B251" s="179" t="s">
        <v>492</v>
      </c>
      <c r="C251" s="172"/>
      <c r="D251" s="172">
        <f>D248+D249+D250</f>
        <v>521306177.97538459</v>
      </c>
      <c r="E251" s="172"/>
      <c r="F251" s="172"/>
      <c r="G251" s="172"/>
      <c r="H251" s="172"/>
      <c r="I251" s="172"/>
      <c r="J251" s="172"/>
      <c r="K251" s="172"/>
      <c r="M251" s="172"/>
      <c r="N251" s="172"/>
      <c r="O251" s="179"/>
    </row>
    <row r="252" spans="1:18">
      <c r="A252" s="173"/>
      <c r="B252" s="179" t="s">
        <v>247</v>
      </c>
      <c r="C252" s="172"/>
      <c r="E252" s="172"/>
      <c r="F252" s="172"/>
      <c r="G252" s="172"/>
      <c r="H252" s="172"/>
      <c r="I252" s="172" t="s">
        <v>247</v>
      </c>
      <c r="J252" s="172"/>
      <c r="K252" s="172"/>
      <c r="M252" s="172"/>
      <c r="N252" s="172"/>
      <c r="O252" s="179"/>
    </row>
    <row r="253" spans="1:18" ht="16.2" thickBot="1">
      <c r="A253" s="173"/>
      <c r="B253" s="163" t="s">
        <v>493</v>
      </c>
      <c r="C253" s="172"/>
      <c r="D253" s="293" t="s">
        <v>477</v>
      </c>
      <c r="E253" s="172"/>
      <c r="F253" s="172"/>
      <c r="G253" s="172"/>
      <c r="H253" s="172"/>
      <c r="J253" s="172" t="s">
        <v>247</v>
      </c>
      <c r="K253" s="172"/>
      <c r="M253" s="172"/>
      <c r="N253" s="172"/>
      <c r="O253" s="179"/>
    </row>
    <row r="254" spans="1:18">
      <c r="A254" s="173">
        <v>21</v>
      </c>
      <c r="B254" s="172" t="s">
        <v>494</v>
      </c>
      <c r="C254" s="165" t="s">
        <v>495</v>
      </c>
      <c r="D254" s="352">
        <f>SUM(Other_Exp_Inc!E28)</f>
        <v>27180842</v>
      </c>
      <c r="E254" s="172"/>
      <c r="F254" s="172"/>
      <c r="G254" s="172"/>
      <c r="H254" s="172"/>
      <c r="I254" s="172"/>
      <c r="J254" s="172"/>
      <c r="K254" s="172"/>
      <c r="M254" s="172"/>
      <c r="N254" s="172"/>
      <c r="O254" s="179"/>
    </row>
    <row r="255" spans="1:18">
      <c r="A255" s="173"/>
      <c r="B255" s="179"/>
      <c r="D255" s="172"/>
      <c r="E255" s="172"/>
      <c r="F255" s="172"/>
      <c r="G255" s="246" t="s">
        <v>496</v>
      </c>
      <c r="H255" s="172"/>
      <c r="I255" s="172"/>
      <c r="J255" s="172"/>
      <c r="K255" s="172"/>
      <c r="M255" s="172"/>
      <c r="N255" s="172"/>
      <c r="O255" s="179"/>
    </row>
    <row r="256" spans="1:18" ht="16.2" thickBot="1">
      <c r="A256" s="173"/>
      <c r="B256" s="163"/>
      <c r="C256" s="165"/>
      <c r="D256" s="176" t="s">
        <v>477</v>
      </c>
      <c r="E256" s="176" t="s">
        <v>497</v>
      </c>
      <c r="F256" s="172"/>
      <c r="G256" s="176" t="s">
        <v>498</v>
      </c>
      <c r="H256" s="172"/>
      <c r="I256" s="176" t="s">
        <v>499</v>
      </c>
      <c r="J256" s="172"/>
      <c r="K256" s="172"/>
      <c r="M256" s="172"/>
      <c r="N256" s="172"/>
      <c r="O256" s="179"/>
    </row>
    <row r="257" spans="1:15">
      <c r="A257" s="173">
        <v>22</v>
      </c>
      <c r="B257" s="163" t="s">
        <v>500</v>
      </c>
      <c r="C257" s="165" t="s">
        <v>501</v>
      </c>
      <c r="D257" s="135">
        <f>'Capital Structure'!E22</f>
        <v>598890481.69230771</v>
      </c>
      <c r="E257" s="298">
        <f>IF($D$259&gt;0,D257/$D$259,0)</f>
        <v>0.75502348538206276</v>
      </c>
      <c r="F257" s="299"/>
      <c r="G257" s="300">
        <f>IF(D257&gt;0,D254/D257,0)</f>
        <v>4.5385329757110279E-2</v>
      </c>
      <c r="I257" s="299">
        <f>G257*E257</f>
        <v>3.4266989858427653E-2</v>
      </c>
      <c r="J257" s="301" t="s">
        <v>502</v>
      </c>
      <c r="K257" s="172"/>
      <c r="M257" s="172"/>
      <c r="N257" s="172"/>
      <c r="O257" s="179"/>
    </row>
    <row r="258" spans="1:15" ht="16.2" thickBot="1">
      <c r="A258" s="173">
        <v>23</v>
      </c>
      <c r="B258" s="163" t="s">
        <v>503</v>
      </c>
      <c r="C258" s="165" t="s">
        <v>504</v>
      </c>
      <c r="D258" s="141">
        <f>'Capital Structure'!F22</f>
        <v>194317270.50000003</v>
      </c>
      <c r="E258" s="302">
        <f>IF($D$259&gt;0,D258/$D$259,0)</f>
        <v>0.24497651461793726</v>
      </c>
      <c r="F258" s="299"/>
      <c r="G258" s="299">
        <f>+I261</f>
        <v>0.12379999999999999</v>
      </c>
      <c r="I258" s="303">
        <f>G258*E258</f>
        <v>3.032809250970063E-2</v>
      </c>
      <c r="M258" s="172"/>
      <c r="N258" s="172"/>
      <c r="O258" s="179"/>
    </row>
    <row r="259" spans="1:15">
      <c r="A259" s="173">
        <v>24</v>
      </c>
      <c r="B259" s="163" t="s">
        <v>505</v>
      </c>
      <c r="C259" s="165"/>
      <c r="D259" s="172">
        <f>SUM(D257:D258)</f>
        <v>793207752.19230771</v>
      </c>
      <c r="E259" s="304">
        <f>SUM(E257+E258)</f>
        <v>1</v>
      </c>
      <c r="F259" s="299"/>
      <c r="G259" s="299"/>
      <c r="I259" s="299">
        <f>SUM(I257:I258)</f>
        <v>6.4595082368128276E-2</v>
      </c>
      <c r="J259" s="301" t="s">
        <v>506</v>
      </c>
      <c r="M259" s="172"/>
      <c r="N259" s="172"/>
      <c r="O259" s="179"/>
    </row>
    <row r="260" spans="1:15">
      <c r="A260" s="173" t="s">
        <v>247</v>
      </c>
      <c r="B260" s="179"/>
      <c r="D260" s="172"/>
      <c r="E260" s="172" t="s">
        <v>247</v>
      </c>
      <c r="F260" s="172"/>
      <c r="G260" s="172"/>
      <c r="H260" s="172"/>
      <c r="I260" s="299"/>
      <c r="M260" s="172"/>
      <c r="N260" s="172"/>
      <c r="O260" s="179"/>
    </row>
    <row r="261" spans="1:15">
      <c r="A261" s="173">
        <v>25</v>
      </c>
      <c r="E261" s="172"/>
      <c r="F261" s="172"/>
      <c r="G261" s="172"/>
      <c r="H261" s="250" t="s">
        <v>507</v>
      </c>
      <c r="I261" s="305">
        <v>0.12379999999999999</v>
      </c>
      <c r="M261" s="172"/>
      <c r="N261" s="172"/>
      <c r="O261" s="179"/>
    </row>
    <row r="262" spans="1:15">
      <c r="A262" s="173">
        <v>26</v>
      </c>
      <c r="H262" s="276" t="s">
        <v>508</v>
      </c>
      <c r="I262" s="294">
        <f>IF(G257&gt;0,I259/G257,0)</f>
        <v>1.423259073225275</v>
      </c>
      <c r="M262" s="172"/>
      <c r="N262" s="172"/>
      <c r="O262" s="179"/>
    </row>
    <row r="263" spans="1:15">
      <c r="A263" s="173"/>
      <c r="H263" s="276"/>
      <c r="I263" s="294"/>
      <c r="M263" s="172"/>
      <c r="N263" s="172"/>
      <c r="O263" s="179"/>
    </row>
    <row r="264" spans="1:15">
      <c r="A264" s="173"/>
      <c r="D264" s="172"/>
      <c r="E264" s="172"/>
      <c r="F264" s="172"/>
      <c r="G264" s="246" t="s">
        <v>496</v>
      </c>
      <c r="H264" s="172"/>
      <c r="I264" s="172"/>
      <c r="M264" s="172"/>
      <c r="N264" s="172"/>
      <c r="O264" s="179"/>
    </row>
    <row r="265" spans="1:15" ht="16.2" thickBot="1">
      <c r="A265" s="306"/>
      <c r="B265" s="161" t="s">
        <v>509</v>
      </c>
      <c r="C265" s="240"/>
      <c r="D265" s="307"/>
      <c r="E265" s="176" t="s">
        <v>497</v>
      </c>
      <c r="F265" s="219"/>
      <c r="G265" s="176" t="s">
        <v>498</v>
      </c>
      <c r="H265" s="219"/>
      <c r="I265" s="176" t="s">
        <v>499</v>
      </c>
      <c r="J265" s="240"/>
      <c r="K265" s="240"/>
      <c r="M265" s="172"/>
      <c r="N265" s="172"/>
      <c r="O265" s="179"/>
    </row>
    <row r="266" spans="1:15">
      <c r="A266" s="173">
        <v>27</v>
      </c>
      <c r="B266" s="163" t="s">
        <v>510</v>
      </c>
      <c r="C266" s="308"/>
      <c r="D266" s="309"/>
      <c r="E266" s="298">
        <v>0.55000000000000004</v>
      </c>
      <c r="F266" s="310"/>
      <c r="G266" s="300">
        <f>G257</f>
        <v>4.5385329757110279E-2</v>
      </c>
      <c r="H266" s="240"/>
      <c r="I266" s="299">
        <f>G266*E266</f>
        <v>2.4961931366410655E-2</v>
      </c>
      <c r="J266" s="301" t="s">
        <v>502</v>
      </c>
      <c r="K266" s="219"/>
      <c r="M266" s="172"/>
      <c r="N266" s="172"/>
      <c r="O266" s="179"/>
    </row>
    <row r="267" spans="1:15" ht="16.2" thickBot="1">
      <c r="A267" s="173">
        <v>28</v>
      </c>
      <c r="B267" s="163" t="s">
        <v>511</v>
      </c>
      <c r="C267" s="308"/>
      <c r="D267" s="309"/>
      <c r="E267" s="302">
        <v>0.45</v>
      </c>
      <c r="F267" s="310"/>
      <c r="G267" s="299">
        <f>+I261</f>
        <v>0.12379999999999999</v>
      </c>
      <c r="H267" s="240"/>
      <c r="I267" s="303">
        <f>G267*E267</f>
        <v>5.5709999999999996E-2</v>
      </c>
      <c r="J267" s="240"/>
      <c r="K267" s="240"/>
      <c r="M267" s="172"/>
      <c r="N267" s="172"/>
      <c r="O267" s="179"/>
    </row>
    <row r="268" spans="1:15">
      <c r="A268" s="173">
        <v>29</v>
      </c>
      <c r="B268" s="163" t="s">
        <v>512</v>
      </c>
      <c r="C268" s="308"/>
      <c r="D268" s="309"/>
      <c r="E268" s="304">
        <f>SUM(E266+E267)</f>
        <v>1</v>
      </c>
      <c r="F268" s="310"/>
      <c r="G268" s="310"/>
      <c r="H268" s="240"/>
      <c r="I268" s="299">
        <f>SUM(I266:I267)</f>
        <v>8.0671931366410654E-2</v>
      </c>
      <c r="J268" s="301" t="s">
        <v>506</v>
      </c>
      <c r="K268" s="240"/>
      <c r="M268" s="172"/>
      <c r="N268" s="172"/>
      <c r="O268" s="179"/>
    </row>
    <row r="269" spans="1:15">
      <c r="A269" s="306"/>
      <c r="B269" s="240"/>
      <c r="C269" s="240"/>
      <c r="D269" s="240"/>
      <c r="E269" s="240"/>
      <c r="F269" s="240"/>
      <c r="G269" s="240"/>
      <c r="H269" s="311"/>
      <c r="I269" s="312"/>
      <c r="J269" s="240"/>
      <c r="K269" s="240"/>
      <c r="M269" s="172"/>
      <c r="N269" s="172"/>
      <c r="O269" s="179"/>
    </row>
    <row r="270" spans="1:15">
      <c r="A270" s="173">
        <v>30</v>
      </c>
      <c r="B270" s="161" t="s">
        <v>513</v>
      </c>
      <c r="C270" s="240"/>
      <c r="D270" s="240"/>
      <c r="E270" s="240"/>
      <c r="F270" s="240"/>
      <c r="G270" s="240"/>
      <c r="H270" s="311"/>
      <c r="I270" s="313">
        <f>I268-I259</f>
        <v>1.6076848998282378E-2</v>
      </c>
      <c r="M270" s="172"/>
      <c r="N270" s="172"/>
      <c r="O270" s="179"/>
    </row>
    <row r="271" spans="1:15">
      <c r="A271" s="173"/>
      <c r="H271" s="276"/>
      <c r="I271" s="294"/>
      <c r="M271" s="172"/>
      <c r="N271" s="172"/>
      <c r="O271" s="179"/>
    </row>
    <row r="272" spans="1:15">
      <c r="A272" s="173"/>
      <c r="B272" s="163" t="s">
        <v>514</v>
      </c>
      <c r="C272" s="165"/>
      <c r="D272" s="165"/>
      <c r="E272" s="165"/>
      <c r="F272" s="165"/>
      <c r="G272" s="165"/>
      <c r="H272" s="165"/>
      <c r="I272" s="165"/>
      <c r="K272" s="172"/>
      <c r="M272" s="172"/>
      <c r="N272" s="172"/>
      <c r="O272" s="179"/>
    </row>
    <row r="273" spans="1:19" ht="16.2" thickBot="1">
      <c r="A273" s="173"/>
      <c r="B273" s="163"/>
      <c r="C273" s="163"/>
      <c r="D273" s="163"/>
      <c r="E273" s="163"/>
      <c r="F273" s="163"/>
      <c r="G273" s="163"/>
      <c r="H273" s="163"/>
      <c r="I273" s="176" t="s">
        <v>515</v>
      </c>
      <c r="J273" s="165"/>
      <c r="K273" s="165"/>
      <c r="M273" s="172"/>
      <c r="N273" s="172"/>
      <c r="O273" s="179"/>
    </row>
    <row r="274" spans="1:19">
      <c r="A274" s="173"/>
      <c r="B274" s="163" t="s">
        <v>516</v>
      </c>
      <c r="C274" s="165"/>
      <c r="D274" s="165"/>
      <c r="E274" s="165"/>
      <c r="F274" s="165"/>
      <c r="G274" s="314" t="s">
        <v>247</v>
      </c>
      <c r="H274" s="273"/>
      <c r="I274" s="315"/>
      <c r="J274" s="163"/>
      <c r="K274" s="163"/>
      <c r="M274" s="172"/>
      <c r="N274" s="172"/>
      <c r="O274" s="179"/>
    </row>
    <row r="275" spans="1:19">
      <c r="A275" s="173">
        <v>31</v>
      </c>
      <c r="B275" s="161" t="s">
        <v>517</v>
      </c>
      <c r="C275" s="165"/>
      <c r="D275" s="165"/>
      <c r="E275" s="165" t="s">
        <v>518</v>
      </c>
      <c r="F275" s="165"/>
      <c r="H275" s="273"/>
      <c r="I275" s="235">
        <v>0</v>
      </c>
      <c r="J275" s="163"/>
      <c r="K275" s="163"/>
      <c r="L275" s="325" t="s">
        <v>528</v>
      </c>
      <c r="M275" s="246"/>
      <c r="N275" s="172"/>
      <c r="O275" s="179"/>
    </row>
    <row r="276" spans="1:19" ht="16.2" thickBot="1">
      <c r="A276" s="173">
        <v>32</v>
      </c>
      <c r="B276" s="247" t="s">
        <v>519</v>
      </c>
      <c r="C276" s="278"/>
      <c r="D276" s="201"/>
      <c r="E276" s="316"/>
      <c r="F276" s="316"/>
      <c r="G276" s="316"/>
      <c r="H276" s="165"/>
      <c r="I276" s="229">
        <v>0</v>
      </c>
      <c r="J276" s="163"/>
      <c r="K276" s="163"/>
      <c r="L276" s="325" t="s">
        <v>529</v>
      </c>
      <c r="M276" s="163"/>
      <c r="N276" s="172"/>
      <c r="O276" s="179"/>
    </row>
    <row r="277" spans="1:19">
      <c r="A277" s="173">
        <v>33</v>
      </c>
      <c r="B277" s="161" t="s">
        <v>520</v>
      </c>
      <c r="C277" s="166"/>
      <c r="D277" s="201"/>
      <c r="E277" s="316"/>
      <c r="F277" s="316"/>
      <c r="G277" s="316"/>
      <c r="H277" s="165"/>
      <c r="I277" s="235">
        <f>+I275-I276</f>
        <v>0</v>
      </c>
      <c r="J277" s="163"/>
      <c r="K277" s="163"/>
      <c r="M277" s="163"/>
      <c r="N277" s="172"/>
      <c r="O277" s="179"/>
    </row>
    <row r="278" spans="1:19">
      <c r="A278" s="306"/>
      <c r="B278" s="161" t="s">
        <v>247</v>
      </c>
      <c r="C278" s="166"/>
      <c r="D278" s="201"/>
      <c r="E278" s="316"/>
      <c r="F278" s="316"/>
      <c r="G278" s="317"/>
      <c r="H278" s="165"/>
      <c r="I278" s="318" t="s">
        <v>247</v>
      </c>
      <c r="J278" s="163"/>
      <c r="K278" s="163"/>
      <c r="M278" s="163"/>
      <c r="N278" s="172"/>
      <c r="O278" s="179"/>
    </row>
    <row r="279" spans="1:19">
      <c r="A279" s="173">
        <v>34</v>
      </c>
      <c r="B279" s="163" t="s">
        <v>521</v>
      </c>
      <c r="C279" s="166"/>
      <c r="D279" s="201"/>
      <c r="E279" s="316"/>
      <c r="F279" s="316"/>
      <c r="G279" s="317"/>
      <c r="H279" s="165"/>
      <c r="I279" s="353">
        <f>Other_Exp_Inc!E30</f>
        <v>7919</v>
      </c>
      <c r="J279" s="163"/>
      <c r="K279" s="163"/>
      <c r="M279" s="163"/>
      <c r="N279" s="172"/>
      <c r="O279" s="179"/>
    </row>
    <row r="280" spans="1:19">
      <c r="A280" s="306"/>
      <c r="C280" s="165"/>
      <c r="D280" s="319"/>
      <c r="E280" s="316"/>
      <c r="F280" s="316"/>
      <c r="G280" s="316"/>
      <c r="H280" s="165"/>
      <c r="I280" s="318"/>
      <c r="J280" s="163"/>
      <c r="K280" s="163"/>
      <c r="M280" s="163"/>
      <c r="N280" s="172"/>
      <c r="O280" s="179"/>
    </row>
    <row r="281" spans="1:19">
      <c r="A281" s="240"/>
      <c r="B281" s="163" t="s">
        <v>522</v>
      </c>
      <c r="C281" s="165"/>
      <c r="D281" s="316"/>
      <c r="E281" s="316"/>
      <c r="F281" s="316"/>
      <c r="G281" s="316"/>
      <c r="H281" s="165"/>
      <c r="J281" s="163"/>
      <c r="K281" s="163"/>
      <c r="M281" s="163"/>
      <c r="N281" s="172"/>
      <c r="O281" s="179"/>
    </row>
    <row r="282" spans="1:19" s="144" customFormat="1">
      <c r="A282" s="173">
        <v>35</v>
      </c>
      <c r="B282" s="163" t="s">
        <v>523</v>
      </c>
      <c r="C282" s="172"/>
      <c r="D282" s="245"/>
      <c r="E282" s="245"/>
      <c r="F282" s="245"/>
      <c r="G282" s="245"/>
      <c r="H282" s="172"/>
      <c r="I282" s="354">
        <f>Other_Exp_Inc!E32</f>
        <v>45911078</v>
      </c>
      <c r="J282" s="163"/>
      <c r="K282" s="163"/>
      <c r="L282" s="161"/>
      <c r="M282" s="163"/>
      <c r="N282" s="172"/>
      <c r="O282" s="179"/>
      <c r="P282" s="161"/>
      <c r="Q282" s="161"/>
      <c r="R282" s="161"/>
      <c r="S282" s="161"/>
    </row>
    <row r="283" spans="1:19">
      <c r="A283" s="173">
        <v>36</v>
      </c>
      <c r="B283" s="320" t="s">
        <v>524</v>
      </c>
      <c r="C283" s="316"/>
      <c r="D283" s="316"/>
      <c r="E283" s="316"/>
      <c r="F283" s="316"/>
      <c r="G283" s="316"/>
      <c r="H283" s="165"/>
      <c r="I283" s="354">
        <f>Other_Exp_Inc!E33</f>
        <v>31756299</v>
      </c>
      <c r="J283" s="163"/>
      <c r="K283" s="163"/>
      <c r="M283" s="163"/>
      <c r="N283" s="172"/>
      <c r="O283" s="179"/>
    </row>
    <row r="284" spans="1:19">
      <c r="A284" s="173" t="s">
        <v>525</v>
      </c>
      <c r="B284" s="321" t="s">
        <v>631</v>
      </c>
      <c r="C284" s="319"/>
      <c r="D284" s="316"/>
      <c r="E284" s="316"/>
      <c r="F284" s="316"/>
      <c r="G284" s="316"/>
      <c r="H284" s="165"/>
      <c r="I284" s="354">
        <f>Other_Exp_Inc!E34</f>
        <v>9778617</v>
      </c>
      <c r="J284" s="163"/>
      <c r="K284" s="163"/>
      <c r="M284" s="163"/>
      <c r="N284" s="172"/>
      <c r="O284" s="179"/>
    </row>
    <row r="285" spans="1:19" ht="16.2" thickBot="1">
      <c r="A285" s="173" t="s">
        <v>526</v>
      </c>
      <c r="B285" s="322" t="s">
        <v>632</v>
      </c>
      <c r="C285" s="323"/>
      <c r="D285" s="316"/>
      <c r="E285" s="316"/>
      <c r="F285" s="316"/>
      <c r="G285" s="316"/>
      <c r="H285" s="165"/>
      <c r="I285" s="229">
        <f>Other_Exp_Inc!E35</f>
        <v>4376162</v>
      </c>
      <c r="J285" s="163"/>
      <c r="K285" s="163"/>
      <c r="M285" s="163"/>
      <c r="N285" s="172"/>
      <c r="O285" s="179"/>
    </row>
    <row r="286" spans="1:19">
      <c r="A286" s="173">
        <v>37</v>
      </c>
      <c r="B286" s="161" t="s">
        <v>527</v>
      </c>
      <c r="C286" s="173"/>
      <c r="D286" s="245"/>
      <c r="E286" s="245"/>
      <c r="F286" s="245"/>
      <c r="G286" s="245"/>
      <c r="H286" s="165"/>
      <c r="I286" s="324">
        <f>+I282-I283-I284-I285</f>
        <v>0</v>
      </c>
      <c r="J286" s="163"/>
      <c r="K286" s="163"/>
      <c r="M286" s="163"/>
      <c r="N286" s="166"/>
      <c r="O286" s="179"/>
      <c r="Q286" s="273"/>
      <c r="R286" s="273"/>
      <c r="S286" s="273"/>
    </row>
    <row r="287" spans="1:19">
      <c r="A287" s="173"/>
      <c r="B287" s="326"/>
      <c r="C287" s="173"/>
      <c r="D287" s="245"/>
      <c r="E287" s="245"/>
      <c r="F287" s="245"/>
      <c r="G287" s="245"/>
      <c r="H287" s="165"/>
      <c r="I287" s="324"/>
      <c r="J287" s="163"/>
      <c r="K287" s="163"/>
      <c r="M287" s="327"/>
      <c r="N287" s="328"/>
      <c r="O287" s="329"/>
      <c r="P287" s="273"/>
    </row>
    <row r="288" spans="1:19">
      <c r="A288" s="173"/>
      <c r="B288" s="326"/>
      <c r="C288" s="173"/>
      <c r="D288" s="245"/>
      <c r="E288" s="245"/>
      <c r="F288" s="245"/>
      <c r="G288" s="245"/>
      <c r="H288" s="165"/>
      <c r="I288" s="324"/>
      <c r="J288" s="163"/>
      <c r="K288" s="163"/>
      <c r="M288" s="163"/>
      <c r="N288" s="166"/>
      <c r="O288" s="179"/>
    </row>
    <row r="289" spans="1:15">
      <c r="A289" s="173"/>
      <c r="B289" s="326"/>
      <c r="C289" s="173"/>
      <c r="D289" s="245"/>
      <c r="E289" s="245"/>
      <c r="F289" s="245"/>
      <c r="G289" s="245"/>
      <c r="H289" s="165"/>
      <c r="I289" s="324"/>
      <c r="J289" s="163"/>
      <c r="K289" s="163"/>
      <c r="M289" s="163"/>
      <c r="N289" s="166"/>
      <c r="O289" s="179"/>
    </row>
    <row r="290" spans="1:15">
      <c r="A290" s="173"/>
      <c r="B290" s="326"/>
      <c r="C290" s="173"/>
      <c r="D290" s="245"/>
      <c r="E290" s="245"/>
      <c r="F290" s="245"/>
      <c r="G290" s="245"/>
      <c r="H290" s="165"/>
      <c r="I290" s="324"/>
      <c r="J290" s="163"/>
      <c r="K290" s="163"/>
      <c r="M290" s="163"/>
      <c r="N290" s="166"/>
      <c r="O290" s="179"/>
    </row>
    <row r="291" spans="1:15">
      <c r="A291" s="173"/>
      <c r="B291" s="326"/>
      <c r="C291" s="173"/>
      <c r="D291" s="245"/>
      <c r="E291" s="245"/>
      <c r="F291" s="245"/>
      <c r="G291" s="245"/>
      <c r="H291" s="165"/>
      <c r="I291" s="324"/>
      <c r="J291" s="163"/>
      <c r="K291" s="162" t="s">
        <v>621</v>
      </c>
      <c r="M291" s="163"/>
      <c r="N291" s="166"/>
      <c r="O291" s="179"/>
    </row>
    <row r="292" spans="1:15">
      <c r="B292" s="163"/>
      <c r="C292" s="163"/>
      <c r="E292" s="163"/>
      <c r="F292" s="163"/>
      <c r="G292" s="163"/>
      <c r="H292" s="165"/>
      <c r="I292" s="165"/>
      <c r="K292" s="162" t="s">
        <v>530</v>
      </c>
      <c r="M292" s="166"/>
      <c r="N292" s="166"/>
      <c r="O292" s="166"/>
    </row>
    <row r="293" spans="1:15">
      <c r="A293" s="173"/>
      <c r="B293" s="326" t="str">
        <f>B4</f>
        <v xml:space="preserve">Formula Rate - Non-Levelized </v>
      </c>
      <c r="C293" s="371" t="str">
        <f>D4</f>
        <v xml:space="preserve">   Rate Formula Template</v>
      </c>
      <c r="D293" s="371"/>
      <c r="E293" s="172"/>
      <c r="F293" s="172"/>
      <c r="G293" s="172"/>
      <c r="H293" s="330"/>
      <c r="J293" s="166"/>
      <c r="K293" s="331" t="str">
        <f>K4</f>
        <v>For the 12 months ended 12/31/16</v>
      </c>
      <c r="M293" s="166"/>
      <c r="N293" s="166"/>
      <c r="O293" s="166"/>
    </row>
    <row r="294" spans="1:15">
      <c r="A294" s="173"/>
      <c r="B294" s="326"/>
      <c r="C294" s="173"/>
      <c r="D294" s="172" t="str">
        <f>D5</f>
        <v>Utilizing EIA Form 412 Data</v>
      </c>
      <c r="E294" s="172"/>
      <c r="F294" s="172"/>
      <c r="G294" s="172"/>
      <c r="H294" s="165"/>
      <c r="I294" s="332"/>
      <c r="J294" s="315"/>
      <c r="K294" s="333"/>
      <c r="M294" s="166"/>
      <c r="N294" s="166"/>
      <c r="O294" s="166"/>
    </row>
    <row r="295" spans="1:15">
      <c r="A295" s="173"/>
      <c r="B295" s="326"/>
      <c r="C295" s="173"/>
      <c r="D295" s="172" t="str">
        <f>D7</f>
        <v>MRES</v>
      </c>
      <c r="E295" s="172"/>
      <c r="F295" s="172"/>
      <c r="G295" s="172"/>
      <c r="H295" s="165"/>
      <c r="I295" s="332"/>
      <c r="J295" s="315"/>
      <c r="K295" s="333"/>
      <c r="M295" s="166"/>
      <c r="N295" s="166"/>
      <c r="O295" s="166"/>
    </row>
    <row r="296" spans="1:15" ht="32.25" customHeight="1">
      <c r="A296" s="173"/>
      <c r="B296" s="163" t="s">
        <v>531</v>
      </c>
      <c r="C296" s="173"/>
      <c r="D296" s="172"/>
      <c r="E296" s="172"/>
      <c r="F296" s="172"/>
      <c r="G296" s="172"/>
      <c r="H296" s="165"/>
      <c r="I296" s="172"/>
      <c r="J296" s="315"/>
      <c r="K296" s="333"/>
      <c r="M296" s="173"/>
      <c r="N296" s="166"/>
      <c r="O296" s="179"/>
    </row>
    <row r="297" spans="1:15" ht="63" customHeight="1">
      <c r="A297" s="173"/>
      <c r="B297" s="334" t="s">
        <v>532</v>
      </c>
      <c r="C297" s="173"/>
      <c r="D297" s="172"/>
      <c r="E297" s="172"/>
      <c r="F297" s="172"/>
      <c r="G297" s="172"/>
      <c r="H297" s="165"/>
      <c r="I297" s="172"/>
      <c r="J297" s="165"/>
      <c r="K297" s="172"/>
      <c r="M297" s="173"/>
      <c r="N297" s="166"/>
      <c r="O297" s="179"/>
    </row>
    <row r="298" spans="1:15" ht="15.6" customHeight="1">
      <c r="B298" s="334" t="s">
        <v>533</v>
      </c>
      <c r="C298" s="173"/>
      <c r="D298" s="172"/>
      <c r="E298" s="172"/>
      <c r="F298" s="172"/>
      <c r="G298" s="172"/>
      <c r="H298" s="165"/>
      <c r="I298" s="172"/>
      <c r="J298" s="165"/>
      <c r="K298" s="172"/>
      <c r="M298" s="173"/>
      <c r="N298" s="166"/>
      <c r="O298" s="166"/>
    </row>
    <row r="299" spans="1:15" ht="15.6" customHeight="1">
      <c r="A299" s="173" t="s">
        <v>534</v>
      </c>
      <c r="B299" s="163" t="s">
        <v>535</v>
      </c>
      <c r="C299" s="165"/>
      <c r="D299" s="172"/>
      <c r="E299" s="172"/>
      <c r="F299" s="172"/>
      <c r="G299" s="185"/>
      <c r="H299" s="165"/>
      <c r="I299" s="172"/>
      <c r="J299" s="165"/>
      <c r="K299" s="172"/>
      <c r="M299" s="173"/>
      <c r="N299" s="166"/>
      <c r="O299" s="166"/>
    </row>
    <row r="300" spans="1:15" ht="15.6" customHeight="1" thickBot="1">
      <c r="A300" s="176" t="s">
        <v>536</v>
      </c>
      <c r="C300" s="165"/>
      <c r="D300" s="172"/>
      <c r="E300" s="172"/>
      <c r="F300" s="172"/>
      <c r="G300" s="172"/>
      <c r="H300" s="165"/>
      <c r="I300" s="172"/>
      <c r="J300" s="165"/>
      <c r="K300" s="172"/>
      <c r="M300" s="173"/>
      <c r="N300" s="166"/>
      <c r="O300" s="166"/>
    </row>
    <row r="301" spans="1:15" ht="48" customHeight="1">
      <c r="A301" s="335" t="s">
        <v>537</v>
      </c>
      <c r="B301" s="367" t="s">
        <v>538</v>
      </c>
      <c r="C301" s="367"/>
      <c r="D301" s="367"/>
      <c r="E301" s="367"/>
      <c r="F301" s="367"/>
      <c r="G301" s="367"/>
      <c r="H301" s="367"/>
      <c r="I301" s="367"/>
      <c r="J301" s="367"/>
      <c r="K301" s="367"/>
      <c r="M301" s="173"/>
      <c r="N301" s="166"/>
      <c r="O301" s="166"/>
    </row>
    <row r="302" spans="1:15">
      <c r="A302" s="335" t="s">
        <v>539</v>
      </c>
      <c r="B302" s="367" t="s">
        <v>540</v>
      </c>
      <c r="C302" s="367"/>
      <c r="D302" s="367"/>
      <c r="E302" s="367"/>
      <c r="F302" s="367"/>
      <c r="G302" s="367"/>
      <c r="H302" s="367"/>
      <c r="I302" s="367"/>
      <c r="J302" s="367"/>
      <c r="K302" s="367"/>
      <c r="M302" s="173"/>
      <c r="N302" s="166"/>
      <c r="O302" s="166"/>
    </row>
    <row r="303" spans="1:15" ht="34.5" customHeight="1">
      <c r="A303" s="335" t="s">
        <v>541</v>
      </c>
      <c r="B303" s="367" t="s">
        <v>542</v>
      </c>
      <c r="C303" s="367"/>
      <c r="D303" s="367"/>
      <c r="E303" s="367"/>
      <c r="F303" s="367"/>
      <c r="G303" s="367"/>
      <c r="H303" s="367"/>
      <c r="I303" s="367"/>
      <c r="J303" s="367"/>
      <c r="K303" s="367"/>
      <c r="M303" s="173"/>
      <c r="N303" s="166"/>
      <c r="O303" s="166"/>
    </row>
    <row r="304" spans="1:15" ht="34.5" customHeight="1">
      <c r="A304" s="335" t="s">
        <v>543</v>
      </c>
      <c r="B304" s="367" t="s">
        <v>542</v>
      </c>
      <c r="C304" s="367"/>
      <c r="D304" s="367"/>
      <c r="E304" s="367"/>
      <c r="F304" s="367"/>
      <c r="G304" s="367"/>
      <c r="H304" s="367"/>
      <c r="I304" s="367"/>
      <c r="J304" s="367"/>
      <c r="K304" s="367"/>
      <c r="M304" s="173"/>
      <c r="N304" s="166"/>
      <c r="O304" s="166"/>
    </row>
    <row r="305" spans="1:15" ht="34.5" customHeight="1">
      <c r="A305" s="335" t="s">
        <v>544</v>
      </c>
      <c r="B305" s="367" t="s">
        <v>545</v>
      </c>
      <c r="C305" s="367"/>
      <c r="D305" s="367"/>
      <c r="E305" s="367"/>
      <c r="F305" s="367"/>
      <c r="G305" s="367"/>
      <c r="H305" s="367"/>
      <c r="I305" s="367"/>
      <c r="J305" s="367"/>
      <c r="K305" s="367"/>
      <c r="M305" s="173"/>
      <c r="N305" s="166"/>
      <c r="O305" s="166"/>
    </row>
    <row r="306" spans="1:15" ht="84.75" customHeight="1">
      <c r="A306" s="335" t="s">
        <v>546</v>
      </c>
      <c r="B306" s="368" t="s">
        <v>547</v>
      </c>
      <c r="C306" s="368"/>
      <c r="D306" s="368"/>
      <c r="E306" s="368"/>
      <c r="F306" s="368"/>
      <c r="G306" s="368"/>
      <c r="H306" s="368"/>
      <c r="I306" s="368"/>
      <c r="J306" s="368"/>
      <c r="K306" s="368"/>
      <c r="M306" s="173"/>
      <c r="N306" s="166"/>
      <c r="O306" s="166"/>
    </row>
    <row r="307" spans="1:15">
      <c r="A307" s="335" t="s">
        <v>548</v>
      </c>
      <c r="B307" s="368" t="s">
        <v>549</v>
      </c>
      <c r="C307" s="368"/>
      <c r="D307" s="368"/>
      <c r="E307" s="368"/>
      <c r="F307" s="368"/>
      <c r="G307" s="368"/>
      <c r="H307" s="368"/>
      <c r="I307" s="368"/>
      <c r="J307" s="368"/>
      <c r="K307" s="368"/>
      <c r="M307" s="173"/>
      <c r="N307" s="166"/>
      <c r="O307" s="166"/>
    </row>
    <row r="308" spans="1:15" ht="15.6" customHeight="1">
      <c r="A308" s="335" t="s">
        <v>550</v>
      </c>
      <c r="B308" s="368" t="s">
        <v>551</v>
      </c>
      <c r="C308" s="368"/>
      <c r="D308" s="368"/>
      <c r="E308" s="368"/>
      <c r="F308" s="368"/>
      <c r="G308" s="368"/>
      <c r="H308" s="368"/>
      <c r="I308" s="368"/>
      <c r="J308" s="368"/>
      <c r="K308" s="368"/>
      <c r="M308" s="173"/>
      <c r="N308" s="166"/>
      <c r="O308" s="166"/>
    </row>
    <row r="309" spans="1:15" ht="15.6" customHeight="1">
      <c r="A309" s="335" t="s">
        <v>552</v>
      </c>
      <c r="B309" s="367" t="s">
        <v>553</v>
      </c>
      <c r="C309" s="367"/>
      <c r="D309" s="367"/>
      <c r="E309" s="367"/>
      <c r="F309" s="367"/>
      <c r="G309" s="367"/>
      <c r="H309" s="367"/>
      <c r="I309" s="367"/>
      <c r="J309" s="367"/>
      <c r="K309" s="367"/>
      <c r="M309" s="173"/>
      <c r="N309" s="166"/>
      <c r="O309" s="166"/>
    </row>
    <row r="310" spans="1:15" ht="15.6" customHeight="1">
      <c r="A310" s="335" t="s">
        <v>554</v>
      </c>
      <c r="B310" s="368" t="s">
        <v>555</v>
      </c>
      <c r="C310" s="368"/>
      <c r="D310" s="368"/>
      <c r="E310" s="368"/>
      <c r="F310" s="368"/>
      <c r="G310" s="368"/>
      <c r="H310" s="368"/>
      <c r="I310" s="368"/>
      <c r="J310" s="368"/>
      <c r="K310" s="368"/>
      <c r="M310" s="173"/>
      <c r="N310" s="208"/>
      <c r="O310" s="166"/>
    </row>
    <row r="311" spans="1:15" ht="32.25" customHeight="1">
      <c r="A311" s="335" t="s">
        <v>556</v>
      </c>
      <c r="B311" s="368" t="s">
        <v>557</v>
      </c>
      <c r="C311" s="368"/>
      <c r="D311" s="368"/>
      <c r="E311" s="368"/>
      <c r="F311" s="368"/>
      <c r="G311" s="368"/>
      <c r="H311" s="368"/>
      <c r="I311" s="368"/>
      <c r="J311" s="368"/>
      <c r="K311" s="368"/>
      <c r="M311" s="173"/>
      <c r="N311" s="166"/>
      <c r="O311" s="166"/>
    </row>
    <row r="312" spans="1:15" ht="51" customHeight="1">
      <c r="A312" s="335" t="s">
        <v>247</v>
      </c>
      <c r="B312" s="336" t="s">
        <v>558</v>
      </c>
      <c r="C312" s="337" t="s">
        <v>559</v>
      </c>
      <c r="D312" s="338">
        <v>0</v>
      </c>
      <c r="E312" s="337"/>
      <c r="F312" s="339"/>
      <c r="G312" s="339"/>
      <c r="H312" s="340"/>
      <c r="I312" s="339"/>
      <c r="J312" s="340"/>
      <c r="K312" s="339"/>
      <c r="M312" s="173"/>
      <c r="N312" s="166"/>
      <c r="O312" s="166"/>
    </row>
    <row r="313" spans="1:15">
      <c r="A313" s="335"/>
      <c r="B313" s="337"/>
      <c r="C313" s="337" t="s">
        <v>560</v>
      </c>
      <c r="D313" s="338">
        <v>0</v>
      </c>
      <c r="E313" s="368" t="s">
        <v>561</v>
      </c>
      <c r="F313" s="368"/>
      <c r="G313" s="368"/>
      <c r="H313" s="368"/>
      <c r="I313" s="368"/>
      <c r="J313" s="368"/>
      <c r="K313" s="368"/>
      <c r="M313" s="173"/>
      <c r="N313" s="166"/>
      <c r="O313" s="166"/>
    </row>
    <row r="314" spans="1:15" ht="40.5" customHeight="1">
      <c r="A314" s="335"/>
      <c r="B314" s="337"/>
      <c r="C314" s="337" t="s">
        <v>562</v>
      </c>
      <c r="D314" s="338">
        <v>0</v>
      </c>
      <c r="E314" s="368" t="s">
        <v>563</v>
      </c>
      <c r="F314" s="368"/>
      <c r="G314" s="368"/>
      <c r="H314" s="368"/>
      <c r="I314" s="368"/>
      <c r="J314" s="368"/>
      <c r="K314" s="368"/>
      <c r="M314" s="173"/>
      <c r="N314" s="166"/>
      <c r="O314" s="166"/>
    </row>
    <row r="315" spans="1:15" ht="32.25" customHeight="1">
      <c r="A315" s="335" t="s">
        <v>564</v>
      </c>
      <c r="B315" s="368" t="s">
        <v>565</v>
      </c>
      <c r="C315" s="368"/>
      <c r="D315" s="368"/>
      <c r="E315" s="368"/>
      <c r="F315" s="368"/>
      <c r="G315" s="368"/>
      <c r="H315" s="368"/>
      <c r="I315" s="368"/>
      <c r="J315" s="368"/>
      <c r="K315" s="368"/>
      <c r="M315" s="173"/>
      <c r="N315" s="166"/>
      <c r="O315" s="166"/>
    </row>
    <row r="316" spans="1:15" ht="18" customHeight="1">
      <c r="A316" s="335" t="s">
        <v>566</v>
      </c>
      <c r="B316" s="368" t="s">
        <v>567</v>
      </c>
      <c r="C316" s="368"/>
      <c r="D316" s="368"/>
      <c r="E316" s="368"/>
      <c r="F316" s="368"/>
      <c r="G316" s="368"/>
      <c r="H316" s="368"/>
      <c r="I316" s="368"/>
      <c r="J316" s="368"/>
      <c r="K316" s="368"/>
      <c r="L316" s="341" t="s">
        <v>568</v>
      </c>
      <c r="M316" s="173"/>
      <c r="N316" s="166"/>
      <c r="O316" s="166"/>
    </row>
    <row r="317" spans="1:15" ht="51" customHeight="1">
      <c r="A317" s="335" t="s">
        <v>569</v>
      </c>
      <c r="B317" s="368" t="s">
        <v>570</v>
      </c>
      <c r="C317" s="368"/>
      <c r="D317" s="368"/>
      <c r="E317" s="368"/>
      <c r="F317" s="368"/>
      <c r="G317" s="368"/>
      <c r="H317" s="368"/>
      <c r="I317" s="368"/>
      <c r="J317" s="368"/>
      <c r="K317" s="368"/>
      <c r="M317" s="173"/>
      <c r="N317" s="166"/>
      <c r="O317" s="166"/>
    </row>
    <row r="318" spans="1:15" ht="65.25" customHeight="1">
      <c r="A318" s="335" t="s">
        <v>571</v>
      </c>
      <c r="B318" s="368" t="s">
        <v>572</v>
      </c>
      <c r="C318" s="368"/>
      <c r="D318" s="368"/>
      <c r="E318" s="368"/>
      <c r="F318" s="368"/>
      <c r="G318" s="368"/>
      <c r="H318" s="368"/>
      <c r="I318" s="368"/>
      <c r="J318" s="368"/>
      <c r="K318" s="368"/>
      <c r="M318" s="173"/>
      <c r="N318" s="208"/>
      <c r="O318" s="166"/>
    </row>
    <row r="319" spans="1:15" ht="18" customHeight="1">
      <c r="A319" s="335" t="s">
        <v>573</v>
      </c>
      <c r="B319" s="367" t="s">
        <v>574</v>
      </c>
      <c r="C319" s="367"/>
      <c r="D319" s="367"/>
      <c r="E319" s="367"/>
      <c r="F319" s="367"/>
      <c r="G319" s="367"/>
      <c r="H319" s="367"/>
      <c r="I319" s="367"/>
      <c r="J319" s="367"/>
      <c r="K319" s="367"/>
      <c r="M319" s="173"/>
      <c r="N319" s="208"/>
      <c r="O319" s="166"/>
    </row>
    <row r="320" spans="1:15" ht="18" customHeight="1">
      <c r="A320" s="335" t="s">
        <v>575</v>
      </c>
      <c r="B320" s="368" t="s">
        <v>576</v>
      </c>
      <c r="C320" s="368"/>
      <c r="D320" s="368"/>
      <c r="E320" s="368"/>
      <c r="F320" s="368"/>
      <c r="G320" s="368"/>
      <c r="H320" s="368"/>
      <c r="I320" s="368"/>
      <c r="J320" s="368"/>
      <c r="K320" s="368"/>
      <c r="M320" s="173"/>
      <c r="N320" s="166"/>
      <c r="O320" s="166"/>
    </row>
    <row r="321" spans="1:19" ht="32.25" customHeight="1">
      <c r="A321" s="335" t="s">
        <v>577</v>
      </c>
      <c r="B321" s="368" t="s">
        <v>578</v>
      </c>
      <c r="C321" s="368"/>
      <c r="D321" s="368"/>
      <c r="E321" s="368"/>
      <c r="F321" s="368"/>
      <c r="G321" s="368"/>
      <c r="H321" s="368"/>
      <c r="I321" s="368"/>
      <c r="J321" s="368"/>
      <c r="K321" s="368"/>
      <c r="M321" s="173"/>
      <c r="N321" s="166"/>
      <c r="O321" s="166"/>
    </row>
    <row r="322" spans="1:19" s="142" customFormat="1" ht="34.5" customHeight="1">
      <c r="A322" s="335" t="s">
        <v>579</v>
      </c>
      <c r="B322" s="368" t="s">
        <v>633</v>
      </c>
      <c r="C322" s="368"/>
      <c r="D322" s="368"/>
      <c r="E322" s="368"/>
      <c r="F322" s="368"/>
      <c r="G322" s="368"/>
      <c r="H322" s="368"/>
      <c r="I322" s="368"/>
      <c r="J322" s="368"/>
      <c r="K322" s="368"/>
      <c r="L322" s="161"/>
      <c r="M322" s="173"/>
      <c r="N322" s="166"/>
      <c r="O322" s="166"/>
      <c r="P322" s="161"/>
      <c r="Q322" s="161"/>
      <c r="R322" s="161"/>
      <c r="S322" s="161"/>
    </row>
    <row r="323" spans="1:19" s="144" customFormat="1" ht="33" customHeight="1">
      <c r="A323" s="342" t="s">
        <v>580</v>
      </c>
      <c r="B323" s="373" t="s">
        <v>581</v>
      </c>
      <c r="C323" s="373"/>
      <c r="D323" s="373"/>
      <c r="E323" s="373"/>
      <c r="F323" s="373"/>
      <c r="G323" s="373"/>
      <c r="H323" s="373"/>
      <c r="I323" s="373"/>
      <c r="J323" s="373"/>
      <c r="K323" s="373"/>
      <c r="L323" s="161"/>
      <c r="M323" s="173"/>
      <c r="N323" s="166"/>
      <c r="O323" s="166"/>
      <c r="P323" s="161"/>
      <c r="Q323" s="161"/>
      <c r="R323" s="161"/>
      <c r="S323" s="161"/>
    </row>
    <row r="324" spans="1:19" s="144" customFormat="1" ht="33.75" customHeight="1">
      <c r="A324" s="342" t="s">
        <v>582</v>
      </c>
      <c r="B324" s="373" t="s">
        <v>583</v>
      </c>
      <c r="C324" s="373"/>
      <c r="D324" s="373"/>
      <c r="E324" s="373"/>
      <c r="F324" s="373"/>
      <c r="G324" s="373"/>
      <c r="H324" s="373"/>
      <c r="I324" s="373"/>
      <c r="J324" s="373"/>
      <c r="K324" s="373"/>
      <c r="L324" s="161"/>
      <c r="M324" s="173"/>
      <c r="N324" s="166"/>
      <c r="O324" s="166"/>
      <c r="P324" s="161"/>
      <c r="Q324" s="161"/>
      <c r="R324" s="161"/>
      <c r="S324" s="161"/>
    </row>
    <row r="325" spans="1:19" s="144" customFormat="1" ht="19.5" customHeight="1">
      <c r="A325" s="343" t="s">
        <v>584</v>
      </c>
      <c r="B325" s="373" t="s">
        <v>585</v>
      </c>
      <c r="C325" s="373"/>
      <c r="D325" s="373"/>
      <c r="E325" s="373"/>
      <c r="F325" s="373"/>
      <c r="G325" s="373"/>
      <c r="H325" s="373"/>
      <c r="I325" s="373"/>
      <c r="J325" s="373"/>
      <c r="K325" s="373"/>
      <c r="L325" s="161"/>
      <c r="M325" s="246"/>
      <c r="N325" s="166"/>
      <c r="O325" s="166"/>
      <c r="P325" s="161"/>
      <c r="Q325" s="161"/>
      <c r="R325" s="161"/>
      <c r="S325" s="161"/>
    </row>
    <row r="326" spans="1:19" s="144" customFormat="1" ht="18.75" customHeight="1">
      <c r="A326" s="343" t="s">
        <v>586</v>
      </c>
      <c r="B326" s="373" t="s">
        <v>634</v>
      </c>
      <c r="C326" s="373"/>
      <c r="D326" s="373"/>
      <c r="E326" s="373"/>
      <c r="F326" s="373"/>
      <c r="G326" s="373"/>
      <c r="H326" s="373"/>
      <c r="I326" s="373"/>
      <c r="J326" s="373"/>
      <c r="K326" s="373"/>
      <c r="L326" s="161"/>
      <c r="M326" s="246"/>
      <c r="N326" s="166"/>
      <c r="O326" s="166"/>
      <c r="P326" s="161"/>
      <c r="Q326" s="161"/>
      <c r="R326" s="161"/>
      <c r="S326" s="161"/>
    </row>
    <row r="327" spans="1:19" s="144" customFormat="1" ht="36" customHeight="1">
      <c r="A327" s="342" t="s">
        <v>587</v>
      </c>
      <c r="B327" s="373" t="s">
        <v>635</v>
      </c>
      <c r="C327" s="373"/>
      <c r="D327" s="373"/>
      <c r="E327" s="373"/>
      <c r="F327" s="373"/>
      <c r="G327" s="373"/>
      <c r="H327" s="373"/>
      <c r="I327" s="373"/>
      <c r="J327" s="373"/>
      <c r="K327" s="373"/>
      <c r="L327" s="253"/>
      <c r="M327" s="251"/>
      <c r="N327" s="344"/>
      <c r="O327" s="344"/>
      <c r="P327" s="253"/>
      <c r="Q327" s="253"/>
      <c r="R327" s="253"/>
      <c r="S327" s="253"/>
    </row>
    <row r="328" spans="1:19">
      <c r="A328" s="343" t="s">
        <v>588</v>
      </c>
      <c r="B328" s="373" t="s">
        <v>636</v>
      </c>
      <c r="C328" s="373"/>
      <c r="D328" s="373"/>
      <c r="E328" s="373"/>
      <c r="F328" s="373"/>
      <c r="G328" s="373"/>
      <c r="H328" s="373"/>
      <c r="I328" s="373"/>
      <c r="J328" s="373"/>
      <c r="K328" s="373"/>
      <c r="L328" s="273"/>
      <c r="M328" s="272"/>
      <c r="N328" s="328"/>
      <c r="O328" s="328"/>
      <c r="P328" s="273"/>
      <c r="Q328" s="273"/>
      <c r="R328" s="273"/>
      <c r="S328" s="273"/>
    </row>
    <row r="329" spans="1:19" ht="18.75" customHeight="1">
      <c r="A329" s="342" t="s">
        <v>589</v>
      </c>
      <c r="B329" s="373" t="s">
        <v>637</v>
      </c>
      <c r="C329" s="373"/>
      <c r="D329" s="373"/>
      <c r="E329" s="373"/>
      <c r="F329" s="373"/>
      <c r="G329" s="373"/>
      <c r="H329" s="373"/>
      <c r="I329" s="373"/>
      <c r="J329" s="373"/>
      <c r="K329" s="373"/>
      <c r="L329" s="273"/>
      <c r="M329" s="272"/>
      <c r="N329" s="328"/>
      <c r="O329" s="328"/>
      <c r="P329" s="273"/>
      <c r="Q329" s="273"/>
      <c r="R329" s="273"/>
      <c r="S329" s="273"/>
    </row>
    <row r="330" spans="1:19" ht="18" customHeight="1">
      <c r="A330" s="342" t="s">
        <v>590</v>
      </c>
      <c r="B330" s="345" t="s">
        <v>591</v>
      </c>
      <c r="C330" s="337"/>
      <c r="D330" s="337"/>
      <c r="E330" s="337"/>
      <c r="F330" s="337"/>
      <c r="G330" s="337"/>
      <c r="H330" s="337"/>
      <c r="I330" s="337"/>
      <c r="J330" s="337"/>
      <c r="K330" s="337"/>
      <c r="L330" s="273"/>
      <c r="M330" s="272"/>
      <c r="N330" s="328"/>
      <c r="O330" s="328"/>
      <c r="P330" s="273"/>
      <c r="Q330" s="273"/>
      <c r="R330" s="273"/>
      <c r="S330" s="273"/>
    </row>
    <row r="331" spans="1:19">
      <c r="A331" s="342" t="s">
        <v>592</v>
      </c>
      <c r="B331" s="346" t="s">
        <v>593</v>
      </c>
      <c r="C331" s="337"/>
      <c r="D331" s="337"/>
      <c r="E331" s="337"/>
      <c r="F331" s="337"/>
      <c r="G331" s="337"/>
      <c r="H331" s="337"/>
      <c r="I331" s="337"/>
      <c r="J331" s="337"/>
      <c r="K331" s="337"/>
      <c r="L331" s="273"/>
      <c r="M331" s="272"/>
      <c r="N331" s="328"/>
      <c r="O331" s="328"/>
      <c r="P331" s="273"/>
      <c r="Q331" s="273"/>
      <c r="R331" s="273"/>
      <c r="S331" s="273"/>
    </row>
    <row r="332" spans="1:19">
      <c r="A332" s="342" t="s">
        <v>594</v>
      </c>
      <c r="B332" s="372" t="s">
        <v>595</v>
      </c>
      <c r="C332" s="372"/>
      <c r="D332" s="372"/>
      <c r="E332" s="372"/>
      <c r="F332" s="372"/>
      <c r="G332" s="372"/>
      <c r="H332" s="372"/>
      <c r="I332" s="372"/>
      <c r="J332" s="372"/>
      <c r="K332" s="372"/>
      <c r="L332" s="273"/>
      <c r="M332" s="272"/>
      <c r="N332" s="328"/>
      <c r="O332" s="328"/>
      <c r="P332" s="273"/>
      <c r="Q332" s="273"/>
      <c r="R332" s="273"/>
      <c r="S332" s="273"/>
    </row>
    <row r="333" spans="1:19">
      <c r="A333" s="173" t="s">
        <v>596</v>
      </c>
      <c r="B333" s="347" t="s">
        <v>597</v>
      </c>
      <c r="C333" s="348"/>
      <c r="D333" s="348"/>
      <c r="E333" s="348"/>
      <c r="F333" s="348"/>
      <c r="G333" s="348"/>
      <c r="H333" s="348"/>
      <c r="I333" s="348"/>
      <c r="J333" s="348"/>
      <c r="K333" s="348"/>
      <c r="M333" s="173"/>
      <c r="N333" s="166"/>
      <c r="O333" s="166"/>
    </row>
    <row r="334" spans="1:19">
      <c r="A334" s="173"/>
      <c r="B334" s="349" t="s">
        <v>598</v>
      </c>
      <c r="C334" s="165"/>
      <c r="D334" s="165"/>
      <c r="E334" s="165"/>
      <c r="F334" s="165"/>
      <c r="G334" s="165"/>
      <c r="H334" s="165"/>
      <c r="I334" s="165"/>
      <c r="J334" s="165"/>
      <c r="K334" s="165"/>
      <c r="M334" s="173"/>
      <c r="N334" s="166"/>
      <c r="O334" s="166"/>
    </row>
    <row r="335" spans="1:19">
      <c r="A335" s="173"/>
      <c r="B335" s="349" t="s">
        <v>599</v>
      </c>
      <c r="C335" s="165"/>
      <c r="D335" s="165"/>
      <c r="E335" s="165"/>
      <c r="F335" s="165"/>
      <c r="G335" s="165"/>
      <c r="H335" s="165"/>
      <c r="I335" s="165"/>
      <c r="J335" s="165"/>
      <c r="K335" s="165"/>
      <c r="M335" s="173"/>
      <c r="N335" s="166"/>
      <c r="O335" s="166"/>
    </row>
    <row r="336" spans="1:19">
      <c r="A336" s="173" t="s">
        <v>600</v>
      </c>
      <c r="B336" s="349" t="s">
        <v>601</v>
      </c>
      <c r="C336" s="165"/>
      <c r="D336" s="165"/>
      <c r="E336" s="165"/>
      <c r="F336" s="165"/>
      <c r="G336" s="165"/>
      <c r="H336" s="165"/>
      <c r="I336" s="165"/>
      <c r="J336" s="165"/>
      <c r="K336" s="165"/>
      <c r="M336" s="173"/>
      <c r="N336" s="166"/>
      <c r="O336" s="166"/>
    </row>
    <row r="337" spans="1:15">
      <c r="A337" s="173"/>
      <c r="B337" s="349" t="s">
        <v>602</v>
      </c>
      <c r="C337" s="165"/>
      <c r="D337" s="165"/>
      <c r="E337" s="165"/>
      <c r="F337" s="165"/>
      <c r="G337" s="165"/>
      <c r="H337" s="165"/>
      <c r="I337" s="165"/>
      <c r="J337" s="165"/>
      <c r="K337" s="165"/>
      <c r="M337" s="173"/>
      <c r="N337" s="166"/>
      <c r="O337" s="166"/>
    </row>
    <row r="338" spans="1:15">
      <c r="A338" s="173"/>
      <c r="B338" s="349" t="s">
        <v>603</v>
      </c>
      <c r="C338" s="165"/>
      <c r="D338" s="165"/>
      <c r="E338" s="165"/>
      <c r="F338" s="165"/>
      <c r="G338" s="165"/>
      <c r="H338" s="165"/>
      <c r="I338" s="165"/>
      <c r="J338" s="165"/>
      <c r="K338" s="165"/>
      <c r="M338" s="173"/>
      <c r="N338" s="166"/>
      <c r="O338" s="166"/>
    </row>
    <row r="339" spans="1:15">
      <c r="A339" s="173" t="s">
        <v>604</v>
      </c>
      <c r="B339" s="350" t="s">
        <v>605</v>
      </c>
      <c r="C339" s="165"/>
      <c r="D339" s="165"/>
      <c r="E339" s="165"/>
      <c r="F339" s="165"/>
      <c r="G339" s="165"/>
      <c r="H339" s="165"/>
      <c r="I339" s="165"/>
      <c r="J339" s="165"/>
      <c r="K339" s="165"/>
      <c r="M339" s="173"/>
      <c r="N339" s="166"/>
      <c r="O339" s="166"/>
    </row>
    <row r="340" spans="1:15">
      <c r="A340" s="173"/>
      <c r="B340" s="350" t="s">
        <v>606</v>
      </c>
      <c r="C340" s="165"/>
      <c r="D340" s="165"/>
      <c r="E340" s="165"/>
      <c r="F340" s="165"/>
      <c r="G340" s="165"/>
      <c r="H340" s="165"/>
      <c r="I340" s="165"/>
      <c r="J340" s="165"/>
      <c r="K340" s="165"/>
      <c r="M340" s="173"/>
      <c r="N340" s="166"/>
      <c r="O340" s="166"/>
    </row>
    <row r="341" spans="1:15">
      <c r="A341" s="173" t="s">
        <v>607</v>
      </c>
      <c r="B341" s="350" t="s">
        <v>608</v>
      </c>
      <c r="C341" s="165"/>
      <c r="D341" s="165"/>
      <c r="E341" s="165"/>
      <c r="F341" s="165"/>
      <c r="G341" s="165"/>
      <c r="H341" s="165"/>
      <c r="I341" s="165"/>
      <c r="J341" s="165"/>
      <c r="K341" s="165"/>
      <c r="M341" s="173"/>
      <c r="N341" s="166"/>
      <c r="O341" s="166"/>
    </row>
    <row r="342" spans="1:15">
      <c r="A342" s="173"/>
      <c r="B342" s="163"/>
      <c r="C342" s="165"/>
      <c r="D342" s="165"/>
      <c r="E342" s="165"/>
      <c r="F342" s="165"/>
      <c r="G342" s="165"/>
      <c r="H342" s="165"/>
      <c r="I342" s="165"/>
      <c r="J342" s="165"/>
      <c r="K342" s="165"/>
      <c r="M342" s="173"/>
      <c r="N342" s="166"/>
      <c r="O342" s="166"/>
    </row>
    <row r="343" spans="1:15">
      <c r="A343" s="173"/>
      <c r="B343" s="163"/>
      <c r="C343" s="165"/>
      <c r="D343" s="165"/>
      <c r="E343" s="165"/>
      <c r="F343" s="165"/>
      <c r="G343" s="165"/>
      <c r="H343" s="165"/>
      <c r="I343" s="165"/>
      <c r="J343" s="165"/>
      <c r="K343" s="165"/>
      <c r="M343" s="173"/>
      <c r="N343" s="166"/>
      <c r="O343" s="166"/>
    </row>
    <row r="344" spans="1:15">
      <c r="A344" s="173"/>
      <c r="B344" s="163"/>
      <c r="C344" s="165"/>
      <c r="D344" s="165"/>
      <c r="E344" s="165"/>
      <c r="F344" s="165"/>
      <c r="G344" s="165"/>
      <c r="H344" s="165"/>
      <c r="I344" s="165"/>
      <c r="J344" s="165"/>
      <c r="K344" s="165"/>
      <c r="M344" s="173"/>
      <c r="N344" s="166"/>
      <c r="O344" s="166"/>
    </row>
    <row r="345" spans="1:15">
      <c r="A345" s="173"/>
      <c r="B345" s="163"/>
      <c r="C345" s="165"/>
      <c r="D345" s="165"/>
      <c r="E345" s="165"/>
      <c r="F345" s="165"/>
      <c r="G345" s="165"/>
      <c r="H345" s="165"/>
      <c r="I345" s="165"/>
      <c r="J345" s="165"/>
      <c r="K345" s="165"/>
      <c r="M345" s="173"/>
      <c r="N345" s="166"/>
      <c r="O345" s="166"/>
    </row>
    <row r="346" spans="1:15">
      <c r="A346" s="173"/>
      <c r="B346" s="165"/>
      <c r="C346" s="165"/>
      <c r="D346" s="165"/>
      <c r="E346" s="165"/>
      <c r="F346" s="165"/>
      <c r="G346" s="165"/>
      <c r="H346" s="165"/>
      <c r="I346" s="165"/>
      <c r="J346" s="165"/>
      <c r="K346" s="165"/>
      <c r="M346" s="173"/>
      <c r="N346" s="166"/>
      <c r="O346" s="166"/>
    </row>
    <row r="347" spans="1:15">
      <c r="A347" s="173"/>
      <c r="B347" s="165"/>
      <c r="C347" s="165"/>
      <c r="D347" s="165"/>
      <c r="E347" s="165"/>
      <c r="F347" s="165"/>
      <c r="G347" s="165"/>
      <c r="H347" s="165"/>
      <c r="I347" s="165"/>
      <c r="J347" s="165"/>
      <c r="K347" s="165"/>
      <c r="M347" s="173"/>
      <c r="N347" s="166"/>
      <c r="O347" s="166"/>
    </row>
    <row r="348" spans="1:15">
      <c r="B348" s="166"/>
      <c r="C348" s="166"/>
      <c r="D348" s="166"/>
      <c r="E348" s="166"/>
      <c r="F348" s="166"/>
      <c r="G348" s="166"/>
      <c r="H348" s="166"/>
      <c r="I348" s="166"/>
      <c r="J348" s="165"/>
      <c r="K348" s="165"/>
      <c r="M348" s="173"/>
      <c r="N348" s="166"/>
      <c r="O348" s="166"/>
    </row>
    <row r="349" spans="1:15">
      <c r="B349" s="166"/>
      <c r="C349" s="166"/>
      <c r="D349" s="166"/>
      <c r="E349" s="166"/>
      <c r="F349" s="166"/>
      <c r="G349" s="166"/>
      <c r="H349" s="166"/>
      <c r="I349" s="166"/>
      <c r="J349" s="166"/>
      <c r="K349" s="166"/>
      <c r="M349" s="173"/>
      <c r="N349" s="166"/>
      <c r="O349" s="166"/>
    </row>
    <row r="350" spans="1:15">
      <c r="B350" s="166"/>
      <c r="C350" s="166"/>
      <c r="D350" s="166"/>
      <c r="E350" s="166"/>
      <c r="F350" s="166"/>
      <c r="G350" s="166"/>
      <c r="H350" s="166"/>
      <c r="I350" s="166"/>
      <c r="J350" s="166"/>
      <c r="K350" s="166"/>
      <c r="M350" s="173"/>
      <c r="N350" s="166"/>
      <c r="O350" s="166"/>
    </row>
    <row r="351" spans="1:15">
      <c r="B351" s="166"/>
      <c r="C351" s="166"/>
      <c r="D351" s="166"/>
      <c r="E351" s="166"/>
      <c r="F351" s="166"/>
      <c r="G351" s="166"/>
      <c r="H351" s="166"/>
      <c r="I351" s="166"/>
      <c r="J351" s="166"/>
      <c r="K351" s="166"/>
      <c r="M351" s="166"/>
      <c r="N351" s="166"/>
      <c r="O351" s="166"/>
    </row>
    <row r="352" spans="1:15">
      <c r="B352" s="166"/>
      <c r="C352" s="166"/>
      <c r="D352" s="166"/>
      <c r="E352" s="166"/>
      <c r="F352" s="166"/>
      <c r="G352" s="166"/>
      <c r="H352" s="166"/>
      <c r="I352" s="166"/>
      <c r="J352" s="166"/>
      <c r="K352" s="166"/>
      <c r="M352" s="166"/>
      <c r="N352" s="166"/>
      <c r="O352" s="166"/>
    </row>
    <row r="353" spans="2:15">
      <c r="B353" s="166"/>
      <c r="C353" s="166"/>
      <c r="D353" s="166"/>
      <c r="E353" s="166"/>
      <c r="F353" s="166"/>
      <c r="G353" s="166"/>
      <c r="H353" s="166"/>
      <c r="I353" s="166"/>
      <c r="J353" s="166"/>
      <c r="K353" s="166"/>
      <c r="M353" s="166"/>
      <c r="N353" s="166"/>
      <c r="O353" s="166"/>
    </row>
    <row r="354" spans="2:15">
      <c r="B354" s="166"/>
      <c r="C354" s="166"/>
      <c r="D354" s="166"/>
      <c r="E354" s="166"/>
      <c r="F354" s="166"/>
      <c r="G354" s="166"/>
      <c r="H354" s="166"/>
      <c r="I354" s="166"/>
      <c r="J354" s="166"/>
      <c r="K354" s="166"/>
      <c r="M354" s="166"/>
      <c r="N354" s="166"/>
      <c r="O354" s="166"/>
    </row>
    <row r="355" spans="2:15">
      <c r="B355" s="166"/>
      <c r="C355" s="166"/>
      <c r="D355" s="166"/>
      <c r="E355" s="166"/>
      <c r="F355" s="166"/>
      <c r="G355" s="166"/>
      <c r="H355" s="166"/>
      <c r="I355" s="166"/>
      <c r="J355" s="166"/>
      <c r="K355" s="166"/>
      <c r="M355" s="166"/>
      <c r="N355" s="166"/>
      <c r="O355" s="166"/>
    </row>
    <row r="356" spans="2:15">
      <c r="B356" s="166"/>
      <c r="C356" s="166"/>
      <c r="D356" s="166"/>
      <c r="E356" s="166"/>
      <c r="F356" s="166"/>
      <c r="G356" s="166"/>
      <c r="H356" s="166"/>
      <c r="I356" s="166"/>
      <c r="J356" s="166"/>
      <c r="K356" s="166"/>
      <c r="M356" s="166"/>
      <c r="N356" s="166"/>
      <c r="O356" s="166"/>
    </row>
    <row r="357" spans="2:15">
      <c r="J357" s="166"/>
      <c r="K357" s="166"/>
      <c r="M357" s="166"/>
      <c r="N357" s="166"/>
      <c r="O357" s="166"/>
    </row>
    <row r="358" spans="2:15">
      <c r="M358" s="166"/>
      <c r="N358" s="166"/>
      <c r="O358" s="166"/>
    </row>
    <row r="359" spans="2:15">
      <c r="M359" s="166"/>
      <c r="N359" s="166"/>
      <c r="O359" s="166"/>
    </row>
  </sheetData>
  <mergeCells count="32">
    <mergeCell ref="B332:K332"/>
    <mergeCell ref="E314:K314"/>
    <mergeCell ref="B325:K325"/>
    <mergeCell ref="B326:K326"/>
    <mergeCell ref="B328:K328"/>
    <mergeCell ref="B329:K329"/>
    <mergeCell ref="B317:K317"/>
    <mergeCell ref="B316:K316"/>
    <mergeCell ref="B324:K324"/>
    <mergeCell ref="B327:K327"/>
    <mergeCell ref="B318:K318"/>
    <mergeCell ref="B319:K319"/>
    <mergeCell ref="B320:K320"/>
    <mergeCell ref="B321:K321"/>
    <mergeCell ref="B322:K322"/>
    <mergeCell ref="B323:K323"/>
    <mergeCell ref="B304:K304"/>
    <mergeCell ref="B301:K301"/>
    <mergeCell ref="B302:K302"/>
    <mergeCell ref="B303:K303"/>
    <mergeCell ref="M36:N36"/>
    <mergeCell ref="L232:Q232"/>
    <mergeCell ref="C293:D293"/>
    <mergeCell ref="B305:K305"/>
    <mergeCell ref="B306:K306"/>
    <mergeCell ref="B310:K310"/>
    <mergeCell ref="B311:K311"/>
    <mergeCell ref="B315:K315"/>
    <mergeCell ref="B307:K307"/>
    <mergeCell ref="B308:K308"/>
    <mergeCell ref="B309:K309"/>
    <mergeCell ref="E313:K313"/>
  </mergeCells>
  <pageMargins left="0.5" right="0.5" top="0.5" bottom="0.5" header="0.09" footer="0.5"/>
  <pageSetup scale="55" fitToHeight="5" orientation="portrait" r:id="rId1"/>
  <headerFooter alignWithMargins="0"/>
  <rowBreaks count="4" manualBreakCount="4">
    <brk id="79" max="16383" man="1"/>
    <brk id="139" max="16383" man="1"/>
    <brk id="210" max="16383" man="1"/>
    <brk id="2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28"/>
  <sheetViews>
    <sheetView showGridLines="0" topLeftCell="A5" zoomScaleNormal="100" workbookViewId="0">
      <selection activeCell="C28" sqref="C28"/>
    </sheetView>
  </sheetViews>
  <sheetFormatPr defaultColWidth="9.109375" defaultRowHeight="14.4"/>
  <cols>
    <col min="1" max="2" width="9.109375" style="5"/>
    <col min="3" max="3" width="27.88671875" style="5" customWidth="1"/>
    <col min="4" max="4" width="8" style="5" customWidth="1"/>
    <col min="5" max="5" width="18.109375" style="5" customWidth="1"/>
    <col min="6" max="6" width="16" style="5" customWidth="1"/>
    <col min="7" max="7" width="18.6640625" style="5" customWidth="1"/>
    <col min="8" max="8" width="9.109375" style="5"/>
    <col min="9" max="9" width="45.109375" style="5" customWidth="1"/>
    <col min="10" max="16384" width="9.109375" style="5"/>
  </cols>
  <sheetData>
    <row r="3" spans="2:9" ht="15.6">
      <c r="B3" s="4" t="s">
        <v>4</v>
      </c>
      <c r="C3" s="4"/>
      <c r="D3" s="4"/>
      <c r="E3" s="4"/>
      <c r="F3" s="4"/>
      <c r="G3" s="4"/>
    </row>
    <row r="4" spans="2:9" ht="15.6">
      <c r="B4" s="6">
        <f>Coversheet!E5</f>
        <v>2016</v>
      </c>
      <c r="C4" s="4" t="s">
        <v>5</v>
      </c>
      <c r="D4" s="4"/>
      <c r="E4" s="4"/>
      <c r="F4" s="4"/>
      <c r="G4" s="4"/>
    </row>
    <row r="5" spans="2:9" ht="15.6">
      <c r="B5" s="4" t="s">
        <v>7</v>
      </c>
      <c r="C5" s="4"/>
      <c r="D5" s="4"/>
      <c r="E5" s="7">
        <f>Coversheet!E5</f>
        <v>2016</v>
      </c>
      <c r="G5" s="4"/>
    </row>
    <row r="6" spans="2:9" ht="15.6">
      <c r="B6" s="4"/>
      <c r="C6" s="4"/>
      <c r="D6" s="4"/>
      <c r="E6" s="7"/>
      <c r="G6" s="4"/>
    </row>
    <row r="7" spans="2:9" s="9" customFormat="1" ht="28.8">
      <c r="B7" s="8" t="s">
        <v>0</v>
      </c>
      <c r="C7" s="8" t="s">
        <v>1</v>
      </c>
      <c r="D7" s="8" t="s">
        <v>2</v>
      </c>
      <c r="E7" s="8" t="s">
        <v>3</v>
      </c>
      <c r="F7" s="8" t="s">
        <v>8</v>
      </c>
      <c r="G7" s="8" t="s">
        <v>9</v>
      </c>
    </row>
    <row r="8" spans="2:9" ht="34.5" customHeight="1">
      <c r="B8" s="13">
        <v>1</v>
      </c>
      <c r="C8" s="14" t="s">
        <v>10</v>
      </c>
      <c r="D8" s="13">
        <f>$E$5</f>
        <v>2016</v>
      </c>
      <c r="E8" s="23">
        <v>124958</v>
      </c>
      <c r="F8" s="23">
        <v>706980</v>
      </c>
      <c r="G8" s="24">
        <f>F8</f>
        <v>706980</v>
      </c>
      <c r="I8" s="32"/>
    </row>
    <row r="9" spans="2:9" ht="15.6">
      <c r="B9" s="13">
        <v>2</v>
      </c>
      <c r="C9" s="15" t="s">
        <v>11</v>
      </c>
      <c r="D9" s="13">
        <f t="shared" ref="D9:D19" si="0">$E$5</f>
        <v>2016</v>
      </c>
      <c r="E9" s="23">
        <v>115006</v>
      </c>
      <c r="F9" s="23">
        <v>652193</v>
      </c>
      <c r="G9" s="24">
        <f t="shared" ref="G9:G19" si="1">F9</f>
        <v>652193</v>
      </c>
    </row>
    <row r="10" spans="2:9" ht="15.6">
      <c r="B10" s="13">
        <v>3</v>
      </c>
      <c r="C10" s="15" t="s">
        <v>12</v>
      </c>
      <c r="D10" s="13">
        <f t="shared" si="0"/>
        <v>2016</v>
      </c>
      <c r="E10" s="23">
        <v>112635</v>
      </c>
      <c r="F10" s="23">
        <v>640480</v>
      </c>
      <c r="G10" s="24">
        <f t="shared" si="1"/>
        <v>640480</v>
      </c>
    </row>
    <row r="11" spans="2:9" ht="15.6">
      <c r="B11" s="13">
        <v>4</v>
      </c>
      <c r="C11" s="15" t="s">
        <v>13</v>
      </c>
      <c r="D11" s="13">
        <f t="shared" si="0"/>
        <v>2016</v>
      </c>
      <c r="E11" s="23">
        <v>99644</v>
      </c>
      <c r="F11" s="23">
        <v>565051</v>
      </c>
      <c r="G11" s="24">
        <f t="shared" si="1"/>
        <v>565051</v>
      </c>
    </row>
    <row r="12" spans="2:9" ht="15.6">
      <c r="B12" s="13">
        <v>5</v>
      </c>
      <c r="C12" s="15" t="s">
        <v>14</v>
      </c>
      <c r="D12" s="13">
        <f t="shared" si="0"/>
        <v>2016</v>
      </c>
      <c r="E12" s="23">
        <v>100716</v>
      </c>
      <c r="F12" s="23">
        <v>576966</v>
      </c>
      <c r="G12" s="24">
        <f t="shared" si="1"/>
        <v>576966</v>
      </c>
    </row>
    <row r="13" spans="2:9" ht="15.6">
      <c r="B13" s="13">
        <v>6</v>
      </c>
      <c r="C13" s="15" t="s">
        <v>15</v>
      </c>
      <c r="D13" s="13">
        <f t="shared" si="0"/>
        <v>2016</v>
      </c>
      <c r="E13" s="23">
        <v>116717</v>
      </c>
      <c r="F13" s="23">
        <v>678846</v>
      </c>
      <c r="G13" s="24">
        <f t="shared" si="1"/>
        <v>678846</v>
      </c>
    </row>
    <row r="14" spans="2:9" ht="15.6">
      <c r="B14" s="13">
        <v>7</v>
      </c>
      <c r="C14" s="15" t="s">
        <v>16</v>
      </c>
      <c r="D14" s="13">
        <f t="shared" si="0"/>
        <v>2016</v>
      </c>
      <c r="E14" s="23">
        <v>127445</v>
      </c>
      <c r="F14" s="23">
        <v>787621</v>
      </c>
      <c r="G14" s="24">
        <f t="shared" si="1"/>
        <v>787621</v>
      </c>
    </row>
    <row r="15" spans="2:9" ht="15.6">
      <c r="B15" s="13">
        <v>8</v>
      </c>
      <c r="C15" s="15" t="s">
        <v>17</v>
      </c>
      <c r="D15" s="13">
        <f t="shared" si="0"/>
        <v>2016</v>
      </c>
      <c r="E15" s="23">
        <v>125354</v>
      </c>
      <c r="F15" s="23">
        <v>790973</v>
      </c>
      <c r="G15" s="24">
        <f t="shared" si="1"/>
        <v>790973</v>
      </c>
    </row>
    <row r="16" spans="2:9" ht="15.6">
      <c r="B16" s="13">
        <v>9</v>
      </c>
      <c r="C16" s="15" t="s">
        <v>18</v>
      </c>
      <c r="D16" s="13">
        <f t="shared" si="0"/>
        <v>2016</v>
      </c>
      <c r="E16" s="23">
        <v>109675</v>
      </c>
      <c r="F16" s="23">
        <v>710461</v>
      </c>
      <c r="G16" s="24">
        <f t="shared" si="1"/>
        <v>710461</v>
      </c>
    </row>
    <row r="17" spans="2:7" ht="15.6">
      <c r="B17" s="13">
        <v>10</v>
      </c>
      <c r="C17" s="15" t="s">
        <v>19</v>
      </c>
      <c r="D17" s="13">
        <f t="shared" si="0"/>
        <v>2016</v>
      </c>
      <c r="E17" s="23">
        <v>102013</v>
      </c>
      <c r="F17" s="23">
        <v>631859</v>
      </c>
      <c r="G17" s="24">
        <f t="shared" si="1"/>
        <v>631859</v>
      </c>
    </row>
    <row r="18" spans="2:7" ht="15.6">
      <c r="B18" s="13">
        <v>11</v>
      </c>
      <c r="C18" s="15" t="s">
        <v>20</v>
      </c>
      <c r="D18" s="13">
        <f t="shared" si="0"/>
        <v>2016</v>
      </c>
      <c r="E18" s="23">
        <v>113460</v>
      </c>
      <c r="F18" s="23">
        <v>687003</v>
      </c>
      <c r="G18" s="24">
        <f t="shared" si="1"/>
        <v>687003</v>
      </c>
    </row>
    <row r="19" spans="2:7" ht="16.2">
      <c r="B19" s="13">
        <v>12</v>
      </c>
      <c r="C19" s="15" t="s">
        <v>21</v>
      </c>
      <c r="D19" s="13">
        <f t="shared" si="0"/>
        <v>2016</v>
      </c>
      <c r="E19" s="70">
        <v>122619</v>
      </c>
      <c r="F19" s="70">
        <v>740845</v>
      </c>
      <c r="G19" s="71">
        <f t="shared" si="1"/>
        <v>740845</v>
      </c>
    </row>
    <row r="20" spans="2:7">
      <c r="B20" s="13">
        <v>13</v>
      </c>
    </row>
    <row r="21" spans="2:7" ht="16.2">
      <c r="B21" s="13">
        <v>14</v>
      </c>
      <c r="C21" s="6" t="s">
        <v>22</v>
      </c>
      <c r="D21" s="18"/>
      <c r="E21" s="69">
        <f>SUM(E8:E19)/12</f>
        <v>114186.83333333333</v>
      </c>
      <c r="F21" s="69">
        <f t="shared" ref="F21:G21" si="2">SUM(F8:F19)/12</f>
        <v>680773.16666666663</v>
      </c>
      <c r="G21" s="69">
        <f t="shared" si="2"/>
        <v>680773.16666666663</v>
      </c>
    </row>
    <row r="23" spans="2:7">
      <c r="G23" s="44" t="s">
        <v>189</v>
      </c>
    </row>
    <row r="26" spans="2:7">
      <c r="C26" s="104" t="s">
        <v>658</v>
      </c>
    </row>
    <row r="28" spans="2:7">
      <c r="C28" s="119"/>
    </row>
  </sheetData>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8"/>
  <sheetViews>
    <sheetView showGridLines="0" topLeftCell="B64" zoomScaleNormal="100" workbookViewId="0">
      <pane xSplit="3" topLeftCell="N1" activePane="topRight" state="frozen"/>
      <selection activeCell="G22" sqref="G22"/>
      <selection pane="topRight" activeCell="S72" sqref="S72:S74"/>
    </sheetView>
  </sheetViews>
  <sheetFormatPr defaultColWidth="9.109375" defaultRowHeight="14.4"/>
  <cols>
    <col min="1" max="2" width="9.109375" style="5"/>
    <col min="3" max="3" width="27.88671875" style="5" customWidth="1"/>
    <col min="4" max="4" width="8" style="5" customWidth="1"/>
    <col min="5" max="5" width="13.5546875" style="5" bestFit="1" customWidth="1"/>
    <col min="6" max="6" width="14.88671875" style="5" bestFit="1" customWidth="1"/>
    <col min="7" max="7" width="14.109375" style="5" bestFit="1" customWidth="1"/>
    <col min="8" max="8" width="14.88671875" style="5" bestFit="1" customWidth="1"/>
    <col min="9" max="9" width="13.109375" style="5" bestFit="1" customWidth="1"/>
    <col min="10" max="10" width="13.44140625" style="5" bestFit="1" customWidth="1"/>
    <col min="11" max="11" width="13.109375" style="5" bestFit="1" customWidth="1"/>
    <col min="12" max="12" width="17.21875" style="5" bestFit="1" customWidth="1"/>
    <col min="13" max="13" width="13.44140625" style="5" bestFit="1" customWidth="1"/>
    <col min="14" max="14" width="13.6640625" style="5" bestFit="1" customWidth="1"/>
    <col min="15" max="15" width="13.44140625" style="5" bestFit="1" customWidth="1"/>
    <col min="16" max="16" width="13.109375" style="5" bestFit="1" customWidth="1"/>
    <col min="17" max="17" width="13.109375" style="5" customWidth="1"/>
    <col min="18" max="18" width="13.44140625" style="5" bestFit="1" customWidth="1"/>
    <col min="19" max="20" width="12.44140625" style="5" bestFit="1" customWidth="1"/>
    <col min="21" max="21" width="11.44140625" style="5" bestFit="1" customWidth="1"/>
    <col min="22" max="22" width="11" style="5" bestFit="1" customWidth="1"/>
    <col min="23" max="16384" width="9.109375" style="5"/>
  </cols>
  <sheetData>
    <row r="1" spans="2:20">
      <c r="G1" s="5" t="s">
        <v>234</v>
      </c>
    </row>
    <row r="3" spans="2:20" ht="15.6">
      <c r="B3" s="4" t="s">
        <v>4</v>
      </c>
      <c r="C3" s="4"/>
      <c r="D3" s="4"/>
      <c r="E3" s="4"/>
      <c r="F3" s="4"/>
      <c r="G3" s="4"/>
      <c r="H3" s="4"/>
      <c r="I3" s="4"/>
      <c r="J3" s="4"/>
      <c r="K3" s="4"/>
      <c r="L3" s="4"/>
    </row>
    <row r="4" spans="2:20" ht="15.6">
      <c r="B4" s="6">
        <f>Coversheet!E5</f>
        <v>2016</v>
      </c>
      <c r="C4" s="4" t="s">
        <v>35</v>
      </c>
      <c r="D4" s="4"/>
      <c r="E4" s="4"/>
      <c r="F4" s="4"/>
      <c r="G4" s="4"/>
      <c r="H4" s="4"/>
      <c r="I4" s="4"/>
      <c r="J4" s="4"/>
      <c r="K4" s="4"/>
      <c r="L4" s="4"/>
    </row>
    <row r="5" spans="2:20" ht="15.6">
      <c r="B5" s="4" t="s">
        <v>7</v>
      </c>
      <c r="C5" s="4"/>
      <c r="D5" s="4"/>
      <c r="E5" s="7">
        <f>Coversheet!E5</f>
        <v>2016</v>
      </c>
      <c r="L5" s="4"/>
    </row>
    <row r="6" spans="2:20" s="98" customFormat="1" ht="18" customHeight="1">
      <c r="B6" s="15"/>
      <c r="C6" s="96"/>
      <c r="D6" s="97"/>
      <c r="E6" s="100"/>
      <c r="F6" s="378" t="s">
        <v>24</v>
      </c>
      <c r="G6" s="378"/>
      <c r="H6" s="100"/>
      <c r="I6" s="100"/>
      <c r="J6" s="100"/>
      <c r="K6" s="100"/>
      <c r="L6" s="99"/>
      <c r="M6" s="374" t="s">
        <v>145</v>
      </c>
      <c r="N6" s="374"/>
      <c r="O6" s="374"/>
      <c r="P6" s="374" t="s">
        <v>232</v>
      </c>
      <c r="Q6" s="374"/>
      <c r="R6" s="374"/>
      <c r="S6" s="374"/>
      <c r="T6" s="374"/>
    </row>
    <row r="7" spans="2:20" s="9" customFormat="1" ht="30" customHeight="1">
      <c r="B7" s="8" t="s">
        <v>0</v>
      </c>
      <c r="C7" s="8" t="s">
        <v>29</v>
      </c>
      <c r="D7" s="8" t="s">
        <v>2</v>
      </c>
      <c r="E7" s="8" t="s">
        <v>23</v>
      </c>
      <c r="F7" s="8" t="s">
        <v>228</v>
      </c>
      <c r="G7" s="8" t="s">
        <v>229</v>
      </c>
      <c r="H7" s="8" t="s">
        <v>25</v>
      </c>
      <c r="I7" s="8" t="s">
        <v>220</v>
      </c>
      <c r="J7" s="8" t="s">
        <v>90</v>
      </c>
      <c r="K7" s="8" t="s">
        <v>26</v>
      </c>
      <c r="L7" s="8" t="s">
        <v>28</v>
      </c>
      <c r="M7" s="95" t="s">
        <v>146</v>
      </c>
      <c r="N7" s="95" t="s">
        <v>147</v>
      </c>
      <c r="O7" s="107" t="s">
        <v>222</v>
      </c>
      <c r="P7" s="107" t="s">
        <v>241</v>
      </c>
      <c r="Q7" s="107" t="s">
        <v>224</v>
      </c>
      <c r="R7" s="95" t="s">
        <v>38</v>
      </c>
      <c r="S7" s="107"/>
      <c r="T7" s="145" t="s">
        <v>610</v>
      </c>
    </row>
    <row r="8" spans="2:20" s="9" customFormat="1">
      <c r="B8" s="13">
        <v>1</v>
      </c>
      <c r="C8" s="10" t="s">
        <v>21</v>
      </c>
      <c r="D8" s="10">
        <f>D9-1</f>
        <v>2015</v>
      </c>
      <c r="E8" s="21">
        <f>O81</f>
        <v>306361445.43999994</v>
      </c>
      <c r="F8" s="21">
        <f>SUM(M8:O8)</f>
        <v>73619665.320000008</v>
      </c>
      <c r="G8" s="21">
        <f>SUM(P8:R8)</f>
        <v>98668621</v>
      </c>
      <c r="H8" s="21">
        <v>0</v>
      </c>
      <c r="I8" s="21">
        <f>O83</f>
        <v>16828484.600000001</v>
      </c>
      <c r="J8" s="21">
        <v>9294997</v>
      </c>
      <c r="K8" s="21">
        <v>0</v>
      </c>
      <c r="L8" s="12">
        <f>SUM(E8:K8)</f>
        <v>504773213.35999995</v>
      </c>
      <c r="M8" s="21">
        <f>O71</f>
        <v>34462765.210000008</v>
      </c>
      <c r="N8" s="21">
        <f>O69+O70</f>
        <v>34098667.109999999</v>
      </c>
      <c r="O8" s="21">
        <f>O72</f>
        <v>5058233</v>
      </c>
      <c r="P8" s="21">
        <f>O73</f>
        <v>48071387</v>
      </c>
      <c r="Q8" s="21">
        <f>O74</f>
        <v>14026994</v>
      </c>
      <c r="R8" s="21">
        <f>O75</f>
        <v>36570240</v>
      </c>
      <c r="S8" s="21">
        <f>F8+G8-SUM(M8:R8)</f>
        <v>0</v>
      </c>
      <c r="T8" s="21">
        <f>SUM(O8:Q8)+SUM(CWIP!E8:F8)</f>
        <v>67156614</v>
      </c>
    </row>
    <row r="9" spans="2:20">
      <c r="B9" s="13">
        <v>2</v>
      </c>
      <c r="C9" s="14" t="s">
        <v>10</v>
      </c>
      <c r="D9" s="13">
        <f>$E$5</f>
        <v>2016</v>
      </c>
      <c r="E9" s="21">
        <f>E8+H$64+H$65+H$66+H$67</f>
        <v>308654162.68999994</v>
      </c>
      <c r="F9" s="21">
        <f t="shared" ref="F9:F20" si="0">SUM(M9:O9)</f>
        <v>73901731.403333336</v>
      </c>
      <c r="G9" s="21">
        <f t="shared" ref="G9:G20" si="1">SUM(P9:R9)</f>
        <v>98668621</v>
      </c>
      <c r="H9" s="21">
        <v>0</v>
      </c>
      <c r="I9" s="21">
        <f t="shared" ref="I9:I20" si="2">I8+H$76</f>
        <v>16983309.600000001</v>
      </c>
      <c r="J9" s="21">
        <f>J8</f>
        <v>9294997</v>
      </c>
      <c r="K9" s="21">
        <v>0</v>
      </c>
      <c r="L9" s="12">
        <f t="shared" ref="L9:L20" si="3">SUM(E9:K9)</f>
        <v>507502821.69333327</v>
      </c>
      <c r="M9" s="21">
        <f t="shared" ref="M9:M20" si="4">M8+$H$71</f>
        <v>34617765.210000008</v>
      </c>
      <c r="N9" s="21">
        <f t="shared" ref="N9:N20" si="5">N8+$H$70+$H$69</f>
        <v>34225733.193333335</v>
      </c>
      <c r="O9" s="21">
        <f>O8</f>
        <v>5058233</v>
      </c>
      <c r="P9" s="21">
        <f>P8</f>
        <v>48071387</v>
      </c>
      <c r="Q9" s="21">
        <f>Q8</f>
        <v>14026994</v>
      </c>
      <c r="R9" s="21">
        <f>R8</f>
        <v>36570240</v>
      </c>
      <c r="S9" s="21">
        <f t="shared" ref="S9:S20" si="6">F9+G9-SUM(M9:R9)</f>
        <v>0</v>
      </c>
      <c r="T9" s="21">
        <f>SUM(O9:Q9)+SUM(CWIP!E9:F9)</f>
        <v>67156614</v>
      </c>
    </row>
    <row r="10" spans="2:20" ht="15.6">
      <c r="B10" s="13">
        <v>3</v>
      </c>
      <c r="C10" s="15" t="s">
        <v>11</v>
      </c>
      <c r="D10" s="13">
        <f t="shared" ref="D10:D20" si="7">$E$5</f>
        <v>2016</v>
      </c>
      <c r="E10" s="21">
        <f t="shared" ref="E10:E20" si="8">E9+H$64+H$65+H$66+H$67</f>
        <v>310946879.93999994</v>
      </c>
      <c r="F10" s="21">
        <f t="shared" si="0"/>
        <v>74183797.486666679</v>
      </c>
      <c r="G10" s="21">
        <f t="shared" si="1"/>
        <v>98668621</v>
      </c>
      <c r="H10" s="21">
        <v>0</v>
      </c>
      <c r="I10" s="21">
        <f t="shared" si="2"/>
        <v>17138134.600000001</v>
      </c>
      <c r="J10" s="21">
        <f t="shared" ref="J10:J20" si="9">J9</f>
        <v>9294997</v>
      </c>
      <c r="K10" s="21">
        <v>0</v>
      </c>
      <c r="L10" s="12">
        <f t="shared" si="3"/>
        <v>510232430.02666664</v>
      </c>
      <c r="M10" s="21">
        <f t="shared" si="4"/>
        <v>34772765.210000008</v>
      </c>
      <c r="N10" s="21">
        <f t="shared" si="5"/>
        <v>34352799.276666671</v>
      </c>
      <c r="O10" s="21">
        <f t="shared" ref="O10:R19" si="10">O9</f>
        <v>5058233</v>
      </c>
      <c r="P10" s="21">
        <f t="shared" ref="P10:Q10" si="11">P9</f>
        <v>48071387</v>
      </c>
      <c r="Q10" s="21">
        <f t="shared" si="11"/>
        <v>14026994</v>
      </c>
      <c r="R10" s="21">
        <f>R9</f>
        <v>36570240</v>
      </c>
      <c r="S10" s="21">
        <f t="shared" si="6"/>
        <v>0</v>
      </c>
      <c r="T10" s="21">
        <f>SUM(O10:Q10)+SUM(CWIP!E10:F10)</f>
        <v>67156614</v>
      </c>
    </row>
    <row r="11" spans="2:20" ht="15.6">
      <c r="B11" s="13">
        <v>4</v>
      </c>
      <c r="C11" s="15" t="s">
        <v>12</v>
      </c>
      <c r="D11" s="13">
        <f t="shared" si="7"/>
        <v>2016</v>
      </c>
      <c r="E11" s="21">
        <f>E10+H$64+H$65+H$66+H$67</f>
        <v>313239597.18999994</v>
      </c>
      <c r="F11" s="21">
        <f t="shared" si="0"/>
        <v>74465863.570000023</v>
      </c>
      <c r="G11" s="21">
        <f t="shared" si="1"/>
        <v>98668621</v>
      </c>
      <c r="H11" s="21">
        <v>0</v>
      </c>
      <c r="I11" s="21">
        <f t="shared" si="2"/>
        <v>17292959.600000001</v>
      </c>
      <c r="J11" s="21">
        <f t="shared" si="9"/>
        <v>9294997</v>
      </c>
      <c r="K11" s="21">
        <v>0</v>
      </c>
      <c r="L11" s="12">
        <f t="shared" si="3"/>
        <v>512962038.36000001</v>
      </c>
      <c r="M11" s="21">
        <f t="shared" si="4"/>
        <v>34927765.210000008</v>
      </c>
      <c r="N11" s="21">
        <f t="shared" si="5"/>
        <v>34479865.360000007</v>
      </c>
      <c r="O11" s="21">
        <f t="shared" si="10"/>
        <v>5058233</v>
      </c>
      <c r="P11" s="21">
        <f t="shared" ref="P11:Q11" si="12">P10</f>
        <v>48071387</v>
      </c>
      <c r="Q11" s="21">
        <f t="shared" si="12"/>
        <v>14026994</v>
      </c>
      <c r="R11" s="21">
        <f t="shared" si="10"/>
        <v>36570240</v>
      </c>
      <c r="S11" s="21">
        <f t="shared" si="6"/>
        <v>0</v>
      </c>
      <c r="T11" s="21">
        <f>SUM(O11:Q11)+SUM(CWIP!E11:F11)</f>
        <v>67156614</v>
      </c>
    </row>
    <row r="12" spans="2:20" ht="15.6">
      <c r="B12" s="13">
        <v>5</v>
      </c>
      <c r="C12" s="15" t="s">
        <v>13</v>
      </c>
      <c r="D12" s="13">
        <f t="shared" si="7"/>
        <v>2016</v>
      </c>
      <c r="E12" s="21">
        <f t="shared" si="8"/>
        <v>315532314.43999994</v>
      </c>
      <c r="F12" s="21">
        <f t="shared" si="0"/>
        <v>74747929.653333351</v>
      </c>
      <c r="G12" s="21">
        <f t="shared" si="1"/>
        <v>98668621</v>
      </c>
      <c r="H12" s="21">
        <v>0</v>
      </c>
      <c r="I12" s="21">
        <f t="shared" si="2"/>
        <v>17447784.600000001</v>
      </c>
      <c r="J12" s="21">
        <f t="shared" si="9"/>
        <v>9294997</v>
      </c>
      <c r="K12" s="21">
        <v>0</v>
      </c>
      <c r="L12" s="12">
        <f t="shared" si="3"/>
        <v>515691646.69333333</v>
      </c>
      <c r="M12" s="21">
        <f t="shared" si="4"/>
        <v>35082765.210000008</v>
      </c>
      <c r="N12" s="21">
        <f t="shared" si="5"/>
        <v>34606931.443333343</v>
      </c>
      <c r="O12" s="21">
        <f t="shared" si="10"/>
        <v>5058233</v>
      </c>
      <c r="P12" s="21">
        <f>P11</f>
        <v>48071387</v>
      </c>
      <c r="Q12" s="21">
        <f>Q11+CWIP!F11</f>
        <v>14026994</v>
      </c>
      <c r="R12" s="21">
        <f t="shared" si="10"/>
        <v>36570240</v>
      </c>
      <c r="S12" s="21">
        <f t="shared" si="6"/>
        <v>0</v>
      </c>
      <c r="T12" s="21">
        <f>SUM(O12:Q12)+SUM(CWIP!E12:F12)</f>
        <v>67156614</v>
      </c>
    </row>
    <row r="13" spans="2:20" ht="15.6">
      <c r="B13" s="13">
        <v>6</v>
      </c>
      <c r="C13" s="15" t="s">
        <v>14</v>
      </c>
      <c r="D13" s="13">
        <f t="shared" si="7"/>
        <v>2016</v>
      </c>
      <c r="E13" s="21">
        <f t="shared" si="8"/>
        <v>317825031.68999994</v>
      </c>
      <c r="F13" s="21">
        <f t="shared" si="0"/>
        <v>75029995.736666679</v>
      </c>
      <c r="G13" s="21">
        <f t="shared" si="1"/>
        <v>98668621</v>
      </c>
      <c r="H13" s="21">
        <v>0</v>
      </c>
      <c r="I13" s="21">
        <f t="shared" si="2"/>
        <v>17602609.600000001</v>
      </c>
      <c r="J13" s="21">
        <f t="shared" si="9"/>
        <v>9294997</v>
      </c>
      <c r="K13" s="21">
        <v>0</v>
      </c>
      <c r="L13" s="12">
        <f t="shared" si="3"/>
        <v>518421255.02666664</v>
      </c>
      <c r="M13" s="21">
        <f t="shared" si="4"/>
        <v>35237765.210000008</v>
      </c>
      <c r="N13" s="21">
        <f t="shared" si="5"/>
        <v>34733997.526666678</v>
      </c>
      <c r="O13" s="21">
        <f t="shared" si="10"/>
        <v>5058233</v>
      </c>
      <c r="P13" s="21">
        <f t="shared" ref="P13:Q13" si="13">P12</f>
        <v>48071387</v>
      </c>
      <c r="Q13" s="21">
        <f t="shared" si="13"/>
        <v>14026994</v>
      </c>
      <c r="R13" s="21">
        <f t="shared" si="10"/>
        <v>36570240</v>
      </c>
      <c r="S13" s="21">
        <f t="shared" si="6"/>
        <v>0</v>
      </c>
      <c r="T13" s="21">
        <f>SUM(O13:Q13)+SUM(CWIP!E13:F13)</f>
        <v>67156614</v>
      </c>
    </row>
    <row r="14" spans="2:20" ht="15.6">
      <c r="B14" s="13">
        <v>7</v>
      </c>
      <c r="C14" s="15" t="s">
        <v>15</v>
      </c>
      <c r="D14" s="13">
        <f t="shared" si="7"/>
        <v>2016</v>
      </c>
      <c r="E14" s="21">
        <f>E13+H$64+H$65+H$66+H$67</f>
        <v>320117748.93999994</v>
      </c>
      <c r="F14" s="21">
        <f t="shared" si="0"/>
        <v>75312061.820000023</v>
      </c>
      <c r="G14" s="21">
        <f t="shared" si="1"/>
        <v>98668621</v>
      </c>
      <c r="H14" s="21">
        <v>0</v>
      </c>
      <c r="I14" s="21">
        <f t="shared" si="2"/>
        <v>17757434.600000001</v>
      </c>
      <c r="J14" s="21">
        <f t="shared" si="9"/>
        <v>9294997</v>
      </c>
      <c r="K14" s="21">
        <v>0</v>
      </c>
      <c r="L14" s="12">
        <f t="shared" si="3"/>
        <v>521150863.36000001</v>
      </c>
      <c r="M14" s="21">
        <f t="shared" si="4"/>
        <v>35392765.210000008</v>
      </c>
      <c r="N14" s="21">
        <f t="shared" si="5"/>
        <v>34861063.610000014</v>
      </c>
      <c r="O14" s="21">
        <f t="shared" si="10"/>
        <v>5058233</v>
      </c>
      <c r="P14" s="21">
        <f t="shared" ref="P14:Q14" si="14">P13</f>
        <v>48071387</v>
      </c>
      <c r="Q14" s="21">
        <f t="shared" si="14"/>
        <v>14026994</v>
      </c>
      <c r="R14" s="21">
        <f t="shared" si="10"/>
        <v>36570240</v>
      </c>
      <c r="S14" s="21">
        <f t="shared" si="6"/>
        <v>0</v>
      </c>
      <c r="T14" s="21">
        <f>SUM(O14:Q14)+SUM(CWIP!E14:F14)</f>
        <v>67156614</v>
      </c>
    </row>
    <row r="15" spans="2:20" ht="15.6">
      <c r="B15" s="13">
        <v>8</v>
      </c>
      <c r="C15" s="15" t="s">
        <v>16</v>
      </c>
      <c r="D15" s="13">
        <f t="shared" si="7"/>
        <v>2016</v>
      </c>
      <c r="E15" s="21">
        <f t="shared" si="8"/>
        <v>322410466.18999994</v>
      </c>
      <c r="F15" s="21">
        <f t="shared" si="0"/>
        <v>75594127.903333366</v>
      </c>
      <c r="G15" s="21">
        <f t="shared" si="1"/>
        <v>99005136</v>
      </c>
      <c r="H15" s="21">
        <v>0</v>
      </c>
      <c r="I15" s="21">
        <f t="shared" si="2"/>
        <v>17912259.600000001</v>
      </c>
      <c r="J15" s="21">
        <f t="shared" si="9"/>
        <v>9294997</v>
      </c>
      <c r="K15" s="21">
        <v>0</v>
      </c>
      <c r="L15" s="12">
        <f t="shared" si="3"/>
        <v>524216986.69333333</v>
      </c>
      <c r="M15" s="21">
        <f t="shared" si="4"/>
        <v>35547765.210000008</v>
      </c>
      <c r="N15" s="21">
        <f t="shared" si="5"/>
        <v>34988129.69333335</v>
      </c>
      <c r="O15" s="21">
        <f t="shared" si="10"/>
        <v>5058233</v>
      </c>
      <c r="P15" s="21">
        <f t="shared" ref="P15:Q15" si="15">P14</f>
        <v>48071387</v>
      </c>
      <c r="Q15" s="21">
        <f t="shared" si="15"/>
        <v>14026994</v>
      </c>
      <c r="R15" s="21">
        <f>R14+CWIP!G30</f>
        <v>36906755</v>
      </c>
      <c r="S15" s="21">
        <f t="shared" si="6"/>
        <v>0</v>
      </c>
      <c r="T15" s="21">
        <f>SUM(O15:Q15)+SUM(CWIP!E15:F15)</f>
        <v>67156614</v>
      </c>
    </row>
    <row r="16" spans="2:20" ht="15.6">
      <c r="B16" s="13">
        <v>9</v>
      </c>
      <c r="C16" s="15" t="s">
        <v>17</v>
      </c>
      <c r="D16" s="13">
        <f t="shared" si="7"/>
        <v>2016</v>
      </c>
      <c r="E16" s="21">
        <f t="shared" si="8"/>
        <v>324703183.43999994</v>
      </c>
      <c r="F16" s="21">
        <f t="shared" si="0"/>
        <v>75876193.986666694</v>
      </c>
      <c r="G16" s="21">
        <f t="shared" si="1"/>
        <v>99005136</v>
      </c>
      <c r="H16" s="21">
        <v>0</v>
      </c>
      <c r="I16" s="21">
        <f t="shared" si="2"/>
        <v>18067084.600000001</v>
      </c>
      <c r="J16" s="21">
        <f t="shared" si="9"/>
        <v>9294997</v>
      </c>
      <c r="K16" s="21">
        <v>0</v>
      </c>
      <c r="L16" s="12">
        <f t="shared" si="3"/>
        <v>526946595.02666664</v>
      </c>
      <c r="M16" s="21">
        <f t="shared" si="4"/>
        <v>35702765.210000008</v>
      </c>
      <c r="N16" s="21">
        <f t="shared" si="5"/>
        <v>35115195.776666686</v>
      </c>
      <c r="O16" s="21">
        <f t="shared" si="10"/>
        <v>5058233</v>
      </c>
      <c r="P16" s="21">
        <f t="shared" ref="P16:Q16" si="16">P15</f>
        <v>48071387</v>
      </c>
      <c r="Q16" s="21">
        <f t="shared" si="16"/>
        <v>14026994</v>
      </c>
      <c r="R16" s="21">
        <f t="shared" si="10"/>
        <v>36906755</v>
      </c>
      <c r="S16" s="21">
        <f t="shared" si="6"/>
        <v>0</v>
      </c>
      <c r="T16" s="21">
        <f>SUM(O16:Q16)+SUM(CWIP!E16:F16)</f>
        <v>67156614</v>
      </c>
    </row>
    <row r="17" spans="2:20" ht="15.6">
      <c r="B17" s="13">
        <v>10</v>
      </c>
      <c r="C17" s="15" t="s">
        <v>18</v>
      </c>
      <c r="D17" s="13">
        <f t="shared" si="7"/>
        <v>2016</v>
      </c>
      <c r="E17" s="21">
        <f t="shared" si="8"/>
        <v>326995900.68999994</v>
      </c>
      <c r="F17" s="21">
        <f t="shared" si="0"/>
        <v>76158260.070000023</v>
      </c>
      <c r="G17" s="21">
        <f t="shared" si="1"/>
        <v>99005136</v>
      </c>
      <c r="H17" s="21">
        <v>0</v>
      </c>
      <c r="I17" s="21">
        <f t="shared" si="2"/>
        <v>18221909.600000001</v>
      </c>
      <c r="J17" s="21">
        <f t="shared" si="9"/>
        <v>9294997</v>
      </c>
      <c r="K17" s="21">
        <v>0</v>
      </c>
      <c r="L17" s="12">
        <f t="shared" si="3"/>
        <v>529676203.36000001</v>
      </c>
      <c r="M17" s="21">
        <f t="shared" si="4"/>
        <v>35857765.210000008</v>
      </c>
      <c r="N17" s="21">
        <f t="shared" si="5"/>
        <v>35242261.860000022</v>
      </c>
      <c r="O17" s="21">
        <f t="shared" si="10"/>
        <v>5058233</v>
      </c>
      <c r="P17" s="21">
        <f t="shared" ref="P17:Q17" si="17">P16</f>
        <v>48071387</v>
      </c>
      <c r="Q17" s="21">
        <f t="shared" si="17"/>
        <v>14026994</v>
      </c>
      <c r="R17" s="21">
        <f t="shared" si="10"/>
        <v>36906755</v>
      </c>
      <c r="S17" s="21">
        <f t="shared" si="6"/>
        <v>0</v>
      </c>
      <c r="T17" s="21">
        <f>SUM(O17:Q17)+SUM(CWIP!E17:F17)</f>
        <v>67156614</v>
      </c>
    </row>
    <row r="18" spans="2:20" ht="15.6">
      <c r="B18" s="13">
        <v>11</v>
      </c>
      <c r="C18" s="15" t="s">
        <v>19</v>
      </c>
      <c r="D18" s="13">
        <f t="shared" si="7"/>
        <v>2016</v>
      </c>
      <c r="E18" s="21">
        <f t="shared" si="8"/>
        <v>329288617.93999994</v>
      </c>
      <c r="F18" s="21">
        <f t="shared" si="0"/>
        <v>76440326.153333366</v>
      </c>
      <c r="G18" s="21">
        <f t="shared" si="1"/>
        <v>99005136</v>
      </c>
      <c r="H18" s="21">
        <v>0</v>
      </c>
      <c r="I18" s="21">
        <f t="shared" si="2"/>
        <v>18376734.600000001</v>
      </c>
      <c r="J18" s="21">
        <f t="shared" si="9"/>
        <v>9294997</v>
      </c>
      <c r="K18" s="21">
        <v>0</v>
      </c>
      <c r="L18" s="12">
        <f t="shared" si="3"/>
        <v>532405811.69333333</v>
      </c>
      <c r="M18" s="21">
        <f t="shared" si="4"/>
        <v>36012765.210000008</v>
      </c>
      <c r="N18" s="21">
        <f t="shared" si="5"/>
        <v>35369327.943333358</v>
      </c>
      <c r="O18" s="21">
        <f t="shared" si="10"/>
        <v>5058233</v>
      </c>
      <c r="P18" s="21">
        <f t="shared" ref="P18:Q18" si="18">P17</f>
        <v>48071387</v>
      </c>
      <c r="Q18" s="21">
        <f t="shared" si="18"/>
        <v>14026994</v>
      </c>
      <c r="R18" s="21">
        <f t="shared" si="10"/>
        <v>36906755</v>
      </c>
      <c r="S18" s="21">
        <f t="shared" si="6"/>
        <v>0</v>
      </c>
      <c r="T18" s="21">
        <f>SUM(O18:Q18)+SUM(CWIP!E18:F18)</f>
        <v>67156614</v>
      </c>
    </row>
    <row r="19" spans="2:20" ht="15.6">
      <c r="B19" s="13">
        <v>12</v>
      </c>
      <c r="C19" s="15" t="s">
        <v>20</v>
      </c>
      <c r="D19" s="13">
        <f t="shared" si="7"/>
        <v>2016</v>
      </c>
      <c r="E19" s="21">
        <f t="shared" si="8"/>
        <v>331581335.18999994</v>
      </c>
      <c r="F19" s="21">
        <f t="shared" si="0"/>
        <v>76722392.236666709</v>
      </c>
      <c r="G19" s="21">
        <f t="shared" si="1"/>
        <v>99005136</v>
      </c>
      <c r="H19" s="21">
        <v>0</v>
      </c>
      <c r="I19" s="21">
        <f t="shared" si="2"/>
        <v>18531559.600000001</v>
      </c>
      <c r="J19" s="21">
        <f t="shared" si="9"/>
        <v>9294997</v>
      </c>
      <c r="K19" s="21">
        <v>0</v>
      </c>
      <c r="L19" s="12">
        <f t="shared" si="3"/>
        <v>535135420.02666664</v>
      </c>
      <c r="M19" s="21">
        <f t="shared" si="4"/>
        <v>36167765.210000008</v>
      </c>
      <c r="N19" s="21">
        <f t="shared" si="5"/>
        <v>35496394.026666693</v>
      </c>
      <c r="O19" s="21">
        <f t="shared" si="10"/>
        <v>5058233</v>
      </c>
      <c r="P19" s="21">
        <f t="shared" ref="P19:Q19" si="19">P18</f>
        <v>48071387</v>
      </c>
      <c r="Q19" s="21">
        <f t="shared" si="19"/>
        <v>14026994</v>
      </c>
      <c r="R19" s="21">
        <f t="shared" si="10"/>
        <v>36906755</v>
      </c>
      <c r="S19" s="21">
        <f t="shared" si="6"/>
        <v>0</v>
      </c>
      <c r="T19" s="21">
        <f>SUM(O19:Q19)+SUM(CWIP!E19:F19)</f>
        <v>67156614</v>
      </c>
    </row>
    <row r="20" spans="2:20" ht="16.2">
      <c r="B20" s="13">
        <v>13</v>
      </c>
      <c r="C20" s="15" t="s">
        <v>21</v>
      </c>
      <c r="D20" s="13">
        <f t="shared" si="7"/>
        <v>2016</v>
      </c>
      <c r="E20" s="34">
        <f t="shared" si="8"/>
        <v>333874052.43999994</v>
      </c>
      <c r="F20" s="34">
        <f t="shared" si="0"/>
        <v>77004458.320000038</v>
      </c>
      <c r="G20" s="34">
        <f t="shared" si="1"/>
        <v>99005136</v>
      </c>
      <c r="H20" s="22">
        <v>0</v>
      </c>
      <c r="I20" s="34">
        <f t="shared" si="2"/>
        <v>18686384.600000001</v>
      </c>
      <c r="J20" s="34">
        <f t="shared" si="9"/>
        <v>9294997</v>
      </c>
      <c r="K20" s="22">
        <v>0</v>
      </c>
      <c r="L20" s="17">
        <f t="shared" si="3"/>
        <v>537865028.36000001</v>
      </c>
      <c r="M20" s="34">
        <f t="shared" si="4"/>
        <v>36322765.210000008</v>
      </c>
      <c r="N20" s="34">
        <f t="shared" si="5"/>
        <v>35623460.110000029</v>
      </c>
      <c r="O20" s="34">
        <f>O19</f>
        <v>5058233</v>
      </c>
      <c r="P20" s="34">
        <f>P19</f>
        <v>48071387</v>
      </c>
      <c r="Q20" s="34">
        <f>Q19</f>
        <v>14026994</v>
      </c>
      <c r="R20" s="34">
        <f>R19</f>
        <v>36906755</v>
      </c>
      <c r="S20" s="21">
        <f t="shared" si="6"/>
        <v>0</v>
      </c>
      <c r="T20" s="34">
        <f>SUM(O20:Q20)+SUM(CWIP!E20:F20)</f>
        <v>67156614</v>
      </c>
    </row>
    <row r="21" spans="2:20">
      <c r="B21" s="13">
        <v>14</v>
      </c>
    </row>
    <row r="22" spans="2:20" ht="16.2">
      <c r="B22" s="13">
        <v>15</v>
      </c>
      <c r="C22" s="6" t="s">
        <v>27</v>
      </c>
      <c r="D22" s="18"/>
      <c r="E22" s="30">
        <f>SUM(E8:E20)/13</f>
        <v>320117748.94</v>
      </c>
      <c r="F22" s="30">
        <f t="shared" ref="F22:L22" si="20">SUM(F8:F20)/13</f>
        <v>75312061.820000023</v>
      </c>
      <c r="G22" s="30">
        <f t="shared" ref="G22" si="21">SUM(G8:G20)/13</f>
        <v>98823935.615384609</v>
      </c>
      <c r="H22" s="30">
        <f t="shared" si="20"/>
        <v>0</v>
      </c>
      <c r="I22" s="30">
        <f t="shared" si="20"/>
        <v>17757434.599999998</v>
      </c>
      <c r="J22" s="30">
        <f t="shared" ref="J22" si="22">SUM(J8:J20)/13</f>
        <v>9294997</v>
      </c>
      <c r="K22" s="30">
        <f t="shared" si="20"/>
        <v>0</v>
      </c>
      <c r="L22" s="30">
        <f t="shared" si="20"/>
        <v>521306177.97538459</v>
      </c>
      <c r="M22" s="30">
        <f t="shared" ref="M22:O22" si="23">SUM(M8:M20)/13</f>
        <v>35392765.210000023</v>
      </c>
      <c r="N22" s="30">
        <f>SUM(N8:N20)/13</f>
        <v>34861063.610000022</v>
      </c>
      <c r="O22" s="30">
        <f t="shared" si="23"/>
        <v>5058233</v>
      </c>
      <c r="P22" s="30">
        <f t="shared" ref="P22:Q22" si="24">SUM(P8:P20)/13</f>
        <v>48071387</v>
      </c>
      <c r="Q22" s="30">
        <f t="shared" si="24"/>
        <v>14026994</v>
      </c>
      <c r="R22" s="30">
        <f t="shared" ref="R22" si="25">SUM(R8:R20)/13</f>
        <v>36725554.615384616</v>
      </c>
      <c r="S22" s="30"/>
      <c r="T22" s="30">
        <f t="shared" ref="T22" si="26">SUM(T8:T20)/13</f>
        <v>67156614</v>
      </c>
    </row>
    <row r="23" spans="2:20" ht="16.2">
      <c r="C23" s="92" t="s">
        <v>190</v>
      </c>
      <c r="D23" s="92"/>
      <c r="E23" s="92" t="s">
        <v>191</v>
      </c>
      <c r="F23" s="92" t="s">
        <v>192</v>
      </c>
      <c r="G23" s="92" t="s">
        <v>230</v>
      </c>
      <c r="H23" s="92" t="s">
        <v>193</v>
      </c>
      <c r="I23" s="92" t="s">
        <v>194</v>
      </c>
      <c r="J23" s="92" t="s">
        <v>194</v>
      </c>
      <c r="K23" s="92" t="s">
        <v>195</v>
      </c>
      <c r="L23" s="92"/>
      <c r="P23" s="101"/>
      <c r="Q23" s="146">
        <f>SUM(O22:Q22)+CWIP!F22</f>
        <v>67156614</v>
      </c>
      <c r="R23" s="113">
        <f>R22+CWIP!G22</f>
        <v>36803211.92307692</v>
      </c>
      <c r="T23" s="113"/>
    </row>
    <row r="24" spans="2:20" ht="16.2">
      <c r="B24" s="15"/>
      <c r="C24" s="96"/>
      <c r="D24" s="97"/>
      <c r="E24" s="100">
        <f>E38-E26</f>
        <v>4681393.8920869231</v>
      </c>
      <c r="F24" s="100">
        <f>F38-F26</f>
        <v>1051778.4299255535</v>
      </c>
      <c r="G24" s="100"/>
      <c r="H24" s="100">
        <f t="shared" ref="H24:J24" si="27">H38-H26</f>
        <v>0</v>
      </c>
      <c r="I24" s="100">
        <f t="shared" si="27"/>
        <v>836926.28051218577</v>
      </c>
      <c r="J24" s="100">
        <f t="shared" si="27"/>
        <v>92737.506999995559</v>
      </c>
      <c r="K24" s="100"/>
      <c r="L24" s="99"/>
      <c r="O24" s="375" t="s">
        <v>30</v>
      </c>
      <c r="P24" s="375"/>
      <c r="Q24" s="375"/>
      <c r="R24" s="375"/>
    </row>
    <row r="25" spans="2:20" ht="28.8">
      <c r="B25" s="8" t="s">
        <v>0</v>
      </c>
      <c r="C25" s="8" t="s">
        <v>30</v>
      </c>
      <c r="D25" s="8" t="s">
        <v>2</v>
      </c>
      <c r="E25" s="8" t="s">
        <v>23</v>
      </c>
      <c r="F25" s="8" t="s">
        <v>228</v>
      </c>
      <c r="G25" s="8" t="s">
        <v>229</v>
      </c>
      <c r="H25" s="8" t="s">
        <v>25</v>
      </c>
      <c r="I25" s="8" t="str">
        <f>I7</f>
        <v>General</v>
      </c>
      <c r="J25" s="8" t="str">
        <f>J7</f>
        <v>Intangible</v>
      </c>
      <c r="K25" s="8" t="s">
        <v>26</v>
      </c>
      <c r="L25" s="8" t="s">
        <v>31</v>
      </c>
      <c r="O25" s="8" t="str">
        <f>O7</f>
        <v>Fargo 1</v>
      </c>
      <c r="P25" s="8" t="str">
        <f>P7</f>
        <v xml:space="preserve">Fargo 2 </v>
      </c>
      <c r="Q25" s="8" t="str">
        <f>Q7</f>
        <v>Fargo 3</v>
      </c>
      <c r="R25" s="8" t="str">
        <f>R7</f>
        <v>Brookings</v>
      </c>
      <c r="T25" s="145" t="s">
        <v>611</v>
      </c>
    </row>
    <row r="26" spans="2:20">
      <c r="B26" s="13">
        <v>16</v>
      </c>
      <c r="C26" s="10" t="s">
        <v>21</v>
      </c>
      <c r="D26" s="10">
        <f>$E$5-1</f>
        <v>2015</v>
      </c>
      <c r="E26" s="21">
        <f>P81</f>
        <v>184053145.57661739</v>
      </c>
      <c r="F26" s="21">
        <f>P82-G26</f>
        <v>37384002.754131019</v>
      </c>
      <c r="G26" s="21">
        <f>SUM(P26:R26)</f>
        <v>3633881.1254166667</v>
      </c>
      <c r="H26" s="21">
        <v>0</v>
      </c>
      <c r="I26" s="21">
        <f>P83</f>
        <v>8617785.2171823643</v>
      </c>
      <c r="J26" s="21">
        <f>P84</f>
        <v>7777387.3440180244</v>
      </c>
      <c r="K26" s="21">
        <v>0</v>
      </c>
      <c r="L26" s="12">
        <f>SUM(E26:K26)</f>
        <v>241466202.01736546</v>
      </c>
      <c r="M26" s="31">
        <f>L26-P85</f>
        <v>0</v>
      </c>
      <c r="O26" s="21">
        <f>P72</f>
        <v>505824.14708333329</v>
      </c>
      <c r="P26" s="21">
        <f>P73</f>
        <v>2252606.4245833335</v>
      </c>
      <c r="Q26" s="21">
        <f>P74</f>
        <v>203727.38083333336</v>
      </c>
      <c r="R26" s="21">
        <f>P75</f>
        <v>1177547.3199999998</v>
      </c>
      <c r="T26" s="21">
        <f>SUM(O26:Q26)</f>
        <v>2962157.9525000001</v>
      </c>
    </row>
    <row r="27" spans="2:20">
      <c r="B27" s="13">
        <v>17</v>
      </c>
      <c r="C27" s="14" t="s">
        <v>10</v>
      </c>
      <c r="D27" s="13">
        <f>$E$5</f>
        <v>2016</v>
      </c>
      <c r="E27" s="21">
        <f t="shared" ref="E27:E38" si="28">E26+E8*R$81</f>
        <v>184427839.21242106</v>
      </c>
      <c r="F27" s="21">
        <f>F26+F8*F$59</f>
        <v>37469842.091949858</v>
      </c>
      <c r="G27" s="21">
        <f>SUM(P27:R27)</f>
        <v>3839440.7525000004</v>
      </c>
      <c r="H27" s="21">
        <v>0</v>
      </c>
      <c r="I27" s="21">
        <f t="shared" ref="I27:I38" si="29">I26+I8*R$83</f>
        <v>8684169.9429445509</v>
      </c>
      <c r="J27" s="21">
        <f t="shared" ref="J27:J38" si="30">J26+J8*R$84</f>
        <v>7785115.4696013574</v>
      </c>
      <c r="K27" s="21">
        <v>0</v>
      </c>
      <c r="L27" s="12">
        <f>SUM(E27:K27)</f>
        <v>242206407.46941683</v>
      </c>
      <c r="O27" s="21">
        <f t="shared" ref="O27:O38" si="31">O26+O8*R$73</f>
        <v>516362.13249999995</v>
      </c>
      <c r="P27" s="21">
        <f t="shared" ref="P27:P38" si="32">P26+P8*$R$73</f>
        <v>2352755.1475000004</v>
      </c>
      <c r="Q27" s="21">
        <f t="shared" ref="Q27:Q38" si="33">Q26+Q8*$R$73</f>
        <v>232950.28500000003</v>
      </c>
      <c r="R27" s="21">
        <f t="shared" ref="R27:R38" si="34">R26+R8*$R$73</f>
        <v>1253735.3199999998</v>
      </c>
      <c r="T27" s="21">
        <f t="shared" ref="T27:T38" si="35">SUM(O27:Q27)</f>
        <v>3102067.5650000004</v>
      </c>
    </row>
    <row r="28" spans="2:20" ht="15.6">
      <c r="B28" s="13">
        <v>18</v>
      </c>
      <c r="C28" s="15" t="s">
        <v>11</v>
      </c>
      <c r="D28" s="13">
        <f t="shared" ref="D28:D38" si="36">$E$5</f>
        <v>2016</v>
      </c>
      <c r="E28" s="21">
        <f t="shared" si="28"/>
        <v>184805336.94311023</v>
      </c>
      <c r="F28" s="21">
        <f t="shared" ref="F28:F38" si="37">F27+F9*F$59</f>
        <v>37556010.314255051</v>
      </c>
      <c r="G28" s="21">
        <f t="shared" ref="G28:G38" si="38">SUM(P28:R28)</f>
        <v>4045000.3795833341</v>
      </c>
      <c r="H28" s="21">
        <v>0</v>
      </c>
      <c r="I28" s="21">
        <f t="shared" si="29"/>
        <v>8751165.4197880384</v>
      </c>
      <c r="J28" s="21">
        <f t="shared" si="30"/>
        <v>7792843.5951846903</v>
      </c>
      <c r="K28" s="21">
        <v>0</v>
      </c>
      <c r="L28" s="12">
        <f t="shared" ref="L28:L38" si="39">SUM(E28:K28)</f>
        <v>242950356.65192133</v>
      </c>
      <c r="O28" s="21">
        <f t="shared" si="31"/>
        <v>526900.11791666667</v>
      </c>
      <c r="P28" s="21">
        <f t="shared" si="32"/>
        <v>2452903.8704166673</v>
      </c>
      <c r="Q28" s="21">
        <f t="shared" si="33"/>
        <v>262173.18916666671</v>
      </c>
      <c r="R28" s="21">
        <f t="shared" si="34"/>
        <v>1329923.3199999998</v>
      </c>
      <c r="T28" s="21">
        <f t="shared" si="35"/>
        <v>3241977.1775000012</v>
      </c>
    </row>
    <row r="29" spans="2:20" ht="15.6">
      <c r="B29" s="13">
        <v>19</v>
      </c>
      <c r="C29" s="15" t="s">
        <v>12</v>
      </c>
      <c r="D29" s="13">
        <f t="shared" si="36"/>
        <v>2016</v>
      </c>
      <c r="E29" s="21">
        <f t="shared" si="28"/>
        <v>185185638.76868489</v>
      </c>
      <c r="F29" s="21">
        <f t="shared" si="37"/>
        <v>37642507.4210466</v>
      </c>
      <c r="G29" s="21">
        <f t="shared" si="38"/>
        <v>4250560.0066666678</v>
      </c>
      <c r="H29" s="21">
        <v>0</v>
      </c>
      <c r="I29" s="21">
        <f t="shared" si="29"/>
        <v>8818771.6477128286</v>
      </c>
      <c r="J29" s="21">
        <f t="shared" si="30"/>
        <v>7800571.7207680233</v>
      </c>
      <c r="K29" s="21">
        <v>0</v>
      </c>
      <c r="L29" s="12">
        <f t="shared" si="39"/>
        <v>243698049.564879</v>
      </c>
      <c r="O29" s="21">
        <f t="shared" si="31"/>
        <v>537438.10333333339</v>
      </c>
      <c r="P29" s="21">
        <f t="shared" si="32"/>
        <v>2553052.5933333342</v>
      </c>
      <c r="Q29" s="21">
        <f t="shared" si="33"/>
        <v>291396.09333333338</v>
      </c>
      <c r="R29" s="21">
        <f t="shared" si="34"/>
        <v>1406111.3199999998</v>
      </c>
      <c r="T29" s="21">
        <f t="shared" si="35"/>
        <v>3381886.790000001</v>
      </c>
    </row>
    <row r="30" spans="2:20" ht="15.6">
      <c r="B30" s="13">
        <v>20</v>
      </c>
      <c r="C30" s="15" t="s">
        <v>13</v>
      </c>
      <c r="D30" s="13">
        <f t="shared" si="36"/>
        <v>2016</v>
      </c>
      <c r="E30" s="21">
        <f t="shared" si="28"/>
        <v>185568744.68914506</v>
      </c>
      <c r="F30" s="21">
        <f t="shared" si="37"/>
        <v>37729333.412324503</v>
      </c>
      <c r="G30" s="21">
        <f t="shared" si="38"/>
        <v>4456119.633750001</v>
      </c>
      <c r="H30" s="21">
        <v>0</v>
      </c>
      <c r="I30" s="21">
        <f t="shared" si="29"/>
        <v>8886988.6267189216</v>
      </c>
      <c r="J30" s="21">
        <f t="shared" si="30"/>
        <v>7808299.8463513562</v>
      </c>
      <c r="K30" s="21">
        <v>0</v>
      </c>
      <c r="L30" s="12">
        <f t="shared" si="39"/>
        <v>244449486.20828983</v>
      </c>
      <c r="O30" s="21">
        <f t="shared" si="31"/>
        <v>547976.08875000011</v>
      </c>
      <c r="P30" s="21">
        <f t="shared" si="32"/>
        <v>2653201.3162500011</v>
      </c>
      <c r="Q30" s="21">
        <f t="shared" si="33"/>
        <v>320618.99750000006</v>
      </c>
      <c r="R30" s="21">
        <f t="shared" si="34"/>
        <v>1482299.3199999998</v>
      </c>
      <c r="T30" s="21">
        <f t="shared" si="35"/>
        <v>3521796.4025000012</v>
      </c>
    </row>
    <row r="31" spans="2:20" ht="15.6">
      <c r="B31" s="13">
        <v>21</v>
      </c>
      <c r="C31" s="15" t="s">
        <v>14</v>
      </c>
      <c r="D31" s="13">
        <f t="shared" si="36"/>
        <v>2016</v>
      </c>
      <c r="E31" s="21">
        <f t="shared" si="28"/>
        <v>185954654.70449072</v>
      </c>
      <c r="F31" s="21">
        <f t="shared" si="37"/>
        <v>37816488.288088761</v>
      </c>
      <c r="G31" s="21">
        <f t="shared" si="38"/>
        <v>4661679.2608333342</v>
      </c>
      <c r="H31" s="21">
        <v>0</v>
      </c>
      <c r="I31" s="21">
        <f t="shared" si="29"/>
        <v>8955816.3568063173</v>
      </c>
      <c r="J31" s="21">
        <f t="shared" si="30"/>
        <v>7816027.9719346892</v>
      </c>
      <c r="K31" s="21">
        <v>0</v>
      </c>
      <c r="L31" s="12">
        <f t="shared" si="39"/>
        <v>245204666.5821538</v>
      </c>
      <c r="O31" s="21">
        <f t="shared" si="31"/>
        <v>558514.07416666683</v>
      </c>
      <c r="P31" s="21">
        <f t="shared" si="32"/>
        <v>2753350.039166668</v>
      </c>
      <c r="Q31" s="21">
        <f t="shared" si="33"/>
        <v>349841.90166666673</v>
      </c>
      <c r="R31" s="21">
        <f t="shared" si="34"/>
        <v>1558487.3199999998</v>
      </c>
      <c r="T31" s="21">
        <f t="shared" si="35"/>
        <v>3661706.0150000015</v>
      </c>
    </row>
    <row r="32" spans="2:20" ht="15.6">
      <c r="B32" s="13">
        <v>22</v>
      </c>
      <c r="C32" s="15" t="s">
        <v>15</v>
      </c>
      <c r="D32" s="13">
        <f t="shared" si="36"/>
        <v>2016</v>
      </c>
      <c r="E32" s="21">
        <f t="shared" si="28"/>
        <v>186343368.81472188</v>
      </c>
      <c r="F32" s="21">
        <f t="shared" si="37"/>
        <v>37903972.048339382</v>
      </c>
      <c r="G32" s="21">
        <f t="shared" si="38"/>
        <v>4867238.8879166674</v>
      </c>
      <c r="H32" s="21">
        <v>0</v>
      </c>
      <c r="I32" s="21">
        <f t="shared" si="29"/>
        <v>9025254.8379750159</v>
      </c>
      <c r="J32" s="21">
        <f t="shared" si="30"/>
        <v>7823756.0975180222</v>
      </c>
      <c r="K32" s="21">
        <v>0</v>
      </c>
      <c r="L32" s="12">
        <f t="shared" si="39"/>
        <v>245963590.68647096</v>
      </c>
      <c r="O32" s="21">
        <f t="shared" si="31"/>
        <v>569052.05958333355</v>
      </c>
      <c r="P32" s="21">
        <f t="shared" si="32"/>
        <v>2853498.7620833348</v>
      </c>
      <c r="Q32" s="21">
        <f t="shared" si="33"/>
        <v>379064.8058333334</v>
      </c>
      <c r="R32" s="21">
        <f t="shared" si="34"/>
        <v>1634675.3199999998</v>
      </c>
      <c r="T32" s="21">
        <f t="shared" si="35"/>
        <v>3801615.6275000013</v>
      </c>
    </row>
    <row r="33" spans="2:21" ht="15.6">
      <c r="B33" s="13">
        <v>23</v>
      </c>
      <c r="C33" s="15" t="s">
        <v>16</v>
      </c>
      <c r="D33" s="13">
        <f t="shared" si="36"/>
        <v>2016</v>
      </c>
      <c r="E33" s="21">
        <f t="shared" si="28"/>
        <v>186734887.01983854</v>
      </c>
      <c r="F33" s="21">
        <f t="shared" si="37"/>
        <v>37991784.693076357</v>
      </c>
      <c r="G33" s="21">
        <f t="shared" si="38"/>
        <v>5072798.5150000015</v>
      </c>
      <c r="H33" s="21">
        <v>0</v>
      </c>
      <c r="I33" s="21">
        <f t="shared" si="29"/>
        <v>9095304.0702250153</v>
      </c>
      <c r="J33" s="21">
        <f t="shared" si="30"/>
        <v>7831484.2231013551</v>
      </c>
      <c r="K33" s="21">
        <v>0</v>
      </c>
      <c r="L33" s="12">
        <f t="shared" si="39"/>
        <v>246726258.52124128</v>
      </c>
      <c r="O33" s="21">
        <f t="shared" si="31"/>
        <v>579590.04500000027</v>
      </c>
      <c r="P33" s="21">
        <f t="shared" si="32"/>
        <v>2953647.4850000017</v>
      </c>
      <c r="Q33" s="21">
        <f t="shared" si="33"/>
        <v>408287.71000000008</v>
      </c>
      <c r="R33" s="21">
        <f t="shared" si="34"/>
        <v>1710863.3199999998</v>
      </c>
      <c r="T33" s="21">
        <f t="shared" si="35"/>
        <v>3941525.2400000021</v>
      </c>
    </row>
    <row r="34" spans="2:21" ht="15.6">
      <c r="B34" s="13">
        <v>24</v>
      </c>
      <c r="C34" s="15" t="s">
        <v>17</v>
      </c>
      <c r="D34" s="13">
        <f t="shared" si="36"/>
        <v>2016</v>
      </c>
      <c r="E34" s="21">
        <f t="shared" si="28"/>
        <v>187129209.3198407</v>
      </c>
      <c r="F34" s="21">
        <f t="shared" si="37"/>
        <v>38079926.222299688</v>
      </c>
      <c r="G34" s="21">
        <f t="shared" si="38"/>
        <v>5279059.2150000017</v>
      </c>
      <c r="H34" s="21">
        <v>0</v>
      </c>
      <c r="I34" s="21">
        <f t="shared" si="29"/>
        <v>9165964.0535563175</v>
      </c>
      <c r="J34" s="21">
        <f t="shared" si="30"/>
        <v>7839212.3486846881</v>
      </c>
      <c r="K34" s="21">
        <v>0</v>
      </c>
      <c r="L34" s="12">
        <f t="shared" si="39"/>
        <v>247493371.15938142</v>
      </c>
      <c r="O34" s="21">
        <f t="shared" si="31"/>
        <v>590128.030416667</v>
      </c>
      <c r="P34" s="21">
        <f t="shared" si="32"/>
        <v>3053796.2079166686</v>
      </c>
      <c r="Q34" s="21">
        <f t="shared" si="33"/>
        <v>437510.61416666675</v>
      </c>
      <c r="R34" s="21">
        <f t="shared" si="34"/>
        <v>1787752.3929166666</v>
      </c>
      <c r="T34" s="21">
        <f t="shared" si="35"/>
        <v>4081434.8525000024</v>
      </c>
    </row>
    <row r="35" spans="2:21" ht="15.6">
      <c r="B35" s="13">
        <v>25</v>
      </c>
      <c r="C35" s="15" t="s">
        <v>18</v>
      </c>
      <c r="D35" s="13">
        <f t="shared" si="36"/>
        <v>2016</v>
      </c>
      <c r="E35" s="21">
        <f t="shared" si="28"/>
        <v>187526335.71472836</v>
      </c>
      <c r="F35" s="21">
        <f t="shared" si="37"/>
        <v>38168396.636009373</v>
      </c>
      <c r="G35" s="21">
        <f t="shared" si="38"/>
        <v>5485319.9150000028</v>
      </c>
      <c r="H35" s="21">
        <v>0</v>
      </c>
      <c r="I35" s="21">
        <f t="shared" si="29"/>
        <v>9237234.7879689224</v>
      </c>
      <c r="J35" s="21">
        <f t="shared" si="30"/>
        <v>7846940.4742680211</v>
      </c>
      <c r="K35" s="21">
        <v>0</v>
      </c>
      <c r="L35" s="12">
        <f t="shared" si="39"/>
        <v>248264227.52797467</v>
      </c>
      <c r="O35" s="21">
        <f t="shared" si="31"/>
        <v>600666.01583333372</v>
      </c>
      <c r="P35" s="21">
        <f t="shared" si="32"/>
        <v>3153944.9308333355</v>
      </c>
      <c r="Q35" s="21">
        <f t="shared" si="33"/>
        <v>466733.51833333343</v>
      </c>
      <c r="R35" s="21">
        <f t="shared" si="34"/>
        <v>1864641.4658333333</v>
      </c>
      <c r="T35" s="21">
        <f t="shared" si="35"/>
        <v>4221344.4650000026</v>
      </c>
    </row>
    <row r="36" spans="2:21" ht="15.6">
      <c r="B36" s="13">
        <v>26</v>
      </c>
      <c r="C36" s="15" t="s">
        <v>19</v>
      </c>
      <c r="D36" s="13">
        <f t="shared" si="36"/>
        <v>2016</v>
      </c>
      <c r="E36" s="21">
        <f t="shared" si="28"/>
        <v>187926266.20450151</v>
      </c>
      <c r="F36" s="21">
        <f t="shared" si="37"/>
        <v>38257195.934205413</v>
      </c>
      <c r="G36" s="21">
        <f t="shared" si="38"/>
        <v>5691580.615000003</v>
      </c>
      <c r="H36" s="21">
        <v>0</v>
      </c>
      <c r="I36" s="21">
        <f t="shared" si="29"/>
        <v>9309116.2734628301</v>
      </c>
      <c r="J36" s="21">
        <f t="shared" si="30"/>
        <v>7854668.599851354</v>
      </c>
      <c r="K36" s="21">
        <v>0</v>
      </c>
      <c r="L36" s="12">
        <f t="shared" si="39"/>
        <v>249038827.6270211</v>
      </c>
      <c r="O36" s="21">
        <f t="shared" si="31"/>
        <v>611204.00125000044</v>
      </c>
      <c r="P36" s="21">
        <f t="shared" si="32"/>
        <v>3254093.6537500024</v>
      </c>
      <c r="Q36" s="21">
        <f t="shared" si="33"/>
        <v>495956.4225000001</v>
      </c>
      <c r="R36" s="21">
        <f t="shared" si="34"/>
        <v>1941530.5387500001</v>
      </c>
      <c r="T36" s="21">
        <f t="shared" si="35"/>
        <v>4361254.0775000034</v>
      </c>
    </row>
    <row r="37" spans="2:21" ht="15.6">
      <c r="B37" s="13">
        <v>27</v>
      </c>
      <c r="C37" s="15" t="s">
        <v>20</v>
      </c>
      <c r="D37" s="13">
        <f t="shared" si="36"/>
        <v>2016</v>
      </c>
      <c r="E37" s="21">
        <f t="shared" si="28"/>
        <v>188329000.78916016</v>
      </c>
      <c r="F37" s="21">
        <f t="shared" si="37"/>
        <v>38346324.116887815</v>
      </c>
      <c r="G37" s="21">
        <f t="shared" si="38"/>
        <v>5897841.3150000032</v>
      </c>
      <c r="H37" s="21">
        <v>0</v>
      </c>
      <c r="I37" s="21">
        <f t="shared" si="29"/>
        <v>9381608.5100380387</v>
      </c>
      <c r="J37" s="21">
        <f t="shared" si="30"/>
        <v>7862396.725434687</v>
      </c>
      <c r="K37" s="21">
        <v>0</v>
      </c>
      <c r="L37" s="12">
        <f t="shared" si="39"/>
        <v>249817171.45652071</v>
      </c>
      <c r="O37" s="21">
        <f t="shared" si="31"/>
        <v>621741.98666666716</v>
      </c>
      <c r="P37" s="21">
        <f t="shared" si="32"/>
        <v>3354242.3766666693</v>
      </c>
      <c r="Q37" s="21">
        <f t="shared" si="33"/>
        <v>525179.32666666678</v>
      </c>
      <c r="R37" s="21">
        <f t="shared" si="34"/>
        <v>2018419.6116666668</v>
      </c>
      <c r="T37" s="21">
        <f t="shared" si="35"/>
        <v>4501163.6900000032</v>
      </c>
    </row>
    <row r="38" spans="2:21" ht="16.2">
      <c r="B38" s="13">
        <v>28</v>
      </c>
      <c r="C38" s="15" t="s">
        <v>21</v>
      </c>
      <c r="D38" s="13">
        <f t="shared" si="36"/>
        <v>2016</v>
      </c>
      <c r="E38" s="34">
        <f t="shared" si="28"/>
        <v>188734539.46870431</v>
      </c>
      <c r="F38" s="34">
        <f t="shared" si="37"/>
        <v>38435781.184056573</v>
      </c>
      <c r="G38" s="34">
        <f t="shared" si="38"/>
        <v>6104102.0150000034</v>
      </c>
      <c r="H38" s="22">
        <v>0</v>
      </c>
      <c r="I38" s="34">
        <f t="shared" si="29"/>
        <v>9454711.4976945501</v>
      </c>
      <c r="J38" s="34">
        <f t="shared" si="30"/>
        <v>7870124.85101802</v>
      </c>
      <c r="K38" s="22">
        <v>0</v>
      </c>
      <c r="L38" s="17">
        <f t="shared" si="39"/>
        <v>250599259.01647347</v>
      </c>
      <c r="O38" s="34">
        <f t="shared" si="31"/>
        <v>632279.97208333388</v>
      </c>
      <c r="P38" s="34">
        <f t="shared" si="32"/>
        <v>3454391.0995833362</v>
      </c>
      <c r="Q38" s="34">
        <f t="shared" si="33"/>
        <v>554402.23083333345</v>
      </c>
      <c r="R38" s="34">
        <f t="shared" si="34"/>
        <v>2095308.6845833336</v>
      </c>
      <c r="T38" s="34">
        <f t="shared" si="35"/>
        <v>4641073.3025000039</v>
      </c>
    </row>
    <row r="39" spans="2:21">
      <c r="B39" s="13">
        <v>29</v>
      </c>
    </row>
    <row r="40" spans="2:21" ht="16.2">
      <c r="B40" s="13">
        <v>30</v>
      </c>
      <c r="C40" s="6" t="s">
        <v>27</v>
      </c>
      <c r="D40" s="18"/>
      <c r="E40" s="30">
        <f>SUM(E26:E38)/13</f>
        <v>186362997.47892034</v>
      </c>
      <c r="F40" s="30">
        <f t="shared" ref="F40:L40" si="40">SUM(F26:F38)/13</f>
        <v>37906274.239743881</v>
      </c>
      <c r="G40" s="30">
        <f t="shared" ref="G40" si="41">SUM(G26:G38)/13</f>
        <v>4868047.8182051294</v>
      </c>
      <c r="H40" s="30">
        <f t="shared" si="40"/>
        <v>0</v>
      </c>
      <c r="I40" s="30">
        <f t="shared" si="40"/>
        <v>9029530.0955441315</v>
      </c>
      <c r="J40" s="30">
        <f t="shared" ref="J40" si="42">SUM(J26:J38)/13</f>
        <v>7823756.0975180231</v>
      </c>
      <c r="K40" s="30">
        <f t="shared" si="40"/>
        <v>0</v>
      </c>
      <c r="L40" s="30">
        <f t="shared" si="40"/>
        <v>245990605.7299315</v>
      </c>
      <c r="O40" s="30">
        <f t="shared" ref="O40:T40" si="43">SUM(O26:O38)/13</f>
        <v>569052.05958333355</v>
      </c>
      <c r="P40" s="30">
        <f t="shared" si="43"/>
        <v>2853498.7620833348</v>
      </c>
      <c r="Q40" s="30">
        <f t="shared" ref="Q40" si="44">SUM(Q26:Q38)/13</f>
        <v>379064.8058333334</v>
      </c>
      <c r="R40" s="30">
        <f t="shared" si="43"/>
        <v>1635484.2502884616</v>
      </c>
      <c r="T40" s="30">
        <f t="shared" si="43"/>
        <v>3801615.6275000018</v>
      </c>
      <c r="U40" s="31"/>
    </row>
    <row r="41" spans="2:21">
      <c r="C41" s="92" t="s">
        <v>190</v>
      </c>
      <c r="D41" s="92"/>
      <c r="E41" s="92" t="s">
        <v>196</v>
      </c>
      <c r="F41" s="92" t="s">
        <v>197</v>
      </c>
      <c r="G41" s="92" t="s">
        <v>231</v>
      </c>
      <c r="H41" s="92" t="s">
        <v>198</v>
      </c>
      <c r="I41" s="92" t="s">
        <v>199</v>
      </c>
      <c r="J41" s="92" t="s">
        <v>199</v>
      </c>
      <c r="K41" s="92" t="s">
        <v>200</v>
      </c>
      <c r="O41" s="92" t="s">
        <v>197</v>
      </c>
      <c r="P41" s="92" t="s">
        <v>231</v>
      </c>
      <c r="Q41" s="92" t="s">
        <v>231</v>
      </c>
      <c r="R41" s="92" t="s">
        <v>231</v>
      </c>
    </row>
    <row r="42" spans="2:21" ht="28.8">
      <c r="B42" s="8" t="s">
        <v>0</v>
      </c>
      <c r="C42" s="8" t="s">
        <v>32</v>
      </c>
      <c r="D42" s="8" t="s">
        <v>2</v>
      </c>
      <c r="E42" s="8" t="s">
        <v>23</v>
      </c>
      <c r="F42" s="8" t="s">
        <v>228</v>
      </c>
      <c r="G42" s="8" t="s">
        <v>229</v>
      </c>
      <c r="H42" s="8" t="s">
        <v>25</v>
      </c>
      <c r="I42" s="8" t="str">
        <f>I25</f>
        <v>General</v>
      </c>
      <c r="J42" s="8" t="str">
        <f>J25</f>
        <v>Intangible</v>
      </c>
      <c r="K42" s="8" t="s">
        <v>26</v>
      </c>
      <c r="L42" s="8" t="s">
        <v>33</v>
      </c>
      <c r="O42" s="8" t="s">
        <v>209</v>
      </c>
      <c r="P42" s="8" t="str">
        <f>P25</f>
        <v xml:space="preserve">Fargo 2 </v>
      </c>
      <c r="Q42" s="8" t="str">
        <f>Q25</f>
        <v>Fargo 3</v>
      </c>
      <c r="R42" s="8" t="str">
        <f>R25</f>
        <v>Brookings</v>
      </c>
      <c r="T42" s="145" t="s">
        <v>612</v>
      </c>
    </row>
    <row r="43" spans="2:21">
      <c r="B43" s="13">
        <v>31</v>
      </c>
      <c r="C43" s="10" t="s">
        <v>21</v>
      </c>
      <c r="D43" s="10">
        <f>$E$5-1</f>
        <v>2015</v>
      </c>
      <c r="E43" s="21">
        <f>E8-E26</f>
        <v>122308299.86338255</v>
      </c>
      <c r="F43" s="21">
        <f t="shared" ref="F43:L43" si="45">F8-F26</f>
        <v>36235662.565868989</v>
      </c>
      <c r="G43" s="21">
        <f t="shared" ref="G43" si="46">G8-G26</f>
        <v>95034739.874583334</v>
      </c>
      <c r="H43" s="21">
        <f t="shared" si="45"/>
        <v>0</v>
      </c>
      <c r="I43" s="21">
        <f t="shared" si="45"/>
        <v>8210699.3828176372</v>
      </c>
      <c r="J43" s="21">
        <f t="shared" ref="J43" si="47">J8-J26</f>
        <v>1517609.6559819756</v>
      </c>
      <c r="K43" s="21">
        <f t="shared" si="45"/>
        <v>0</v>
      </c>
      <c r="L43" s="21">
        <f t="shared" si="45"/>
        <v>263307011.3426345</v>
      </c>
      <c r="O43" s="21">
        <f t="shared" ref="O43:R43" si="48">O8-O26</f>
        <v>4552408.8529166663</v>
      </c>
      <c r="P43" s="21">
        <f t="shared" si="48"/>
        <v>45818780.575416669</v>
      </c>
      <c r="Q43" s="21">
        <f t="shared" ref="Q43" si="49">Q8-Q26</f>
        <v>13823266.619166667</v>
      </c>
      <c r="R43" s="21">
        <f t="shared" si="48"/>
        <v>35392692.68</v>
      </c>
      <c r="T43" s="21">
        <f t="shared" ref="T43:T54" si="50">T8-T26</f>
        <v>64194456.047499999</v>
      </c>
    </row>
    <row r="44" spans="2:21">
      <c r="B44" s="13">
        <v>32</v>
      </c>
      <c r="C44" s="14" t="s">
        <v>10</v>
      </c>
      <c r="D44" s="13">
        <f>$E$5</f>
        <v>2016</v>
      </c>
      <c r="E44" s="21">
        <f t="shared" ref="E44:L55" si="51">E9-E27</f>
        <v>124226323.47757888</v>
      </c>
      <c r="F44" s="21">
        <f t="shared" si="51"/>
        <v>36431889.311383478</v>
      </c>
      <c r="G44" s="21">
        <f t="shared" ref="G44" si="52">G9-G27</f>
        <v>94829180.247500002</v>
      </c>
      <c r="H44" s="21">
        <f t="shared" si="51"/>
        <v>0</v>
      </c>
      <c r="I44" s="21">
        <f t="shared" si="51"/>
        <v>8299139.6570554506</v>
      </c>
      <c r="J44" s="21">
        <f t="shared" ref="J44" si="53">J9-J27</f>
        <v>1509881.5303986426</v>
      </c>
      <c r="K44" s="21">
        <f t="shared" si="51"/>
        <v>0</v>
      </c>
      <c r="L44" s="21">
        <f t="shared" si="51"/>
        <v>265296414.22391644</v>
      </c>
      <c r="O44" s="21">
        <f t="shared" ref="O44:R44" si="54">O9-O27</f>
        <v>4541870.8674999997</v>
      </c>
      <c r="P44" s="21">
        <f t="shared" si="54"/>
        <v>45718631.852499999</v>
      </c>
      <c r="Q44" s="21">
        <f t="shared" ref="Q44" si="55">Q9-Q27</f>
        <v>13794043.715</v>
      </c>
      <c r="R44" s="21">
        <f t="shared" si="54"/>
        <v>35316504.68</v>
      </c>
      <c r="T44" s="21">
        <f t="shared" si="50"/>
        <v>64054546.435000002</v>
      </c>
    </row>
    <row r="45" spans="2:21" ht="15.6">
      <c r="B45" s="13">
        <v>33</v>
      </c>
      <c r="C45" s="15" t="s">
        <v>11</v>
      </c>
      <c r="D45" s="13">
        <f t="shared" ref="D45:D55" si="56">$E$5</f>
        <v>2016</v>
      </c>
      <c r="E45" s="21">
        <f t="shared" si="51"/>
        <v>126141542.99688971</v>
      </c>
      <c r="F45" s="21">
        <f t="shared" si="51"/>
        <v>36627787.172411628</v>
      </c>
      <c r="G45" s="21">
        <f t="shared" ref="G45" si="57">G10-G28</f>
        <v>94623620.620416671</v>
      </c>
      <c r="H45" s="21">
        <f t="shared" si="51"/>
        <v>0</v>
      </c>
      <c r="I45" s="21">
        <f t="shared" si="51"/>
        <v>8386969.1802119631</v>
      </c>
      <c r="J45" s="21">
        <f t="shared" ref="J45" si="58">J10-J28</f>
        <v>1502153.4048153097</v>
      </c>
      <c r="K45" s="21">
        <f t="shared" si="51"/>
        <v>0</v>
      </c>
      <c r="L45" s="21">
        <f t="shared" si="51"/>
        <v>267282073.37474531</v>
      </c>
      <c r="O45" s="21">
        <f t="shared" ref="O45:R45" si="59">O10-O28</f>
        <v>4531332.8820833331</v>
      </c>
      <c r="P45" s="21">
        <f t="shared" si="59"/>
        <v>45618483.129583329</v>
      </c>
      <c r="Q45" s="21">
        <f t="shared" ref="Q45" si="60">Q10-Q28</f>
        <v>13764820.810833333</v>
      </c>
      <c r="R45" s="21">
        <f t="shared" si="59"/>
        <v>35240316.68</v>
      </c>
      <c r="T45" s="21">
        <f t="shared" si="50"/>
        <v>63914636.822499998</v>
      </c>
    </row>
    <row r="46" spans="2:21" ht="15.6">
      <c r="B46" s="13">
        <v>34</v>
      </c>
      <c r="C46" s="15" t="s">
        <v>12</v>
      </c>
      <c r="D46" s="13">
        <f t="shared" si="56"/>
        <v>2016</v>
      </c>
      <c r="E46" s="21">
        <f t="shared" si="51"/>
        <v>128053958.42131504</v>
      </c>
      <c r="F46" s="21">
        <f t="shared" si="51"/>
        <v>36823356.148953423</v>
      </c>
      <c r="G46" s="21">
        <f t="shared" ref="G46" si="61">G11-G29</f>
        <v>94418060.99333334</v>
      </c>
      <c r="H46" s="21">
        <f t="shared" si="51"/>
        <v>0</v>
      </c>
      <c r="I46" s="21">
        <f t="shared" si="51"/>
        <v>8474187.9522871729</v>
      </c>
      <c r="J46" s="21">
        <f t="shared" ref="J46" si="62">J11-J29</f>
        <v>1494425.2792319767</v>
      </c>
      <c r="K46" s="21">
        <f t="shared" si="51"/>
        <v>0</v>
      </c>
      <c r="L46" s="21">
        <f t="shared" si="51"/>
        <v>269263988.79512101</v>
      </c>
      <c r="O46" s="21">
        <f t="shared" ref="O46:R46" si="63">O11-O29</f>
        <v>4520794.8966666665</v>
      </c>
      <c r="P46" s="21">
        <f t="shared" si="63"/>
        <v>45518334.406666666</v>
      </c>
      <c r="Q46" s="21">
        <f t="shared" ref="Q46" si="64">Q11-Q29</f>
        <v>13735597.906666666</v>
      </c>
      <c r="R46" s="21">
        <f t="shared" si="63"/>
        <v>35164128.68</v>
      </c>
      <c r="T46" s="21">
        <f t="shared" si="50"/>
        <v>63774727.210000001</v>
      </c>
    </row>
    <row r="47" spans="2:21" ht="15.6">
      <c r="B47" s="13">
        <v>35</v>
      </c>
      <c r="C47" s="15" t="s">
        <v>13</v>
      </c>
      <c r="D47" s="13">
        <f t="shared" si="56"/>
        <v>2016</v>
      </c>
      <c r="E47" s="21">
        <f t="shared" si="51"/>
        <v>129963569.75085488</v>
      </c>
      <c r="F47" s="21">
        <f t="shared" si="51"/>
        <v>37018596.241008848</v>
      </c>
      <c r="G47" s="21">
        <f t="shared" ref="G47" si="65">G12-G30</f>
        <v>94212501.366249993</v>
      </c>
      <c r="H47" s="21">
        <f t="shared" si="51"/>
        <v>0</v>
      </c>
      <c r="I47" s="21">
        <f t="shared" si="51"/>
        <v>8560795.9732810799</v>
      </c>
      <c r="J47" s="21">
        <f t="shared" ref="J47" si="66">J12-J30</f>
        <v>1486697.1536486438</v>
      </c>
      <c r="K47" s="21">
        <f t="shared" si="51"/>
        <v>0</v>
      </c>
      <c r="L47" s="21">
        <f t="shared" si="51"/>
        <v>271242160.48504353</v>
      </c>
      <c r="O47" s="21">
        <f t="shared" ref="O47:R47" si="67">O12-O30</f>
        <v>4510256.9112499999</v>
      </c>
      <c r="P47" s="21">
        <f t="shared" si="67"/>
        <v>45418185.683749996</v>
      </c>
      <c r="Q47" s="21">
        <f t="shared" ref="Q47" si="68">Q12-Q30</f>
        <v>13706375.002499999</v>
      </c>
      <c r="R47" s="21">
        <f t="shared" si="67"/>
        <v>35087940.68</v>
      </c>
      <c r="T47" s="21">
        <f t="shared" si="50"/>
        <v>63634817.597499996</v>
      </c>
    </row>
    <row r="48" spans="2:21" ht="15.6">
      <c r="B48" s="13">
        <v>36</v>
      </c>
      <c r="C48" s="15" t="s">
        <v>14</v>
      </c>
      <c r="D48" s="13">
        <f t="shared" si="56"/>
        <v>2016</v>
      </c>
      <c r="E48" s="21">
        <f t="shared" si="51"/>
        <v>131870376.98550922</v>
      </c>
      <c r="F48" s="21">
        <f t="shared" si="51"/>
        <v>37213507.448577918</v>
      </c>
      <c r="G48" s="21">
        <f t="shared" ref="G48" si="69">G13-G31</f>
        <v>94006941.739166662</v>
      </c>
      <c r="H48" s="21">
        <f t="shared" si="51"/>
        <v>0</v>
      </c>
      <c r="I48" s="21">
        <f t="shared" si="51"/>
        <v>8646793.2431936841</v>
      </c>
      <c r="J48" s="21">
        <f t="shared" ref="J48" si="70">J13-J31</f>
        <v>1478969.0280653108</v>
      </c>
      <c r="K48" s="21">
        <f t="shared" si="51"/>
        <v>0</v>
      </c>
      <c r="L48" s="21">
        <f t="shared" si="51"/>
        <v>273216588.44451284</v>
      </c>
      <c r="O48" s="21">
        <f t="shared" ref="O48:R48" si="71">O13-O31</f>
        <v>4499718.9258333333</v>
      </c>
      <c r="P48" s="21">
        <f t="shared" si="71"/>
        <v>45318036.960833333</v>
      </c>
      <c r="Q48" s="21">
        <f t="shared" ref="Q48" si="72">Q13-Q31</f>
        <v>13677152.098333333</v>
      </c>
      <c r="R48" s="21">
        <f t="shared" si="71"/>
        <v>35011752.68</v>
      </c>
      <c r="T48" s="21">
        <f t="shared" si="50"/>
        <v>63494907.984999999</v>
      </c>
    </row>
    <row r="49" spans="2:21" ht="15.6">
      <c r="B49" s="13">
        <v>37</v>
      </c>
      <c r="C49" s="15" t="s">
        <v>15</v>
      </c>
      <c r="D49" s="13">
        <f t="shared" si="56"/>
        <v>2016</v>
      </c>
      <c r="E49" s="21">
        <f t="shared" si="51"/>
        <v>133774380.12527806</v>
      </c>
      <c r="F49" s="21">
        <f t="shared" si="51"/>
        <v>37408089.771660641</v>
      </c>
      <c r="G49" s="21">
        <f t="shared" ref="G49" si="73">G14-G32</f>
        <v>93801382.112083331</v>
      </c>
      <c r="H49" s="21">
        <f t="shared" si="51"/>
        <v>0</v>
      </c>
      <c r="I49" s="21">
        <f t="shared" si="51"/>
        <v>8732179.7620249856</v>
      </c>
      <c r="J49" s="21">
        <f t="shared" ref="J49" si="74">J14-J32</f>
        <v>1471240.9024819778</v>
      </c>
      <c r="K49" s="21">
        <f t="shared" si="51"/>
        <v>0</v>
      </c>
      <c r="L49" s="21">
        <f t="shared" si="51"/>
        <v>275187272.67352903</v>
      </c>
      <c r="O49" s="21">
        <f t="shared" ref="O49:R49" si="75">O14-O32</f>
        <v>4489180.9404166667</v>
      </c>
      <c r="P49" s="21">
        <f t="shared" si="75"/>
        <v>45217888.237916663</v>
      </c>
      <c r="Q49" s="21">
        <f t="shared" ref="Q49" si="76">Q14-Q32</f>
        <v>13647929.194166666</v>
      </c>
      <c r="R49" s="21">
        <f t="shared" si="75"/>
        <v>34935564.68</v>
      </c>
      <c r="T49" s="21">
        <f t="shared" si="50"/>
        <v>63354998.372500002</v>
      </c>
    </row>
    <row r="50" spans="2:21" ht="15.6">
      <c r="B50" s="13">
        <v>38</v>
      </c>
      <c r="C50" s="15" t="s">
        <v>16</v>
      </c>
      <c r="D50" s="13">
        <f t="shared" si="56"/>
        <v>2016</v>
      </c>
      <c r="E50" s="21">
        <f t="shared" si="51"/>
        <v>135675579.1701614</v>
      </c>
      <c r="F50" s="21">
        <f t="shared" si="51"/>
        <v>37602343.210257009</v>
      </c>
      <c r="G50" s="21">
        <f t="shared" ref="G50" si="77">G15-G33</f>
        <v>93932337.484999999</v>
      </c>
      <c r="H50" s="21">
        <f t="shared" si="51"/>
        <v>0</v>
      </c>
      <c r="I50" s="21">
        <f t="shared" si="51"/>
        <v>8816955.5297749862</v>
      </c>
      <c r="J50" s="21">
        <f t="shared" ref="J50" si="78">J15-J33</f>
        <v>1463512.7768986449</v>
      </c>
      <c r="K50" s="21">
        <f t="shared" si="51"/>
        <v>0</v>
      </c>
      <c r="L50" s="21">
        <f t="shared" si="51"/>
        <v>277490728.17209208</v>
      </c>
      <c r="O50" s="21">
        <f t="shared" ref="O50:R50" si="79">O15-O33</f>
        <v>4478642.9550000001</v>
      </c>
      <c r="P50" s="21">
        <f t="shared" si="79"/>
        <v>45117739.515000001</v>
      </c>
      <c r="Q50" s="21">
        <f t="shared" ref="Q50" si="80">Q15-Q33</f>
        <v>13618706.289999999</v>
      </c>
      <c r="R50" s="21">
        <f t="shared" si="79"/>
        <v>35195891.68</v>
      </c>
      <c r="T50" s="21">
        <f t="shared" si="50"/>
        <v>63215088.759999998</v>
      </c>
    </row>
    <row r="51" spans="2:21" ht="15.6">
      <c r="B51" s="13">
        <v>39</v>
      </c>
      <c r="C51" s="15" t="s">
        <v>17</v>
      </c>
      <c r="D51" s="13">
        <f t="shared" si="56"/>
        <v>2016</v>
      </c>
      <c r="E51" s="21">
        <f t="shared" si="51"/>
        <v>137573974.12015924</v>
      </c>
      <c r="F51" s="21">
        <f t="shared" si="51"/>
        <v>37796267.764367007</v>
      </c>
      <c r="G51" s="21">
        <f t="shared" ref="G51" si="81">G16-G34</f>
        <v>93726076.784999996</v>
      </c>
      <c r="H51" s="21">
        <f t="shared" si="51"/>
        <v>0</v>
      </c>
      <c r="I51" s="21">
        <f t="shared" si="51"/>
        <v>8901120.546443684</v>
      </c>
      <c r="J51" s="21">
        <f t="shared" ref="J51" si="82">J16-J34</f>
        <v>1455784.6513153119</v>
      </c>
      <c r="K51" s="21">
        <f t="shared" si="51"/>
        <v>0</v>
      </c>
      <c r="L51" s="21">
        <f t="shared" si="51"/>
        <v>279453223.86728525</v>
      </c>
      <c r="O51" s="21">
        <f t="shared" ref="O51:R51" si="83">O16-O34</f>
        <v>4468104.9695833325</v>
      </c>
      <c r="P51" s="21">
        <f t="shared" si="83"/>
        <v>45017590.79208333</v>
      </c>
      <c r="Q51" s="21">
        <f t="shared" ref="Q51" si="84">Q16-Q34</f>
        <v>13589483.385833334</v>
      </c>
      <c r="R51" s="21">
        <f t="shared" si="83"/>
        <v>35119002.607083336</v>
      </c>
      <c r="T51" s="21">
        <f t="shared" si="50"/>
        <v>63075179.147500001</v>
      </c>
    </row>
    <row r="52" spans="2:21" ht="15.6">
      <c r="B52" s="13">
        <v>40</v>
      </c>
      <c r="C52" s="15" t="s">
        <v>18</v>
      </c>
      <c r="D52" s="13">
        <f t="shared" si="56"/>
        <v>2016</v>
      </c>
      <c r="E52" s="21">
        <f t="shared" si="51"/>
        <v>139469564.97527158</v>
      </c>
      <c r="F52" s="21">
        <f t="shared" si="51"/>
        <v>37989863.43399065</v>
      </c>
      <c r="G52" s="21">
        <f t="shared" ref="G52" si="85">G17-G35</f>
        <v>93519816.084999993</v>
      </c>
      <c r="H52" s="21">
        <f t="shared" si="51"/>
        <v>0</v>
      </c>
      <c r="I52" s="21">
        <f t="shared" si="51"/>
        <v>8984674.8120310791</v>
      </c>
      <c r="J52" s="21">
        <f t="shared" ref="J52" si="86">J17-J35</f>
        <v>1448056.5257319789</v>
      </c>
      <c r="K52" s="21">
        <f t="shared" si="51"/>
        <v>0</v>
      </c>
      <c r="L52" s="21">
        <f t="shared" si="51"/>
        <v>281411975.83202535</v>
      </c>
      <c r="O52" s="21">
        <f t="shared" ref="O52:R52" si="87">O17-O35</f>
        <v>4457566.9841666659</v>
      </c>
      <c r="P52" s="21">
        <f t="shared" si="87"/>
        <v>44917442.069166668</v>
      </c>
      <c r="Q52" s="21">
        <f t="shared" ref="Q52" si="88">Q17-Q35</f>
        <v>13560260.481666667</v>
      </c>
      <c r="R52" s="21">
        <f t="shared" si="87"/>
        <v>35042113.534166664</v>
      </c>
      <c r="T52" s="21">
        <f t="shared" si="50"/>
        <v>62935269.534999996</v>
      </c>
    </row>
    <row r="53" spans="2:21" ht="15.6">
      <c r="B53" s="13">
        <v>41</v>
      </c>
      <c r="C53" s="15" t="s">
        <v>19</v>
      </c>
      <c r="D53" s="13">
        <f t="shared" si="56"/>
        <v>2016</v>
      </c>
      <c r="E53" s="21">
        <f t="shared" si="51"/>
        <v>141362351.73549843</v>
      </c>
      <c r="F53" s="21">
        <f t="shared" si="51"/>
        <v>38183130.219127953</v>
      </c>
      <c r="G53" s="21">
        <f t="shared" ref="G53" si="89">G18-G36</f>
        <v>93313555.38499999</v>
      </c>
      <c r="H53" s="21">
        <f t="shared" si="51"/>
        <v>0</v>
      </c>
      <c r="I53" s="21">
        <f t="shared" si="51"/>
        <v>9067618.3265371714</v>
      </c>
      <c r="J53" s="21">
        <f t="shared" ref="J53" si="90">J18-J36</f>
        <v>1440328.400148646</v>
      </c>
      <c r="K53" s="21">
        <f t="shared" si="51"/>
        <v>0</v>
      </c>
      <c r="L53" s="21">
        <f t="shared" si="51"/>
        <v>283366984.06631219</v>
      </c>
      <c r="O53" s="21">
        <f t="shared" ref="O53:R53" si="91">O18-O36</f>
        <v>4447028.9987499993</v>
      </c>
      <c r="P53" s="21">
        <f t="shared" si="91"/>
        <v>44817293.346249998</v>
      </c>
      <c r="Q53" s="21">
        <f t="shared" ref="Q53" si="92">Q18-Q36</f>
        <v>13531037.577500001</v>
      </c>
      <c r="R53" s="21">
        <f t="shared" si="91"/>
        <v>34965224.46125</v>
      </c>
      <c r="T53" s="21">
        <f t="shared" si="50"/>
        <v>62795359.922499999</v>
      </c>
    </row>
    <row r="54" spans="2:21" ht="15.6">
      <c r="B54" s="13">
        <v>42</v>
      </c>
      <c r="C54" s="15" t="s">
        <v>20</v>
      </c>
      <c r="D54" s="13">
        <f t="shared" si="56"/>
        <v>2016</v>
      </c>
      <c r="E54" s="21">
        <f t="shared" si="51"/>
        <v>143252334.40083978</v>
      </c>
      <c r="F54" s="21">
        <f t="shared" si="51"/>
        <v>38376068.119778894</v>
      </c>
      <c r="G54" s="21">
        <f t="shared" ref="G54" si="93">G19-G37</f>
        <v>93107294.685000002</v>
      </c>
      <c r="H54" s="21">
        <f t="shared" si="51"/>
        <v>0</v>
      </c>
      <c r="I54" s="21">
        <f t="shared" si="51"/>
        <v>9149951.0899619628</v>
      </c>
      <c r="J54" s="21">
        <f t="shared" ref="J54" si="94">J19-J37</f>
        <v>1432600.274565313</v>
      </c>
      <c r="K54" s="21">
        <f t="shared" si="51"/>
        <v>0</v>
      </c>
      <c r="L54" s="21">
        <f t="shared" si="51"/>
        <v>285318248.57014596</v>
      </c>
      <c r="O54" s="21">
        <f t="shared" ref="O54:R54" si="95">O19-O37</f>
        <v>4436491.0133333327</v>
      </c>
      <c r="P54" s="21">
        <f t="shared" si="95"/>
        <v>44717144.623333327</v>
      </c>
      <c r="Q54" s="21">
        <f t="shared" ref="Q54" si="96">Q19-Q37</f>
        <v>13501814.673333334</v>
      </c>
      <c r="R54" s="21">
        <f t="shared" si="95"/>
        <v>34888335.388333336</v>
      </c>
      <c r="T54" s="21">
        <f t="shared" si="50"/>
        <v>62655450.309999995</v>
      </c>
    </row>
    <row r="55" spans="2:21" ht="15.6">
      <c r="B55" s="13">
        <v>43</v>
      </c>
      <c r="C55" s="15" t="s">
        <v>21</v>
      </c>
      <c r="D55" s="13">
        <f t="shared" si="56"/>
        <v>2016</v>
      </c>
      <c r="E55" s="22">
        <f t="shared" si="51"/>
        <v>145139512.97129562</v>
      </c>
      <c r="F55" s="22">
        <f t="shared" si="51"/>
        <v>38568677.135943465</v>
      </c>
      <c r="G55" s="22">
        <f>G20-G38</f>
        <v>92901033.984999999</v>
      </c>
      <c r="H55" s="22">
        <f t="shared" si="51"/>
        <v>0</v>
      </c>
      <c r="I55" s="22">
        <f t="shared" si="51"/>
        <v>9231673.1023054514</v>
      </c>
      <c r="J55" s="22">
        <f t="shared" ref="J55" si="97">J20-J38</f>
        <v>1424872.14898198</v>
      </c>
      <c r="K55" s="22">
        <f t="shared" si="51"/>
        <v>0</v>
      </c>
      <c r="L55" s="22">
        <f t="shared" si="51"/>
        <v>287265769.34352654</v>
      </c>
      <c r="O55" s="22">
        <f t="shared" ref="O55:R55" si="98">O20-O38</f>
        <v>4425953.0279166661</v>
      </c>
      <c r="P55" s="22">
        <f>P20-P38</f>
        <v>44616995.900416665</v>
      </c>
      <c r="Q55" s="22">
        <f>Q20-Q38</f>
        <v>13472591.769166667</v>
      </c>
      <c r="R55" s="22">
        <f t="shared" si="98"/>
        <v>34811446.315416664</v>
      </c>
      <c r="T55" s="22">
        <f>T20-T38</f>
        <v>62515540.697499998</v>
      </c>
    </row>
    <row r="56" spans="2:21">
      <c r="B56" s="13">
        <v>44</v>
      </c>
    </row>
    <row r="57" spans="2:21" ht="16.2">
      <c r="B57" s="13">
        <v>45</v>
      </c>
      <c r="C57" s="6" t="s">
        <v>27</v>
      </c>
      <c r="D57" s="18"/>
      <c r="E57" s="30">
        <f>SUM(E43:E55)/13</f>
        <v>133754751.46107958</v>
      </c>
      <c r="F57" s="30">
        <f t="shared" ref="F57:L57" si="99">SUM(F43:F55)/13</f>
        <v>37405787.580256142</v>
      </c>
      <c r="G57" s="30">
        <f t="shared" ref="G57" si="100">SUM(G43:G55)/13</f>
        <v>93955887.797179475</v>
      </c>
      <c r="H57" s="30">
        <f t="shared" si="99"/>
        <v>0</v>
      </c>
      <c r="I57" s="30">
        <f t="shared" si="99"/>
        <v>8727904.50445587</v>
      </c>
      <c r="J57" s="30">
        <f t="shared" ref="J57" si="101">SUM(J43:J55)/13</f>
        <v>1471240.9024819781</v>
      </c>
      <c r="K57" s="30">
        <f t="shared" si="99"/>
        <v>0</v>
      </c>
      <c r="L57" s="30">
        <f t="shared" si="99"/>
        <v>275315572.24545312</v>
      </c>
      <c r="O57" s="30">
        <f t="shared" ref="O57:R57" si="102">SUM(O43:O55)/13</f>
        <v>4489180.9404166676</v>
      </c>
      <c r="P57" s="30">
        <f t="shared" si="102"/>
        <v>45217888.237916656</v>
      </c>
      <c r="Q57" s="30">
        <f t="shared" ref="Q57" si="103">SUM(Q43:Q55)/13</f>
        <v>13647929.194166668</v>
      </c>
      <c r="R57" s="30">
        <f t="shared" si="102"/>
        <v>35090070.365096144</v>
      </c>
      <c r="T57" s="30">
        <f t="shared" ref="T57" si="104">SUM(T43:T55)/13</f>
        <v>63354998.372499995</v>
      </c>
    </row>
    <row r="58" spans="2:21" ht="16.2">
      <c r="P58" s="31"/>
      <c r="Q58" s="30">
        <f>Q57+CWIP!E22+CWIP!F22+O57+P57</f>
        <v>63354998.372499987</v>
      </c>
      <c r="R58" s="30">
        <f>R57+CWIP!G22</f>
        <v>35167727.672788449</v>
      </c>
    </row>
    <row r="59" spans="2:21" ht="26.4" customHeight="1">
      <c r="C59" s="5" t="s">
        <v>88</v>
      </c>
      <c r="E59" s="37">
        <f>E60/12</f>
        <v>1.223044352939172E-3</v>
      </c>
      <c r="F59" s="37">
        <f>F60/12</f>
        <v>1.1659838094308305E-3</v>
      </c>
      <c r="G59" s="37"/>
      <c r="H59" s="38"/>
      <c r="I59" s="37"/>
      <c r="J59" s="37"/>
      <c r="O59" s="37"/>
    </row>
    <row r="60" spans="2:21">
      <c r="C60" s="5" t="s">
        <v>89</v>
      </c>
      <c r="E60" s="37">
        <f>Q81</f>
        <v>1.4676532235270065E-2</v>
      </c>
      <c r="F60" s="37">
        <f>SUM(S69:S71)/SUM(I69:I71)</f>
        <v>1.3991805713169967E-2</v>
      </c>
      <c r="G60" s="37"/>
      <c r="H60" s="38"/>
      <c r="I60" s="37"/>
      <c r="J60" s="37"/>
      <c r="P60" s="31"/>
    </row>
    <row r="61" spans="2:21" ht="16.2">
      <c r="E61" s="39">
        <f>E60*E22</f>
        <v>4698218.4613999994</v>
      </c>
      <c r="F61" s="39">
        <f>F60*F22</f>
        <v>1053751.7368436861</v>
      </c>
      <c r="G61" s="39"/>
      <c r="H61" s="39">
        <f t="shared" ref="H61:K61" si="105">H60*H22</f>
        <v>0</v>
      </c>
      <c r="I61" s="39">
        <f t="shared" si="105"/>
        <v>0</v>
      </c>
      <c r="J61" s="39">
        <f t="shared" si="105"/>
        <v>0</v>
      </c>
      <c r="K61" s="39">
        <f t="shared" si="105"/>
        <v>0</v>
      </c>
      <c r="L61" s="39">
        <f>SUM(E61:K61)</f>
        <v>5751970.1982436851</v>
      </c>
      <c r="O61" s="132" t="s">
        <v>240</v>
      </c>
      <c r="P61" s="131">
        <v>5</v>
      </c>
      <c r="S61" s="130" t="s">
        <v>239</v>
      </c>
      <c r="T61" s="128">
        <f>S62-1</f>
        <v>2015</v>
      </c>
    </row>
    <row r="62" spans="2:21" ht="16.2">
      <c r="E62" s="376" t="s">
        <v>642</v>
      </c>
      <c r="F62" s="376"/>
      <c r="G62" s="377" t="s">
        <v>639</v>
      </c>
      <c r="H62" s="377"/>
      <c r="I62" s="376" t="s">
        <v>640</v>
      </c>
      <c r="J62" s="376"/>
      <c r="K62" s="376" t="s">
        <v>641</v>
      </c>
      <c r="L62" s="376"/>
      <c r="M62" s="376" t="s">
        <v>109</v>
      </c>
      <c r="N62" s="376"/>
      <c r="O62" s="376" t="s">
        <v>643</v>
      </c>
      <c r="P62" s="376"/>
      <c r="Q62" s="376" t="s">
        <v>226</v>
      </c>
      <c r="R62" s="376"/>
      <c r="S62" s="108">
        <f>Coversheet!E5</f>
        <v>2016</v>
      </c>
      <c r="T62" s="128" t="s">
        <v>243</v>
      </c>
    </row>
    <row r="63" spans="2:21" ht="16.2">
      <c r="E63" s="35" t="s">
        <v>85</v>
      </c>
      <c r="F63" s="36" t="s">
        <v>86</v>
      </c>
      <c r="G63" s="35" t="s">
        <v>85</v>
      </c>
      <c r="H63" s="36" t="s">
        <v>86</v>
      </c>
      <c r="I63" s="35" t="s">
        <v>213</v>
      </c>
      <c r="J63" s="36" t="s">
        <v>214</v>
      </c>
      <c r="K63" s="35" t="s">
        <v>213</v>
      </c>
      <c r="L63" s="36" t="s">
        <v>214</v>
      </c>
      <c r="M63" s="35" t="s">
        <v>213</v>
      </c>
      <c r="N63" s="36" t="s">
        <v>214</v>
      </c>
      <c r="O63" s="35" t="s">
        <v>213</v>
      </c>
      <c r="P63" s="36" t="s">
        <v>214</v>
      </c>
      <c r="Q63" s="108" t="s">
        <v>221</v>
      </c>
      <c r="R63" s="108" t="s">
        <v>227</v>
      </c>
      <c r="S63" s="108" t="s">
        <v>225</v>
      </c>
      <c r="T63" s="128" t="s">
        <v>242</v>
      </c>
    </row>
    <row r="64" spans="2:21">
      <c r="C64" s="5" t="s">
        <v>78</v>
      </c>
      <c r="E64" s="21">
        <f>4978881+1502558-M64</f>
        <v>6128848.939999938</v>
      </c>
      <c r="F64" s="106">
        <f>E64/P$61</f>
        <v>1225769.7879999876</v>
      </c>
      <c r="G64" s="21">
        <f>20775752+2426855</f>
        <v>23202607</v>
      </c>
      <c r="H64" s="31">
        <f>G64/12</f>
        <v>1933550.5833333333</v>
      </c>
      <c r="I64" s="123">
        <f>244371082-I70-I69-I79-I77</f>
        <v>196727025.50000003</v>
      </c>
      <c r="J64" s="123">
        <v>140909368.21000001</v>
      </c>
      <c r="K64" s="21">
        <v>196374435.43999997</v>
      </c>
      <c r="L64" s="21">
        <v>139763472</v>
      </c>
      <c r="M64" s="31">
        <f>I64-K64</f>
        <v>352590.06000006199</v>
      </c>
      <c r="N64" s="31">
        <f>J64-L64</f>
        <v>1145896.2100000083</v>
      </c>
      <c r="O64" s="21">
        <f>I64+E64</f>
        <v>202855874.43999997</v>
      </c>
      <c r="P64" s="21">
        <f t="shared" ref="P64:P72" si="106">J64+(I64*Q64*P$61/12)</f>
        <v>141729064.14958334</v>
      </c>
      <c r="Q64" s="110">
        <v>0.01</v>
      </c>
      <c r="R64" s="110">
        <f>Q64/12</f>
        <v>8.3333333333333339E-4</v>
      </c>
      <c r="S64" s="111">
        <f>Q64*O64+Q64*G64/2</f>
        <v>2144571.7793999999</v>
      </c>
      <c r="T64" s="31">
        <f>P64-L64</f>
        <v>1965592.1495833397</v>
      </c>
      <c r="U64" s="110">
        <f>S64/T64-1</f>
        <v>9.1056341395441498E-2</v>
      </c>
    </row>
    <row r="65" spans="3:21">
      <c r="C65" s="5" t="s">
        <v>79</v>
      </c>
      <c r="E65" s="21">
        <v>0</v>
      </c>
      <c r="F65" s="106">
        <f t="shared" ref="F65:F76" si="107">E65/P$61</f>
        <v>0</v>
      </c>
      <c r="G65" s="21">
        <v>0</v>
      </c>
      <c r="H65" s="31">
        <f t="shared" ref="H65:H71" si="108">G65/12</f>
        <v>0</v>
      </c>
      <c r="I65" s="123">
        <v>3548807</v>
      </c>
      <c r="J65" s="123">
        <v>1920878.23</v>
      </c>
      <c r="K65" s="21">
        <v>3548807</v>
      </c>
      <c r="L65" s="21">
        <v>1809091</v>
      </c>
      <c r="M65" s="31">
        <f t="shared" ref="M65:M78" si="109">I65-K65</f>
        <v>0</v>
      </c>
      <c r="N65" s="31">
        <f t="shared" ref="N65:N78" si="110">J65-L65</f>
        <v>111787.22999999998</v>
      </c>
      <c r="O65" s="21">
        <f t="shared" ref="O65:O79" si="111">I65+E65</f>
        <v>3548807</v>
      </c>
      <c r="P65" s="21">
        <f t="shared" si="106"/>
        <v>2000726.3875</v>
      </c>
      <c r="Q65" s="110">
        <v>5.3999999999999999E-2</v>
      </c>
      <c r="R65" s="110">
        <f t="shared" ref="R65:R84" si="112">Q65/12</f>
        <v>4.4999999999999997E-3</v>
      </c>
      <c r="S65" s="111">
        <f t="shared" ref="S65:S77" si="113">Q65*O65+Q65*G65/2</f>
        <v>191635.57800000001</v>
      </c>
      <c r="T65" s="31">
        <f t="shared" ref="T65:T79" si="114">P65-L65</f>
        <v>191635.38749999995</v>
      </c>
      <c r="U65" s="110">
        <f t="shared" ref="U65:U84" si="115">S65/T65-1</f>
        <v>9.9407527254236072E-7</v>
      </c>
    </row>
    <row r="66" spans="3:21">
      <c r="C66" s="5" t="s">
        <v>80</v>
      </c>
      <c r="E66" s="21">
        <f>0-M66</f>
        <v>0</v>
      </c>
      <c r="F66" s="106">
        <f t="shared" si="107"/>
        <v>0</v>
      </c>
      <c r="G66" s="21">
        <v>0</v>
      </c>
      <c r="H66" s="31">
        <f t="shared" si="108"/>
        <v>0</v>
      </c>
      <c r="I66" s="123">
        <v>17835630</v>
      </c>
      <c r="J66" s="123">
        <v>16323773.710000001</v>
      </c>
      <c r="K66" s="21">
        <f>17635630+200000</f>
        <v>17835630</v>
      </c>
      <c r="L66" s="21">
        <v>16241474</v>
      </c>
      <c r="M66" s="31">
        <f t="shared" si="109"/>
        <v>0</v>
      </c>
      <c r="N66" s="31">
        <f t="shared" si="110"/>
        <v>82299.710000000894</v>
      </c>
      <c r="O66" s="21">
        <f t="shared" si="111"/>
        <v>17835630</v>
      </c>
      <c r="P66" s="21">
        <f t="shared" si="106"/>
        <v>16383225.810000001</v>
      </c>
      <c r="Q66" s="110">
        <v>8.0000000000000002E-3</v>
      </c>
      <c r="R66" s="110">
        <f t="shared" si="112"/>
        <v>6.6666666666666664E-4</v>
      </c>
      <c r="S66" s="111">
        <f t="shared" si="113"/>
        <v>142685.04</v>
      </c>
      <c r="T66" s="31">
        <f t="shared" si="114"/>
        <v>141751.81000000052</v>
      </c>
      <c r="U66" s="110">
        <f t="shared" si="115"/>
        <v>6.5835490918915163E-3</v>
      </c>
    </row>
    <row r="67" spans="3:21">
      <c r="C67" s="5" t="s">
        <v>81</v>
      </c>
      <c r="E67" s="21">
        <f>550000-M67</f>
        <v>550000</v>
      </c>
      <c r="F67" s="106">
        <f t="shared" si="107"/>
        <v>110000</v>
      </c>
      <c r="G67" s="21">
        <f>3310000+1000000</f>
        <v>4310000</v>
      </c>
      <c r="H67" s="31">
        <f t="shared" si="108"/>
        <v>359166.66666666669</v>
      </c>
      <c r="I67" s="123">
        <v>79560664</v>
      </c>
      <c r="J67" s="123">
        <v>22457181.780000001</v>
      </c>
      <c r="K67" s="21">
        <f>79552107+8557</f>
        <v>79560664</v>
      </c>
      <c r="L67" s="21">
        <v>21250512</v>
      </c>
      <c r="M67" s="31">
        <f t="shared" si="109"/>
        <v>0</v>
      </c>
      <c r="N67" s="31">
        <f t="shared" si="110"/>
        <v>1206669.7800000012</v>
      </c>
      <c r="O67" s="21">
        <f t="shared" si="111"/>
        <v>80110664</v>
      </c>
      <c r="P67" s="21">
        <f t="shared" si="106"/>
        <v>23319088.973333336</v>
      </c>
      <c r="Q67" s="110">
        <v>2.5999999999999999E-2</v>
      </c>
      <c r="R67" s="110">
        <f t="shared" si="112"/>
        <v>2.1666666666666666E-3</v>
      </c>
      <c r="S67" s="111">
        <f t="shared" si="113"/>
        <v>2138907.264</v>
      </c>
      <c r="T67" s="31">
        <f t="shared" si="114"/>
        <v>2068576.9733333364</v>
      </c>
      <c r="U67" s="110">
        <f t="shared" si="115"/>
        <v>3.3999358773356247E-2</v>
      </c>
    </row>
    <row r="68" spans="3:21">
      <c r="C68" s="5" t="s">
        <v>215</v>
      </c>
      <c r="I68" s="123">
        <v>2010470</v>
      </c>
      <c r="J68" s="123">
        <v>609318.11</v>
      </c>
      <c r="K68" s="21">
        <v>2010470</v>
      </c>
      <c r="L68" s="21">
        <v>562407</v>
      </c>
      <c r="M68" s="31">
        <f>I68-K68</f>
        <v>0</v>
      </c>
      <c r="N68" s="31">
        <f>J68-L68</f>
        <v>46911.109999999986</v>
      </c>
      <c r="O68" s="21">
        <f>I68+E68</f>
        <v>2010470</v>
      </c>
      <c r="P68" s="21">
        <f>J68+(I68*Q68*P$61/12)</f>
        <v>642825.94333333336</v>
      </c>
      <c r="Q68" s="110">
        <v>0.04</v>
      </c>
      <c r="R68" s="110">
        <f>Q68/12</f>
        <v>3.3333333333333335E-3</v>
      </c>
      <c r="S68" s="111">
        <f>Q68*O68+Q68*G68/2</f>
        <v>80418.8</v>
      </c>
      <c r="T68" s="31">
        <f>P68-L68</f>
        <v>80418.943333333358</v>
      </c>
      <c r="U68" s="110">
        <f>S68/T68-1</f>
        <v>-1.7823329605537452E-6</v>
      </c>
    </row>
    <row r="69" spans="3:21">
      <c r="C69" s="5" t="s">
        <v>82</v>
      </c>
      <c r="E69" s="21">
        <f>-M69</f>
        <v>0</v>
      </c>
      <c r="F69" s="106">
        <f t="shared" si="107"/>
        <v>0</v>
      </c>
      <c r="G69" s="21">
        <v>0</v>
      </c>
      <c r="H69" s="31">
        <f t="shared" si="108"/>
        <v>0</v>
      </c>
      <c r="I69" s="123">
        <v>2520370</v>
      </c>
      <c r="J69" s="123">
        <v>1139655.69</v>
      </c>
      <c r="K69" s="21">
        <v>2520370</v>
      </c>
      <c r="L69" s="21">
        <v>1120543</v>
      </c>
      <c r="M69" s="31">
        <f t="shared" si="109"/>
        <v>0</v>
      </c>
      <c r="N69" s="31">
        <f t="shared" si="110"/>
        <v>19112.689999999944</v>
      </c>
      <c r="O69" s="21">
        <f t="shared" si="111"/>
        <v>2520370</v>
      </c>
      <c r="P69" s="21">
        <f t="shared" si="106"/>
        <v>1153307.6941666666</v>
      </c>
      <c r="Q69" s="110">
        <v>1.2999999999999999E-2</v>
      </c>
      <c r="R69" s="110">
        <f t="shared" si="112"/>
        <v>1.0833333333333333E-3</v>
      </c>
      <c r="S69" s="111">
        <f t="shared" si="113"/>
        <v>32764.809999999998</v>
      </c>
      <c r="T69" s="31">
        <f t="shared" si="114"/>
        <v>32764.694166666595</v>
      </c>
      <c r="U69" s="110">
        <f t="shared" si="115"/>
        <v>3.5353094649526184E-6</v>
      </c>
    </row>
    <row r="70" spans="3:21">
      <c r="C70" s="5" t="s">
        <v>83</v>
      </c>
      <c r="E70" s="21">
        <f>405343+227286-M70</f>
        <v>152400.91000000015</v>
      </c>
      <c r="F70" s="31">
        <f t="shared" si="107"/>
        <v>30480.18200000003</v>
      </c>
      <c r="G70" s="21">
        <f>222839+1301954</f>
        <v>1524793</v>
      </c>
      <c r="H70" s="31">
        <f t="shared" si="108"/>
        <v>127066.08333333333</v>
      </c>
      <c r="I70" s="123">
        <v>31425896.199999999</v>
      </c>
      <c r="J70" s="123">
        <v>16521636.720000001</v>
      </c>
      <c r="K70" s="21">
        <v>30945668.109999999</v>
      </c>
      <c r="L70" s="21">
        <v>16286826</v>
      </c>
      <c r="M70" s="31">
        <f>I70-K70</f>
        <v>480228.08999999985</v>
      </c>
      <c r="N70" s="31">
        <f t="shared" si="110"/>
        <v>234810.72000000067</v>
      </c>
      <c r="O70" s="21">
        <f t="shared" si="111"/>
        <v>31578297.109999999</v>
      </c>
      <c r="P70" s="21">
        <f t="shared" si="106"/>
        <v>16691860.324416667</v>
      </c>
      <c r="Q70" s="110">
        <v>1.2999999999999999E-2</v>
      </c>
      <c r="R70" s="110">
        <f t="shared" si="112"/>
        <v>1.0833333333333333E-3</v>
      </c>
      <c r="S70" s="111">
        <f t="shared" si="113"/>
        <v>420429.01692999998</v>
      </c>
      <c r="T70" s="31">
        <f t="shared" si="114"/>
        <v>405034.32441666722</v>
      </c>
      <c r="U70" s="110">
        <f t="shared" si="115"/>
        <v>3.8008365181159132E-2</v>
      </c>
    </row>
    <row r="71" spans="3:21">
      <c r="C71" s="5" t="s">
        <v>84</v>
      </c>
      <c r="E71" s="21">
        <f>1005000+4667712-M71</f>
        <v>5664663.2100000046</v>
      </c>
      <c r="F71" s="106">
        <f t="shared" si="107"/>
        <v>1132932.6420000009</v>
      </c>
      <c r="G71" s="21">
        <f>200000+1660000</f>
        <v>1860000</v>
      </c>
      <c r="H71" s="31">
        <f t="shared" si="108"/>
        <v>155000</v>
      </c>
      <c r="I71" s="123">
        <v>28798102</v>
      </c>
      <c r="J71" s="123">
        <v>17096609.260000002</v>
      </c>
      <c r="K71" s="21">
        <v>28790053.210000005</v>
      </c>
      <c r="L71" s="21">
        <v>16894300</v>
      </c>
      <c r="M71" s="31">
        <f t="shared" si="109"/>
        <v>8048.7899999953806</v>
      </c>
      <c r="N71" s="31">
        <f t="shared" si="110"/>
        <v>202309.26000000164</v>
      </c>
      <c r="O71" s="21">
        <f>I71+E71</f>
        <v>34462765.210000008</v>
      </c>
      <c r="P71" s="21">
        <f t="shared" si="106"/>
        <v>17240599.770000003</v>
      </c>
      <c r="Q71" s="110">
        <v>1.2E-2</v>
      </c>
      <c r="R71" s="110">
        <f t="shared" si="112"/>
        <v>1E-3</v>
      </c>
      <c r="S71" s="111">
        <f t="shared" si="113"/>
        <v>424713.18252000009</v>
      </c>
      <c r="T71" s="31">
        <f t="shared" si="114"/>
        <v>346299.77000000328</v>
      </c>
      <c r="U71" s="110">
        <f t="shared" si="115"/>
        <v>0.22643218192144943</v>
      </c>
    </row>
    <row r="72" spans="3:21">
      <c r="C72" s="5" t="s">
        <v>222</v>
      </c>
      <c r="E72" s="21"/>
      <c r="F72" s="106">
        <f t="shared" si="107"/>
        <v>0</v>
      </c>
      <c r="G72" s="21">
        <v>0</v>
      </c>
      <c r="H72" s="31">
        <f t="shared" ref="H72" si="116">G72/12</f>
        <v>0</v>
      </c>
      <c r="I72" s="123">
        <v>5058233</v>
      </c>
      <c r="J72" s="123">
        <v>453134.22</v>
      </c>
      <c r="K72" s="21">
        <v>5058233</v>
      </c>
      <c r="L72" s="21">
        <v>379368</v>
      </c>
      <c r="M72" s="31">
        <f t="shared" si="109"/>
        <v>0</v>
      </c>
      <c r="N72" s="31">
        <f t="shared" si="110"/>
        <v>73766.219999999972</v>
      </c>
      <c r="O72" s="21">
        <f t="shared" si="111"/>
        <v>5058233</v>
      </c>
      <c r="P72" s="21">
        <f t="shared" si="106"/>
        <v>505824.14708333329</v>
      </c>
      <c r="Q72" s="110">
        <v>2.5000000000000001E-2</v>
      </c>
      <c r="R72" s="110">
        <f t="shared" si="112"/>
        <v>2.0833333333333333E-3</v>
      </c>
      <c r="S72" s="111">
        <f t="shared" si="113"/>
        <v>126455.82500000001</v>
      </c>
      <c r="T72" s="31">
        <f t="shared" si="114"/>
        <v>126456.14708333329</v>
      </c>
      <c r="U72" s="110">
        <f t="shared" si="115"/>
        <v>-2.546996256791445E-6</v>
      </c>
    </row>
    <row r="73" spans="3:21">
      <c r="C73" s="5" t="s">
        <v>223</v>
      </c>
      <c r="E73" s="21">
        <f>CWIP!E29</f>
        <v>0</v>
      </c>
      <c r="F73" s="106">
        <f t="shared" si="107"/>
        <v>0</v>
      </c>
      <c r="G73" s="21"/>
      <c r="H73" s="31">
        <f t="shared" ref="H73" si="117">G73/12</f>
        <v>0</v>
      </c>
      <c r="I73" s="123">
        <f>33104251+14967136</f>
        <v>48071387</v>
      </c>
      <c r="J73" s="123">
        <f>689122.95+28232.02+1034507.84</f>
        <v>1751862.81</v>
      </c>
      <c r="K73" s="21">
        <v>48071386.769999996</v>
      </c>
      <c r="L73" s="21">
        <v>1027064</v>
      </c>
      <c r="M73" s="31">
        <f t="shared" si="109"/>
        <v>0.23000000417232513</v>
      </c>
      <c r="N73" s="31">
        <f t="shared" si="110"/>
        <v>724798.81</v>
      </c>
      <c r="O73" s="21">
        <f t="shared" si="111"/>
        <v>48071387</v>
      </c>
      <c r="P73" s="21">
        <f>J73+((I73+E73)*Q73*P$61/12)</f>
        <v>2252606.4245833335</v>
      </c>
      <c r="Q73" s="110">
        <v>2.5000000000000001E-2</v>
      </c>
      <c r="R73" s="110">
        <f t="shared" si="112"/>
        <v>2.0833333333333333E-3</v>
      </c>
      <c r="S73" s="111">
        <f t="shared" si="113"/>
        <v>1201784.675</v>
      </c>
      <c r="T73" s="31">
        <f t="shared" si="114"/>
        <v>1225542.4245833335</v>
      </c>
      <c r="U73" s="110">
        <f t="shared" si="115"/>
        <v>-1.9385497479951219E-2</v>
      </c>
    </row>
    <row r="74" spans="3:21">
      <c r="C74" s="5" t="s">
        <v>224</v>
      </c>
      <c r="E74" s="21"/>
      <c r="F74" s="106">
        <f t="shared" si="107"/>
        <v>0</v>
      </c>
      <c r="G74" s="21">
        <f>CWIP!F30</f>
        <v>0</v>
      </c>
      <c r="H74" s="31">
        <f t="shared" ref="H74:H75" si="118">G74/12</f>
        <v>0</v>
      </c>
      <c r="I74" s="123">
        <f>9395829+4631165</f>
        <v>14026994</v>
      </c>
      <c r="J74" s="123">
        <v>57612.86</v>
      </c>
      <c r="K74" s="21"/>
      <c r="L74" s="21"/>
      <c r="M74" s="31">
        <f t="shared" ref="M74" si="119">I74-K74</f>
        <v>14026994</v>
      </c>
      <c r="N74" s="31">
        <f t="shared" ref="N74" si="120">J74-L74</f>
        <v>57612.86</v>
      </c>
      <c r="O74" s="21">
        <f t="shared" si="111"/>
        <v>14026994</v>
      </c>
      <c r="P74" s="21">
        <f>J74+((I74+E74)*Q74*P$61/12)</f>
        <v>203727.38083333336</v>
      </c>
      <c r="Q74" s="110">
        <v>2.5000000000000001E-2</v>
      </c>
      <c r="R74" s="110">
        <f t="shared" si="112"/>
        <v>2.0833333333333333E-3</v>
      </c>
      <c r="S74" s="111">
        <f>Q74*O74+Q74*G74/2</f>
        <v>350674.85000000003</v>
      </c>
      <c r="T74" s="31">
        <f t="shared" si="114"/>
        <v>203727.38083333336</v>
      </c>
      <c r="U74" s="110">
        <f t="shared" si="115"/>
        <v>0.72129464662819398</v>
      </c>
    </row>
    <row r="75" spans="3:21">
      <c r="C75" s="5" t="s">
        <v>38</v>
      </c>
      <c r="E75" s="21">
        <f>CWIP!G29</f>
        <v>0</v>
      </c>
      <c r="F75" s="106">
        <f t="shared" si="107"/>
        <v>0</v>
      </c>
      <c r="G75" s="21">
        <v>336515</v>
      </c>
      <c r="H75" s="31">
        <f t="shared" si="118"/>
        <v>28042.916666666668</v>
      </c>
      <c r="I75" s="123">
        <v>36570240</v>
      </c>
      <c r="J75" s="123">
        <v>796607.32</v>
      </c>
      <c r="K75" s="21">
        <v>22844522</v>
      </c>
      <c r="L75" s="21">
        <v>380742</v>
      </c>
      <c r="M75" s="31">
        <f t="shared" si="109"/>
        <v>13725718</v>
      </c>
      <c r="N75" s="31">
        <f t="shared" si="110"/>
        <v>415865.31999999995</v>
      </c>
      <c r="O75" s="21">
        <f>I75+E75</f>
        <v>36570240</v>
      </c>
      <c r="P75" s="21">
        <f>J75+((I75+E75)*Q75*P$61/12)</f>
        <v>1177547.3199999998</v>
      </c>
      <c r="Q75" s="110">
        <v>2.5000000000000001E-2</v>
      </c>
      <c r="R75" s="110">
        <f t="shared" si="112"/>
        <v>2.0833333333333333E-3</v>
      </c>
      <c r="S75" s="111">
        <f>Q75*O75+Q75*G75/2</f>
        <v>918462.4375</v>
      </c>
      <c r="T75" s="31">
        <f t="shared" si="114"/>
        <v>796805.31999999983</v>
      </c>
      <c r="U75" s="110">
        <f t="shared" si="115"/>
        <v>0.15268110596952367</v>
      </c>
    </row>
    <row r="76" spans="3:21">
      <c r="C76" s="5" t="s">
        <v>87</v>
      </c>
      <c r="E76" s="21">
        <f>1983600-M76</f>
        <v>1616318</v>
      </c>
      <c r="F76" s="106">
        <f t="shared" si="107"/>
        <v>323263.59999999998</v>
      </c>
      <c r="G76" s="21">
        <v>1857900</v>
      </c>
      <c r="H76" s="31">
        <f>G76/12</f>
        <v>154825</v>
      </c>
      <c r="I76" s="123">
        <v>4892592</v>
      </c>
      <c r="J76" s="123">
        <v>3941171</v>
      </c>
      <c r="K76" s="21">
        <v>4525310</v>
      </c>
      <c r="L76" s="21">
        <v>3716340</v>
      </c>
      <c r="M76" s="31">
        <f>I76-K76</f>
        <v>367282</v>
      </c>
      <c r="N76" s="31">
        <f>J76-L76</f>
        <v>224831</v>
      </c>
      <c r="O76" s="21">
        <f>I76+E76</f>
        <v>6508910</v>
      </c>
      <c r="P76" s="21">
        <f>J76+(I76*Q76*P$61/12)</f>
        <v>4073678.7</v>
      </c>
      <c r="Q76" s="110">
        <v>6.5000000000000002E-2</v>
      </c>
      <c r="R76" s="110">
        <f>Q76/12</f>
        <v>5.4166666666666669E-3</v>
      </c>
      <c r="S76" s="111">
        <f t="shared" si="113"/>
        <v>483460.9</v>
      </c>
      <c r="T76" s="31">
        <f t="shared" si="114"/>
        <v>357338.70000000019</v>
      </c>
      <c r="U76" s="110">
        <f>S76/T76-1</f>
        <v>0.35294861709632852</v>
      </c>
    </row>
    <row r="77" spans="3:21">
      <c r="C77" s="5" t="s">
        <v>212</v>
      </c>
      <c r="I77" s="123">
        <v>4424039.5999999996</v>
      </c>
      <c r="J77" s="123">
        <v>3675928.73</v>
      </c>
      <c r="K77" s="21">
        <v>4408585.9700000007</v>
      </c>
      <c r="L77" s="21">
        <v>3549508</v>
      </c>
      <c r="M77" s="31">
        <f t="shared" si="109"/>
        <v>15453.629999998957</v>
      </c>
      <c r="N77" s="31">
        <f t="shared" si="110"/>
        <v>126420.72999999998</v>
      </c>
      <c r="O77" s="21">
        <f t="shared" si="111"/>
        <v>4424039.5999999996</v>
      </c>
      <c r="P77" s="21">
        <f>J77+(I77*Q77*P$61/12)</f>
        <v>3795746.4691666667</v>
      </c>
      <c r="Q77" s="110">
        <v>6.5000000000000002E-2</v>
      </c>
      <c r="R77" s="110">
        <f t="shared" si="112"/>
        <v>5.4166666666666669E-3</v>
      </c>
      <c r="S77" s="111">
        <f t="shared" si="113"/>
        <v>287562.57399999996</v>
      </c>
      <c r="T77" s="31">
        <f t="shared" si="114"/>
        <v>246238.46916666673</v>
      </c>
      <c r="U77" s="110">
        <f t="shared" si="115"/>
        <v>0.16782148205024372</v>
      </c>
    </row>
    <row r="78" spans="3:21">
      <c r="C78" s="5" t="s">
        <v>218</v>
      </c>
      <c r="E78" s="21"/>
      <c r="F78" s="31"/>
      <c r="G78" s="21"/>
      <c r="H78" s="31"/>
      <c r="I78" s="123">
        <f>36263+2387140+3472132</f>
        <v>5895535</v>
      </c>
      <c r="J78" s="123">
        <f>685562.33+15079.65</f>
        <v>700641.98</v>
      </c>
      <c r="K78" s="21">
        <f>3461721+2387140+36263</f>
        <v>5885124</v>
      </c>
      <c r="L78" s="21">
        <f>10849+645176</f>
        <v>656025</v>
      </c>
      <c r="M78" s="31">
        <f t="shared" si="109"/>
        <v>10411</v>
      </c>
      <c r="N78" s="31">
        <f t="shared" si="110"/>
        <v>44616.979999999981</v>
      </c>
      <c r="O78" s="21">
        <f t="shared" si="111"/>
        <v>5895535</v>
      </c>
      <c r="P78" s="21">
        <f>J78+(I78*Q78*P$61/12)</f>
        <v>749771.43833333335</v>
      </c>
      <c r="Q78" s="110">
        <v>0.02</v>
      </c>
      <c r="R78" s="110">
        <f t="shared" si="112"/>
        <v>1.6666666666666668E-3</v>
      </c>
      <c r="S78" s="111">
        <f>Q78*O78*0.59+Q78*G78/2</f>
        <v>69567.312999999995</v>
      </c>
      <c r="T78" s="31">
        <f t="shared" si="114"/>
        <v>93746.438333333354</v>
      </c>
      <c r="U78" s="110">
        <f t="shared" si="115"/>
        <v>-0.25792046890741449</v>
      </c>
    </row>
    <row r="79" spans="3:21">
      <c r="C79" s="5" t="s">
        <v>219</v>
      </c>
      <c r="I79" s="118">
        <v>9273750.6999999993</v>
      </c>
      <c r="J79" s="123">
        <v>7738835.04</v>
      </c>
      <c r="K79" s="31">
        <v>9273751</v>
      </c>
      <c r="L79" s="21">
        <v>7684739</v>
      </c>
      <c r="M79" s="31">
        <f>I79-K79</f>
        <v>-0.30000000074505806</v>
      </c>
      <c r="N79" s="31">
        <f>J79-L79</f>
        <v>54096.040000000037</v>
      </c>
      <c r="O79" s="21">
        <f t="shared" si="111"/>
        <v>9273750.6999999993</v>
      </c>
      <c r="P79" s="21">
        <f>J79+(I79*Q79*P$61/12)</f>
        <v>7777475.6679166667</v>
      </c>
      <c r="Q79" s="110">
        <v>0.01</v>
      </c>
      <c r="R79" s="110">
        <f t="shared" si="112"/>
        <v>8.3333333333333339E-4</v>
      </c>
      <c r="S79" s="111">
        <f>Q79*O79+Q79*G79/2</f>
        <v>92737.506999999998</v>
      </c>
      <c r="T79" s="31">
        <f t="shared" si="114"/>
        <v>92736.667916666716</v>
      </c>
      <c r="U79" s="110">
        <f t="shared" si="115"/>
        <v>9.0480211563104262E-6</v>
      </c>
    </row>
    <row r="80" spans="3:21">
      <c r="E80" s="21"/>
      <c r="F80" s="31"/>
      <c r="G80" s="21"/>
      <c r="H80" s="31"/>
      <c r="I80" s="21"/>
      <c r="J80" s="21"/>
      <c r="K80" s="21"/>
      <c r="L80" s="21"/>
      <c r="O80" s="21"/>
      <c r="P80" s="21"/>
      <c r="R80" s="110"/>
      <c r="U80" s="110"/>
    </row>
    <row r="81" spans="3:21">
      <c r="C81" s="5" t="s">
        <v>216</v>
      </c>
      <c r="I81" s="31">
        <f t="shared" ref="I81:O81" si="121">I64+I65+I66+I67+I68</f>
        <v>299682596.5</v>
      </c>
      <c r="J81" s="31">
        <f t="shared" si="121"/>
        <v>182220520.04000002</v>
      </c>
      <c r="K81" s="31">
        <f t="shared" si="121"/>
        <v>299330006.43999994</v>
      </c>
      <c r="L81" s="31">
        <f t="shared" si="121"/>
        <v>179626956</v>
      </c>
      <c r="M81" s="31">
        <f t="shared" si="121"/>
        <v>352590.06000006199</v>
      </c>
      <c r="N81" s="31">
        <f t="shared" si="121"/>
        <v>2593564.0400000103</v>
      </c>
      <c r="O81" s="31">
        <f t="shared" si="121"/>
        <v>306361445.43999994</v>
      </c>
      <c r="P81" s="21">
        <f>J81+(I81*Q81*P$61/12)</f>
        <v>184053145.57661739</v>
      </c>
      <c r="Q81" s="110">
        <f>S81/E22</f>
        <v>1.4676532235270065E-2</v>
      </c>
      <c r="R81" s="110">
        <f t="shared" si="112"/>
        <v>1.223044352939172E-3</v>
      </c>
      <c r="S81" s="31">
        <f>S64+S65+S66+S67+S68</f>
        <v>4698218.4613999994</v>
      </c>
      <c r="T81" s="31">
        <f>T64+T65+T66+T67+T68</f>
        <v>4447975.2637500102</v>
      </c>
      <c r="U81" s="110">
        <f t="shared" si="115"/>
        <v>5.6260024575544465E-2</v>
      </c>
    </row>
    <row r="82" spans="3:21">
      <c r="C82" s="5" t="s">
        <v>24</v>
      </c>
      <c r="I82" s="31">
        <f t="shared" ref="I82:N82" si="122">I69+I70+I71+I72+I75+I73+I74</f>
        <v>166471222.19999999</v>
      </c>
      <c r="J82" s="31">
        <f t="shared" si="122"/>
        <v>37817118.880000003</v>
      </c>
      <c r="K82" s="31">
        <f t="shared" si="122"/>
        <v>138230233.09</v>
      </c>
      <c r="L82" s="31">
        <f t="shared" si="122"/>
        <v>36088843</v>
      </c>
      <c r="M82" s="31">
        <f t="shared" si="122"/>
        <v>28240989.109999999</v>
      </c>
      <c r="N82" s="31">
        <f t="shared" si="122"/>
        <v>1728275.8800000024</v>
      </c>
      <c r="O82" s="31">
        <f>SUM(O69:O75)</f>
        <v>172288286.31999999</v>
      </c>
      <c r="P82" s="21">
        <f>J82+(I82*Q82*P$61/12)</f>
        <v>41017883.879547685</v>
      </c>
      <c r="Q82" s="110">
        <f>S82/F22</f>
        <v>4.6145128854075484E-2</v>
      </c>
      <c r="R82" s="110">
        <f t="shared" si="112"/>
        <v>3.8454274045062902E-3</v>
      </c>
      <c r="S82" s="31">
        <f>SUM(S69:S75)</f>
        <v>3475284.7969499999</v>
      </c>
      <c r="T82" s="31">
        <f>T69+T70+T71+T72+T75</f>
        <v>1707360.2556666702</v>
      </c>
      <c r="U82" s="110">
        <f t="shared" si="115"/>
        <v>1.0354724700985916</v>
      </c>
    </row>
    <row r="83" spans="3:21">
      <c r="C83" s="5" t="s">
        <v>217</v>
      </c>
      <c r="I83" s="31">
        <f t="shared" ref="I83:O83" si="123">I76+I77+I78</f>
        <v>15212166.6</v>
      </c>
      <c r="J83" s="31">
        <f t="shared" si="123"/>
        <v>8317741.7100000009</v>
      </c>
      <c r="K83" s="31">
        <f t="shared" si="123"/>
        <v>14819019.970000001</v>
      </c>
      <c r="L83" s="31">
        <f t="shared" si="123"/>
        <v>7921873</v>
      </c>
      <c r="M83" s="31">
        <f t="shared" si="123"/>
        <v>393146.62999999896</v>
      </c>
      <c r="N83" s="31">
        <f t="shared" si="123"/>
        <v>395868.70999999996</v>
      </c>
      <c r="O83" s="31">
        <f t="shared" si="123"/>
        <v>16828484.600000001</v>
      </c>
      <c r="P83" s="21">
        <f>J83+(I83*Q83*P$61/12)</f>
        <v>8617785.2171823643</v>
      </c>
      <c r="Q83" s="110">
        <f>S83/I22</f>
        <v>4.7337400133237714E-2</v>
      </c>
      <c r="R83" s="110">
        <f t="shared" si="112"/>
        <v>3.9447833444364762E-3</v>
      </c>
      <c r="S83" s="31">
        <f>S76+S77+S78</f>
        <v>840590.78699999989</v>
      </c>
      <c r="T83" s="31">
        <f>T76+T77+T78</f>
        <v>697323.60750000027</v>
      </c>
      <c r="U83" s="110">
        <f t="shared" si="115"/>
        <v>0.20545293169355316</v>
      </c>
    </row>
    <row r="84" spans="3:21" ht="16.2">
      <c r="C84" s="5" t="s">
        <v>90</v>
      </c>
      <c r="I84" s="105">
        <f t="shared" ref="I84:O84" si="124">I79</f>
        <v>9273750.6999999993</v>
      </c>
      <c r="J84" s="105">
        <f t="shared" si="124"/>
        <v>7738835.04</v>
      </c>
      <c r="K84" s="105">
        <f t="shared" si="124"/>
        <v>9273751</v>
      </c>
      <c r="L84" s="105">
        <f t="shared" si="124"/>
        <v>7684739</v>
      </c>
      <c r="M84" s="105">
        <f t="shared" si="124"/>
        <v>-0.30000000074505806</v>
      </c>
      <c r="N84" s="105">
        <f t="shared" si="124"/>
        <v>54096.040000000037</v>
      </c>
      <c r="O84" s="105">
        <f t="shared" si="124"/>
        <v>9273750.6999999993</v>
      </c>
      <c r="P84" s="34">
        <f>J84+(I84*Q84*P$61/12)</f>
        <v>7777387.3440180244</v>
      </c>
      <c r="Q84" s="110">
        <f>S84/J22</f>
        <v>9.9771422196263219E-3</v>
      </c>
      <c r="R84" s="110">
        <f t="shared" si="112"/>
        <v>8.3142851830219353E-4</v>
      </c>
      <c r="S84" s="105">
        <f>S79</f>
        <v>92737.506999999998</v>
      </c>
      <c r="T84" s="105">
        <f>T79</f>
        <v>92736.667916666716</v>
      </c>
      <c r="U84" s="110">
        <f t="shared" si="115"/>
        <v>9.0480211563104262E-6</v>
      </c>
    </row>
    <row r="85" spans="3:21">
      <c r="I85" s="100">
        <f>SUM(I81:I84)</f>
        <v>490639736</v>
      </c>
      <c r="J85" s="100">
        <f t="shared" ref="J85:P85" si="125">SUM(J81:J84)</f>
        <v>236094215.67000002</v>
      </c>
      <c r="K85" s="100">
        <f t="shared" si="125"/>
        <v>461653010.5</v>
      </c>
      <c r="L85" s="100">
        <f t="shared" si="125"/>
        <v>231322411</v>
      </c>
      <c r="M85" s="100">
        <f t="shared" si="125"/>
        <v>28986725.50000006</v>
      </c>
      <c r="N85" s="100">
        <f t="shared" si="125"/>
        <v>4771804.670000013</v>
      </c>
      <c r="O85" s="100">
        <f t="shared" si="125"/>
        <v>504751967.05999994</v>
      </c>
      <c r="P85" s="100">
        <f t="shared" si="125"/>
        <v>241466202.01736546</v>
      </c>
      <c r="S85" s="100">
        <f t="shared" ref="S85:T85" si="126">SUM(S81:S84)</f>
        <v>9106831.5523499995</v>
      </c>
      <c r="T85" s="100">
        <f t="shared" si="126"/>
        <v>6945395.7948333472</v>
      </c>
    </row>
    <row r="86" spans="3:21">
      <c r="C86" s="357" t="s">
        <v>644</v>
      </c>
      <c r="I86" s="102">
        <f>485747145+4892592</f>
        <v>490639737</v>
      </c>
      <c r="J86" s="102">
        <f>3941171+232153045</f>
        <v>236094216</v>
      </c>
      <c r="K86" s="102">
        <v>461653010</v>
      </c>
      <c r="L86" s="102">
        <v>231322411</v>
      </c>
      <c r="M86" s="102">
        <f>I86-K86</f>
        <v>28986727</v>
      </c>
      <c r="N86" s="102">
        <f>J86-L86</f>
        <v>4771805</v>
      </c>
      <c r="O86" s="102"/>
      <c r="P86" s="102"/>
      <c r="S86" s="102"/>
      <c r="T86" s="102"/>
    </row>
    <row r="87" spans="3:21">
      <c r="I87" s="100">
        <f t="shared" ref="I87:P87" si="127">I85-I86</f>
        <v>-1</v>
      </c>
      <c r="J87" s="100">
        <f>J85-J86</f>
        <v>-0.32999998331069946</v>
      </c>
      <c r="K87" s="100">
        <f t="shared" si="127"/>
        <v>0.5</v>
      </c>
      <c r="L87" s="100">
        <f t="shared" si="127"/>
        <v>0</v>
      </c>
      <c r="M87" s="100">
        <f>M85-M86</f>
        <v>-1.4999999403953552</v>
      </c>
      <c r="N87" s="100">
        <f t="shared" si="127"/>
        <v>-0.32999998703598976</v>
      </c>
      <c r="O87" s="100">
        <f t="shared" si="127"/>
        <v>504751967.05999994</v>
      </c>
      <c r="P87" s="100">
        <f t="shared" si="127"/>
        <v>241466202.01736546</v>
      </c>
      <c r="S87" s="100">
        <f t="shared" ref="S87:T87" si="128">S85-S86</f>
        <v>9106831.5523499995</v>
      </c>
      <c r="T87" s="100">
        <f t="shared" si="128"/>
        <v>6945395.7948333472</v>
      </c>
    </row>
    <row r="88" spans="3:21">
      <c r="D88" s="112"/>
      <c r="K88" s="31"/>
      <c r="L88" s="31"/>
    </row>
  </sheetData>
  <mergeCells count="12">
    <mergeCell ref="S6:T6"/>
    <mergeCell ref="O24:R24"/>
    <mergeCell ref="Q62:R62"/>
    <mergeCell ref="M6:O6"/>
    <mergeCell ref="E62:F62"/>
    <mergeCell ref="G62:H62"/>
    <mergeCell ref="I62:J62"/>
    <mergeCell ref="K62:L62"/>
    <mergeCell ref="O62:P62"/>
    <mergeCell ref="M62:N62"/>
    <mergeCell ref="F6:G6"/>
    <mergeCell ref="P6:R6"/>
  </mergeCells>
  <printOptions horizontalCentered="1" verticalCentered="1"/>
  <pageMargins left="0.2" right="0.2" top="0.25" bottom="0.2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0"/>
  <sheetViews>
    <sheetView showGridLines="0" topLeftCell="A4" zoomScaleNormal="100" workbookViewId="0">
      <selection activeCell="H8" sqref="H8:H13"/>
    </sheetView>
  </sheetViews>
  <sheetFormatPr defaultColWidth="9.109375" defaultRowHeight="14.4"/>
  <cols>
    <col min="1" max="2" width="9.109375" style="5"/>
    <col min="3" max="3" width="27.88671875" style="5" customWidth="1"/>
    <col min="4" max="4" width="8" style="5" customWidth="1"/>
    <col min="5" max="8" width="19.88671875" style="5" customWidth="1"/>
    <col min="9" max="9" width="17.109375" style="5" customWidth="1"/>
    <col min="10" max="10" width="12.5546875" style="5" bestFit="1" customWidth="1"/>
    <col min="11" max="16384" width="9.109375" style="5"/>
  </cols>
  <sheetData>
    <row r="2" spans="2:8">
      <c r="F2" s="5" t="s">
        <v>234</v>
      </c>
    </row>
    <row r="3" spans="2:8" ht="15.6">
      <c r="B3" s="4" t="s">
        <v>4</v>
      </c>
      <c r="C3" s="4"/>
      <c r="D3" s="4"/>
      <c r="E3" s="4"/>
      <c r="F3" s="4"/>
      <c r="G3" s="4"/>
      <c r="H3" s="4"/>
    </row>
    <row r="4" spans="2:8" ht="15.6">
      <c r="B4" s="6">
        <f>Coversheet!E5</f>
        <v>2016</v>
      </c>
      <c r="C4" s="4" t="s">
        <v>34</v>
      </c>
      <c r="D4" s="4"/>
      <c r="E4" s="4"/>
      <c r="F4" s="4"/>
      <c r="G4" s="4"/>
      <c r="H4" s="4"/>
    </row>
    <row r="5" spans="2:8" ht="15.6">
      <c r="B5" s="4" t="s">
        <v>7</v>
      </c>
      <c r="C5" s="4"/>
      <c r="D5" s="4"/>
      <c r="E5" s="7">
        <f>Coversheet!E5</f>
        <v>2016</v>
      </c>
      <c r="H5" s="4"/>
    </row>
    <row r="6" spans="2:8" ht="15.6">
      <c r="B6" s="4"/>
      <c r="C6" s="4"/>
      <c r="D6" s="4"/>
      <c r="E6" s="7"/>
      <c r="H6" s="4"/>
    </row>
    <row r="7" spans="2:8" s="9" customFormat="1" ht="20.25" customHeight="1">
      <c r="B7" s="8" t="s">
        <v>0</v>
      </c>
      <c r="C7" s="8" t="s">
        <v>1</v>
      </c>
      <c r="D7" s="8" t="s">
        <v>2</v>
      </c>
      <c r="E7" s="8" t="s">
        <v>223</v>
      </c>
      <c r="F7" s="8" t="s">
        <v>224</v>
      </c>
      <c r="G7" s="8" t="s">
        <v>38</v>
      </c>
      <c r="H7" s="8" t="s">
        <v>39</v>
      </c>
    </row>
    <row r="8" spans="2:8" s="9" customFormat="1">
      <c r="B8" s="10">
        <v>1</v>
      </c>
      <c r="C8" s="10" t="s">
        <v>21</v>
      </c>
      <c r="D8" s="10">
        <f>$E$5-1</f>
        <v>2015</v>
      </c>
      <c r="E8" s="11">
        <f>E26+E27-E29</f>
        <v>0</v>
      </c>
      <c r="F8" s="11">
        <f>F26+F27</f>
        <v>0</v>
      </c>
      <c r="G8" s="11">
        <f>G26+G27-G29</f>
        <v>0</v>
      </c>
      <c r="H8" s="12">
        <f>SUM(E8:G8)</f>
        <v>0</v>
      </c>
    </row>
    <row r="9" spans="2:8">
      <c r="B9" s="13">
        <v>2</v>
      </c>
      <c r="C9" s="14" t="s">
        <v>10</v>
      </c>
      <c r="D9" s="13">
        <f>$E$5</f>
        <v>2016</v>
      </c>
      <c r="E9" s="11">
        <f>E8</f>
        <v>0</v>
      </c>
      <c r="F9" s="11">
        <f>F8</f>
        <v>0</v>
      </c>
      <c r="G9" s="11">
        <f>G8+G$28/5</f>
        <v>67303</v>
      </c>
      <c r="H9" s="12">
        <f t="shared" ref="H9:H20" si="0">SUM(E9:G9)</f>
        <v>67303</v>
      </c>
    </row>
    <row r="10" spans="2:8" ht="15.6">
      <c r="B10" s="13">
        <v>3</v>
      </c>
      <c r="C10" s="15" t="s">
        <v>11</v>
      </c>
      <c r="D10" s="13">
        <f t="shared" ref="D10:D20" si="1">$E$5</f>
        <v>2016</v>
      </c>
      <c r="E10" s="11">
        <f t="shared" ref="E10:F20" si="2">E9</f>
        <v>0</v>
      </c>
      <c r="F10" s="11">
        <f t="shared" si="2"/>
        <v>0</v>
      </c>
      <c r="G10" s="11">
        <f t="shared" ref="G10:G13" si="3">G9+G$28/5</f>
        <v>134606</v>
      </c>
      <c r="H10" s="12">
        <f t="shared" si="0"/>
        <v>134606</v>
      </c>
    </row>
    <row r="11" spans="2:8" ht="15.6">
      <c r="B11" s="13">
        <v>4</v>
      </c>
      <c r="C11" s="15" t="s">
        <v>12</v>
      </c>
      <c r="D11" s="13">
        <f t="shared" si="1"/>
        <v>2016</v>
      </c>
      <c r="E11" s="11">
        <f t="shared" si="2"/>
        <v>0</v>
      </c>
      <c r="F11" s="11">
        <f t="shared" si="2"/>
        <v>0</v>
      </c>
      <c r="G11" s="11">
        <f t="shared" si="3"/>
        <v>201909</v>
      </c>
      <c r="H11" s="12">
        <f t="shared" si="0"/>
        <v>201909</v>
      </c>
    </row>
    <row r="12" spans="2:8" ht="15.6">
      <c r="B12" s="13">
        <v>5</v>
      </c>
      <c r="C12" s="15" t="s">
        <v>13</v>
      </c>
      <c r="D12" s="13">
        <f t="shared" si="1"/>
        <v>2016</v>
      </c>
      <c r="E12" s="11">
        <f t="shared" si="2"/>
        <v>0</v>
      </c>
      <c r="F12" s="11">
        <f t="shared" si="2"/>
        <v>0</v>
      </c>
      <c r="G12" s="11">
        <f t="shared" si="3"/>
        <v>269212</v>
      </c>
      <c r="H12" s="12">
        <f t="shared" si="0"/>
        <v>269212</v>
      </c>
    </row>
    <row r="13" spans="2:8" ht="15.6">
      <c r="B13" s="13">
        <v>6</v>
      </c>
      <c r="C13" s="15" t="s">
        <v>14</v>
      </c>
      <c r="D13" s="13">
        <f t="shared" si="1"/>
        <v>2016</v>
      </c>
      <c r="E13" s="11">
        <f t="shared" si="2"/>
        <v>0</v>
      </c>
      <c r="F13" s="11">
        <f t="shared" si="2"/>
        <v>0</v>
      </c>
      <c r="G13" s="11">
        <f t="shared" si="3"/>
        <v>336515</v>
      </c>
      <c r="H13" s="12">
        <f t="shared" si="0"/>
        <v>336515</v>
      </c>
    </row>
    <row r="14" spans="2:8" ht="15.6">
      <c r="B14" s="13">
        <v>7</v>
      </c>
      <c r="C14" s="15" t="s">
        <v>15</v>
      </c>
      <c r="D14" s="13">
        <f t="shared" si="1"/>
        <v>2016</v>
      </c>
      <c r="E14" s="11">
        <f t="shared" si="2"/>
        <v>0</v>
      </c>
      <c r="F14" s="11">
        <f t="shared" si="2"/>
        <v>0</v>
      </c>
      <c r="G14" s="11">
        <f>G13-G30</f>
        <v>0</v>
      </c>
      <c r="H14" s="12">
        <f t="shared" si="0"/>
        <v>0</v>
      </c>
    </row>
    <row r="15" spans="2:8" ht="15.6">
      <c r="B15" s="13">
        <v>8</v>
      </c>
      <c r="C15" s="15" t="s">
        <v>16</v>
      </c>
      <c r="D15" s="13">
        <f t="shared" si="1"/>
        <v>2016</v>
      </c>
      <c r="E15" s="11">
        <f t="shared" si="2"/>
        <v>0</v>
      </c>
      <c r="F15" s="11">
        <f t="shared" si="2"/>
        <v>0</v>
      </c>
      <c r="G15" s="11"/>
      <c r="H15" s="12">
        <f t="shared" si="0"/>
        <v>0</v>
      </c>
    </row>
    <row r="16" spans="2:8" ht="15.6">
      <c r="B16" s="13">
        <v>9</v>
      </c>
      <c r="C16" s="15" t="s">
        <v>17</v>
      </c>
      <c r="D16" s="13">
        <f t="shared" si="1"/>
        <v>2016</v>
      </c>
      <c r="E16" s="11">
        <f t="shared" si="2"/>
        <v>0</v>
      </c>
      <c r="F16" s="11">
        <f t="shared" si="2"/>
        <v>0</v>
      </c>
      <c r="G16" s="11"/>
      <c r="H16" s="12">
        <f t="shared" si="0"/>
        <v>0</v>
      </c>
    </row>
    <row r="17" spans="2:16" ht="15.6">
      <c r="B17" s="13">
        <v>10</v>
      </c>
      <c r="C17" s="15" t="s">
        <v>18</v>
      </c>
      <c r="D17" s="13">
        <f t="shared" si="1"/>
        <v>2016</v>
      </c>
      <c r="E17" s="11">
        <f t="shared" si="2"/>
        <v>0</v>
      </c>
      <c r="F17" s="11">
        <f t="shared" si="2"/>
        <v>0</v>
      </c>
      <c r="G17" s="11"/>
      <c r="H17" s="12">
        <f t="shared" si="0"/>
        <v>0</v>
      </c>
    </row>
    <row r="18" spans="2:16" ht="15.6">
      <c r="B18" s="13">
        <v>11</v>
      </c>
      <c r="C18" s="15" t="s">
        <v>19</v>
      </c>
      <c r="D18" s="13">
        <f t="shared" si="1"/>
        <v>2016</v>
      </c>
      <c r="E18" s="11">
        <f t="shared" si="2"/>
        <v>0</v>
      </c>
      <c r="F18" s="11">
        <f t="shared" si="2"/>
        <v>0</v>
      </c>
      <c r="G18" s="11"/>
      <c r="H18" s="12">
        <f t="shared" si="0"/>
        <v>0</v>
      </c>
    </row>
    <row r="19" spans="2:16" ht="15.6">
      <c r="B19" s="13">
        <v>12</v>
      </c>
      <c r="C19" s="15" t="s">
        <v>20</v>
      </c>
      <c r="D19" s="13">
        <f t="shared" si="1"/>
        <v>2016</v>
      </c>
      <c r="E19" s="11">
        <f t="shared" si="2"/>
        <v>0</v>
      </c>
      <c r="F19" s="11">
        <f t="shared" si="2"/>
        <v>0</v>
      </c>
      <c r="G19" s="11"/>
      <c r="H19" s="12">
        <f t="shared" si="0"/>
        <v>0</v>
      </c>
    </row>
    <row r="20" spans="2:16" ht="16.2">
      <c r="B20" s="13">
        <v>13</v>
      </c>
      <c r="C20" s="15" t="s">
        <v>21</v>
      </c>
      <c r="D20" s="13">
        <f t="shared" si="1"/>
        <v>2016</v>
      </c>
      <c r="E20" s="29">
        <f t="shared" si="2"/>
        <v>0</v>
      </c>
      <c r="F20" s="29">
        <f t="shared" si="2"/>
        <v>0</v>
      </c>
      <c r="G20" s="29">
        <v>0</v>
      </c>
      <c r="H20" s="17">
        <f t="shared" si="0"/>
        <v>0</v>
      </c>
    </row>
    <row r="21" spans="2:16">
      <c r="B21" s="13">
        <v>14</v>
      </c>
    </row>
    <row r="22" spans="2:16" ht="16.2">
      <c r="B22" s="13">
        <v>15</v>
      </c>
      <c r="C22" s="6" t="s">
        <v>27</v>
      </c>
      <c r="D22" s="18"/>
      <c r="E22" s="30">
        <f>SUM(E8:E20)/13</f>
        <v>0</v>
      </c>
      <c r="F22" s="30">
        <f t="shared" ref="F22:G22" si="4">SUM(F8:F20)/13</f>
        <v>0</v>
      </c>
      <c r="G22" s="30">
        <f t="shared" si="4"/>
        <v>77657.307692307688</v>
      </c>
      <c r="H22" s="69">
        <f>SUM(H8:H20)/13</f>
        <v>77657.307692307688</v>
      </c>
    </row>
    <row r="23" spans="2:16">
      <c r="C23" s="92" t="s">
        <v>190</v>
      </c>
      <c r="D23" s="92"/>
      <c r="H23" s="92" t="s">
        <v>202</v>
      </c>
      <c r="P23" s="31"/>
    </row>
    <row r="25" spans="2:16" ht="16.2">
      <c r="C25" s="5" t="s">
        <v>201</v>
      </c>
      <c r="E25" s="40"/>
      <c r="F25" s="40"/>
      <c r="G25" s="40"/>
      <c r="I25" s="129"/>
      <c r="J25" s="129"/>
    </row>
    <row r="26" spans="2:16" ht="16.2">
      <c r="B26" s="15" t="s">
        <v>210</v>
      </c>
      <c r="C26" s="125">
        <v>42216</v>
      </c>
      <c r="D26" s="97"/>
      <c r="E26" s="40">
        <v>0</v>
      </c>
      <c r="F26" s="40">
        <v>0</v>
      </c>
      <c r="G26" s="40">
        <v>0</v>
      </c>
      <c r="H26" s="99">
        <f>SUM(E26:G26)</f>
        <v>0</v>
      </c>
      <c r="I26" s="100"/>
      <c r="J26" s="100"/>
      <c r="K26" s="99"/>
    </row>
    <row r="27" spans="2:16" ht="16.2">
      <c r="B27" s="15" t="s">
        <v>211</v>
      </c>
      <c r="C27" s="125" t="s">
        <v>645</v>
      </c>
      <c r="D27" s="97"/>
      <c r="E27" s="124">
        <v>0</v>
      </c>
      <c r="F27" s="124">
        <v>0</v>
      </c>
      <c r="G27" s="124">
        <v>0</v>
      </c>
      <c r="H27" s="99">
        <f t="shared" ref="H27:H28" si="5">SUM(E27:G27)</f>
        <v>0</v>
      </c>
      <c r="I27" s="379"/>
      <c r="J27" s="379"/>
    </row>
    <row r="28" spans="2:16" ht="16.2">
      <c r="B28" s="15" t="s">
        <v>211</v>
      </c>
      <c r="C28" s="125" t="s">
        <v>646</v>
      </c>
      <c r="D28" s="97"/>
      <c r="E28" s="124">
        <v>0</v>
      </c>
      <c r="F28" s="124">
        <v>0</v>
      </c>
      <c r="G28" s="124">
        <v>336515</v>
      </c>
      <c r="H28" s="99">
        <f t="shared" si="5"/>
        <v>336515</v>
      </c>
    </row>
    <row r="29" spans="2:16" ht="16.2">
      <c r="B29" s="15" t="s">
        <v>211</v>
      </c>
      <c r="C29" s="125" t="s">
        <v>236</v>
      </c>
      <c r="D29" s="97"/>
      <c r="E29" s="124">
        <f>E26</f>
        <v>0</v>
      </c>
      <c r="F29" s="124">
        <v>0</v>
      </c>
      <c r="G29" s="121">
        <v>0</v>
      </c>
      <c r="H29" s="99">
        <f t="shared" ref="H29" si="6">SUM(E29:G29)</f>
        <v>0</v>
      </c>
    </row>
    <row r="30" spans="2:16" ht="16.2">
      <c r="B30" s="15" t="s">
        <v>211</v>
      </c>
      <c r="C30" s="125" t="s">
        <v>647</v>
      </c>
      <c r="D30" s="97"/>
      <c r="E30" s="124">
        <v>0</v>
      </c>
      <c r="F30" s="124">
        <v>0</v>
      </c>
      <c r="G30" s="124">
        <v>336515</v>
      </c>
      <c r="H30" s="99">
        <f t="shared" ref="H30" si="7">SUM(E30:G30)</f>
        <v>336515</v>
      </c>
    </row>
    <row r="31" spans="2:16" ht="16.2">
      <c r="B31" s="15"/>
      <c r="C31" s="125"/>
      <c r="D31" s="97"/>
      <c r="E31" s="124"/>
      <c r="F31" s="124"/>
      <c r="G31" s="124"/>
      <c r="H31" s="99"/>
    </row>
    <row r="32" spans="2:16" ht="16.2">
      <c r="B32" s="15"/>
      <c r="C32" s="125"/>
      <c r="D32" s="97"/>
      <c r="E32" s="101"/>
      <c r="F32" s="101"/>
      <c r="G32" s="101"/>
      <c r="H32" s="99"/>
      <c r="I32" s="100"/>
    </row>
    <row r="34" spans="5:16">
      <c r="E34" s="21"/>
      <c r="G34" s="21"/>
    </row>
    <row r="35" spans="5:16">
      <c r="E35" s="106"/>
      <c r="G35" s="106"/>
    </row>
    <row r="38" spans="5:16">
      <c r="P38" s="31"/>
    </row>
    <row r="40" spans="5:16">
      <c r="P40" s="31"/>
    </row>
  </sheetData>
  <mergeCells count="1">
    <mergeCell ref="I27:J27"/>
  </mergeCells>
  <pageMargins left="0.7" right="0.7" top="0.75" bottom="0.7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5"/>
  <sheetViews>
    <sheetView showGridLines="0" workbookViewId="0">
      <selection activeCell="E28" sqref="E28"/>
    </sheetView>
  </sheetViews>
  <sheetFormatPr defaultColWidth="9.109375" defaultRowHeight="14.4"/>
  <cols>
    <col min="1" max="3" width="9.109375" style="5"/>
    <col min="4" max="4" width="34.5546875" style="5" customWidth="1"/>
    <col min="5" max="5" width="19.5546875" style="5" customWidth="1"/>
    <col min="6" max="16384" width="9.109375" style="5"/>
  </cols>
  <sheetData>
    <row r="3" spans="3:6" ht="15.6">
      <c r="C3" s="4" t="s">
        <v>4</v>
      </c>
      <c r="D3" s="4"/>
      <c r="E3" s="4"/>
      <c r="F3" s="4"/>
    </row>
    <row r="4" spans="3:6" ht="15.6">
      <c r="C4" s="6">
        <f>Coversheet!E5</f>
        <v>2016</v>
      </c>
      <c r="D4" s="4" t="s">
        <v>42</v>
      </c>
      <c r="E4" s="4"/>
      <c r="F4" s="4"/>
    </row>
    <row r="5" spans="3:6" ht="15.6">
      <c r="C5" s="4" t="s">
        <v>7</v>
      </c>
      <c r="D5" s="4"/>
      <c r="E5" s="7">
        <f>Coversheet!E5</f>
        <v>2016</v>
      </c>
      <c r="F5" s="7"/>
    </row>
    <row r="8" spans="3:6" ht="18.75" customHeight="1">
      <c r="D8" s="26" t="s">
        <v>43</v>
      </c>
    </row>
    <row r="9" spans="3:6">
      <c r="D9" s="25" t="s">
        <v>44</v>
      </c>
      <c r="E9" s="21">
        <v>0</v>
      </c>
    </row>
    <row r="10" spans="3:6">
      <c r="D10" s="25" t="s">
        <v>45</v>
      </c>
      <c r="E10" s="21">
        <v>0</v>
      </c>
    </row>
    <row r="11" spans="3:6">
      <c r="D11" s="25" t="s">
        <v>46</v>
      </c>
      <c r="E11" s="21">
        <v>0</v>
      </c>
    </row>
    <row r="12" spans="3:6">
      <c r="D12" s="25" t="s">
        <v>40</v>
      </c>
      <c r="E12" s="21">
        <v>0</v>
      </c>
    </row>
    <row r="13" spans="3:6">
      <c r="D13" s="25" t="s">
        <v>47</v>
      </c>
      <c r="E13" s="22">
        <v>0</v>
      </c>
    </row>
    <row r="14" spans="3:6">
      <c r="E14" s="21"/>
    </row>
    <row r="15" spans="3:6">
      <c r="D15" s="25" t="s">
        <v>41</v>
      </c>
      <c r="E15" s="21">
        <f>SUM(E9:E13)</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2"/>
  <sheetViews>
    <sheetView showGridLines="0" zoomScaleNormal="100" workbookViewId="0">
      <selection activeCell="A25" sqref="A25"/>
    </sheetView>
  </sheetViews>
  <sheetFormatPr defaultColWidth="9.109375" defaultRowHeight="14.4"/>
  <cols>
    <col min="1" max="2" width="9.109375" style="5"/>
    <col min="3" max="3" width="27.88671875" style="5" customWidth="1"/>
    <col min="4" max="4" width="8" style="5" customWidth="1"/>
    <col min="5" max="8" width="19.88671875" style="5" customWidth="1"/>
    <col min="9" max="16384" width="9.109375" style="5"/>
  </cols>
  <sheetData>
    <row r="3" spans="2:8" ht="15.6">
      <c r="B3" s="4" t="s">
        <v>4</v>
      </c>
      <c r="C3" s="4"/>
      <c r="D3" s="4"/>
      <c r="E3" s="4"/>
      <c r="F3" s="4"/>
      <c r="G3" s="4"/>
      <c r="H3" s="4"/>
    </row>
    <row r="4" spans="2:8" ht="15.6">
      <c r="B4" s="6">
        <f>Coversheet!E5</f>
        <v>2016</v>
      </c>
      <c r="C4" s="4" t="s">
        <v>49</v>
      </c>
      <c r="D4" s="4"/>
      <c r="E4" s="4"/>
      <c r="F4" s="4"/>
      <c r="G4" s="4"/>
      <c r="H4" s="4"/>
    </row>
    <row r="5" spans="2:8" ht="15.6">
      <c r="B5" s="4" t="s">
        <v>7</v>
      </c>
      <c r="C5" s="4"/>
      <c r="D5" s="4"/>
      <c r="E5" s="7">
        <f>Coversheet!E5</f>
        <v>2016</v>
      </c>
      <c r="H5" s="4"/>
    </row>
    <row r="6" spans="2:8" ht="15.6">
      <c r="B6" s="4"/>
      <c r="C6" s="4"/>
      <c r="D6" s="4"/>
      <c r="E6" s="7"/>
      <c r="H6" s="4"/>
    </row>
    <row r="7" spans="2:8" s="9" customFormat="1" ht="35.25" customHeight="1">
      <c r="B7" s="8" t="s">
        <v>0</v>
      </c>
      <c r="C7" s="8" t="s">
        <v>1</v>
      </c>
      <c r="D7" s="8" t="s">
        <v>2</v>
      </c>
      <c r="E7" s="8" t="s">
        <v>36</v>
      </c>
      <c r="F7" s="8" t="s">
        <v>37</v>
      </c>
      <c r="G7" s="8" t="s">
        <v>38</v>
      </c>
      <c r="H7" s="8" t="s">
        <v>48</v>
      </c>
    </row>
    <row r="8" spans="2:8" s="9" customFormat="1">
      <c r="B8" s="10">
        <v>1</v>
      </c>
      <c r="C8" s="10" t="s">
        <v>21</v>
      </c>
      <c r="D8" s="10">
        <f>$E$5-1</f>
        <v>2015</v>
      </c>
      <c r="E8" s="11">
        <v>0</v>
      </c>
      <c r="F8" s="11">
        <v>0</v>
      </c>
      <c r="G8" s="11">
        <v>0</v>
      </c>
      <c r="H8" s="12">
        <f>SUM(E8:G8)</f>
        <v>0</v>
      </c>
    </row>
    <row r="9" spans="2:8">
      <c r="B9" s="13">
        <v>2</v>
      </c>
      <c r="C9" s="14" t="s">
        <v>10</v>
      </c>
      <c r="D9" s="13">
        <f>$E$5</f>
        <v>2016</v>
      </c>
      <c r="E9" s="11">
        <v>0</v>
      </c>
      <c r="F9" s="11">
        <v>0</v>
      </c>
      <c r="G9" s="11">
        <v>0</v>
      </c>
      <c r="H9" s="12">
        <f t="shared" ref="H9:H20" si="0">SUM(E9:G9)</f>
        <v>0</v>
      </c>
    </row>
    <row r="10" spans="2:8" ht="15.6">
      <c r="B10" s="13">
        <v>3</v>
      </c>
      <c r="C10" s="15" t="s">
        <v>11</v>
      </c>
      <c r="D10" s="13">
        <f t="shared" ref="D10:D20" si="1">$E$5</f>
        <v>2016</v>
      </c>
      <c r="E10" s="11">
        <v>0</v>
      </c>
      <c r="F10" s="11">
        <v>0</v>
      </c>
      <c r="G10" s="11">
        <v>0</v>
      </c>
      <c r="H10" s="12">
        <f t="shared" si="0"/>
        <v>0</v>
      </c>
    </row>
    <row r="11" spans="2:8" ht="15.6">
      <c r="B11" s="13">
        <v>4</v>
      </c>
      <c r="C11" s="15" t="s">
        <v>12</v>
      </c>
      <c r="D11" s="13">
        <f t="shared" si="1"/>
        <v>2016</v>
      </c>
      <c r="E11" s="11">
        <v>0</v>
      </c>
      <c r="F11" s="11">
        <v>0</v>
      </c>
      <c r="G11" s="11">
        <v>0</v>
      </c>
      <c r="H11" s="12">
        <f t="shared" si="0"/>
        <v>0</v>
      </c>
    </row>
    <row r="12" spans="2:8" ht="15.6">
      <c r="B12" s="13">
        <v>5</v>
      </c>
      <c r="C12" s="15" t="s">
        <v>13</v>
      </c>
      <c r="D12" s="13">
        <f t="shared" si="1"/>
        <v>2016</v>
      </c>
      <c r="E12" s="11">
        <v>0</v>
      </c>
      <c r="F12" s="11">
        <v>0</v>
      </c>
      <c r="G12" s="11">
        <v>0</v>
      </c>
      <c r="H12" s="12">
        <f t="shared" si="0"/>
        <v>0</v>
      </c>
    </row>
    <row r="13" spans="2:8" ht="15.6">
      <c r="B13" s="13">
        <v>6</v>
      </c>
      <c r="C13" s="15" t="s">
        <v>14</v>
      </c>
      <c r="D13" s="13">
        <f t="shared" si="1"/>
        <v>2016</v>
      </c>
      <c r="E13" s="11">
        <v>0</v>
      </c>
      <c r="F13" s="11">
        <v>0</v>
      </c>
      <c r="G13" s="11">
        <v>0</v>
      </c>
      <c r="H13" s="12">
        <f t="shared" si="0"/>
        <v>0</v>
      </c>
    </row>
    <row r="14" spans="2:8" ht="15.6">
      <c r="B14" s="13">
        <v>7</v>
      </c>
      <c r="C14" s="15" t="s">
        <v>15</v>
      </c>
      <c r="D14" s="13">
        <f t="shared" si="1"/>
        <v>2016</v>
      </c>
      <c r="E14" s="11">
        <v>0</v>
      </c>
      <c r="F14" s="11">
        <v>0</v>
      </c>
      <c r="G14" s="11">
        <v>0</v>
      </c>
      <c r="H14" s="12">
        <f t="shared" si="0"/>
        <v>0</v>
      </c>
    </row>
    <row r="15" spans="2:8" ht="15.6">
      <c r="B15" s="13">
        <v>8</v>
      </c>
      <c r="C15" s="15" t="s">
        <v>16</v>
      </c>
      <c r="D15" s="13">
        <f t="shared" si="1"/>
        <v>2016</v>
      </c>
      <c r="E15" s="11">
        <v>0</v>
      </c>
      <c r="F15" s="11">
        <v>0</v>
      </c>
      <c r="G15" s="11">
        <v>0</v>
      </c>
      <c r="H15" s="12">
        <f t="shared" si="0"/>
        <v>0</v>
      </c>
    </row>
    <row r="16" spans="2:8" ht="15.6">
      <c r="B16" s="13">
        <v>9</v>
      </c>
      <c r="C16" s="15" t="s">
        <v>17</v>
      </c>
      <c r="D16" s="13">
        <f t="shared" si="1"/>
        <v>2016</v>
      </c>
      <c r="E16" s="11">
        <v>0</v>
      </c>
      <c r="F16" s="11">
        <v>0</v>
      </c>
      <c r="G16" s="11">
        <v>0</v>
      </c>
      <c r="H16" s="12">
        <f t="shared" si="0"/>
        <v>0</v>
      </c>
    </row>
    <row r="17" spans="2:8" ht="15.6">
      <c r="B17" s="13">
        <v>10</v>
      </c>
      <c r="C17" s="15" t="s">
        <v>18</v>
      </c>
      <c r="D17" s="13">
        <f t="shared" si="1"/>
        <v>2016</v>
      </c>
      <c r="E17" s="11">
        <v>0</v>
      </c>
      <c r="F17" s="11">
        <v>0</v>
      </c>
      <c r="G17" s="11">
        <v>0</v>
      </c>
      <c r="H17" s="12">
        <f t="shared" si="0"/>
        <v>0</v>
      </c>
    </row>
    <row r="18" spans="2:8" ht="15.6">
      <c r="B18" s="13">
        <v>11</v>
      </c>
      <c r="C18" s="15" t="s">
        <v>19</v>
      </c>
      <c r="D18" s="13">
        <f t="shared" si="1"/>
        <v>2016</v>
      </c>
      <c r="E18" s="11">
        <v>0</v>
      </c>
      <c r="F18" s="11">
        <v>0</v>
      </c>
      <c r="G18" s="11">
        <v>0</v>
      </c>
      <c r="H18" s="12">
        <f t="shared" si="0"/>
        <v>0</v>
      </c>
    </row>
    <row r="19" spans="2:8" ht="15.6">
      <c r="B19" s="13">
        <v>12</v>
      </c>
      <c r="C19" s="15" t="s">
        <v>20</v>
      </c>
      <c r="D19" s="13">
        <f t="shared" si="1"/>
        <v>2016</v>
      </c>
      <c r="E19" s="11">
        <v>0</v>
      </c>
      <c r="F19" s="11">
        <v>0</v>
      </c>
      <c r="G19" s="11">
        <v>0</v>
      </c>
      <c r="H19" s="12">
        <f t="shared" si="0"/>
        <v>0</v>
      </c>
    </row>
    <row r="20" spans="2:8" ht="15.6">
      <c r="B20" s="13">
        <v>13</v>
      </c>
      <c r="C20" s="15" t="s">
        <v>21</v>
      </c>
      <c r="D20" s="13">
        <f t="shared" si="1"/>
        <v>2016</v>
      </c>
      <c r="E20" s="16">
        <v>0</v>
      </c>
      <c r="F20" s="16">
        <v>0</v>
      </c>
      <c r="G20" s="16">
        <v>0</v>
      </c>
      <c r="H20" s="17">
        <f t="shared" si="0"/>
        <v>0</v>
      </c>
    </row>
    <row r="21" spans="2:8">
      <c r="B21" s="13">
        <v>14</v>
      </c>
    </row>
    <row r="22" spans="2:8" ht="15.6">
      <c r="B22" s="13">
        <v>15</v>
      </c>
      <c r="C22" s="6" t="s">
        <v>27</v>
      </c>
      <c r="D22" s="18"/>
      <c r="E22" s="19">
        <f>SUM(E8:E20)/13</f>
        <v>0</v>
      </c>
      <c r="F22" s="19">
        <f t="shared" ref="F22:G22" si="2">SUM(F8:F20)/13</f>
        <v>0</v>
      </c>
      <c r="G22" s="19">
        <f t="shared" si="2"/>
        <v>0</v>
      </c>
      <c r="H22" s="20">
        <f>SUM(H8:H20)/13</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showGridLines="0" zoomScaleNormal="100" workbookViewId="0">
      <selection activeCell="A8" sqref="A8"/>
    </sheetView>
  </sheetViews>
  <sheetFormatPr defaultColWidth="9.109375" defaultRowHeight="14.4"/>
  <cols>
    <col min="1" max="2" width="9.109375" style="5"/>
    <col min="3" max="3" width="27.88671875" style="5" customWidth="1"/>
    <col min="4" max="4" width="8" style="5" customWidth="1"/>
    <col min="5" max="5" width="24.88671875" style="5" customWidth="1"/>
    <col min="6" max="16384" width="9.109375" style="5"/>
  </cols>
  <sheetData>
    <row r="3" spans="2:5" ht="15.6">
      <c r="B3" s="4" t="s">
        <v>4</v>
      </c>
      <c r="C3" s="4"/>
      <c r="D3" s="4"/>
      <c r="E3" s="4"/>
    </row>
    <row r="4" spans="2:5" ht="15.6">
      <c r="B4" s="6">
        <f>Coversheet!E5</f>
        <v>2016</v>
      </c>
      <c r="C4" s="4" t="s">
        <v>50</v>
      </c>
      <c r="D4" s="4"/>
      <c r="E4" s="4"/>
    </row>
    <row r="5" spans="2:5" ht="15.6">
      <c r="B5" s="4" t="s">
        <v>7</v>
      </c>
      <c r="C5" s="4"/>
      <c r="D5" s="4"/>
      <c r="E5" s="7">
        <f>Coversheet!E5</f>
        <v>2016</v>
      </c>
    </row>
    <row r="6" spans="2:5" ht="15.6">
      <c r="B6" s="4"/>
      <c r="C6" s="4"/>
      <c r="D6" s="4"/>
      <c r="E6" s="7"/>
    </row>
    <row r="7" spans="2:5" s="9" customFormat="1" ht="35.25" customHeight="1">
      <c r="B7" s="8" t="s">
        <v>0</v>
      </c>
      <c r="C7" s="8" t="s">
        <v>1</v>
      </c>
      <c r="D7" s="8" t="s">
        <v>2</v>
      </c>
      <c r="E7" s="8" t="s">
        <v>51</v>
      </c>
    </row>
    <row r="8" spans="2:5" s="9" customFormat="1">
      <c r="B8" s="10">
        <v>1</v>
      </c>
      <c r="C8" s="10" t="s">
        <v>21</v>
      </c>
      <c r="D8" s="10">
        <f>$E$5-1</f>
        <v>2015</v>
      </c>
      <c r="E8" s="11">
        <v>0</v>
      </c>
    </row>
    <row r="9" spans="2:5">
      <c r="B9" s="13">
        <v>2</v>
      </c>
      <c r="C9" s="14" t="s">
        <v>10</v>
      </c>
      <c r="D9" s="13">
        <f t="shared" ref="D9:D20" si="0">$E$5</f>
        <v>2016</v>
      </c>
      <c r="E9" s="11">
        <v>0</v>
      </c>
    </row>
    <row r="10" spans="2:5" ht="15.6">
      <c r="B10" s="13">
        <v>3</v>
      </c>
      <c r="C10" s="15" t="s">
        <v>11</v>
      </c>
      <c r="D10" s="13">
        <f t="shared" si="0"/>
        <v>2016</v>
      </c>
      <c r="E10" s="11">
        <v>0</v>
      </c>
    </row>
    <row r="11" spans="2:5" ht="15.6">
      <c r="B11" s="13">
        <v>4</v>
      </c>
      <c r="C11" s="15" t="s">
        <v>12</v>
      </c>
      <c r="D11" s="13">
        <f t="shared" si="0"/>
        <v>2016</v>
      </c>
      <c r="E11" s="11">
        <v>0</v>
      </c>
    </row>
    <row r="12" spans="2:5" ht="15.6">
      <c r="B12" s="13">
        <v>5</v>
      </c>
      <c r="C12" s="15" t="s">
        <v>13</v>
      </c>
      <c r="D12" s="13">
        <f t="shared" si="0"/>
        <v>2016</v>
      </c>
      <c r="E12" s="11">
        <v>0</v>
      </c>
    </row>
    <row r="13" spans="2:5" ht="15.6">
      <c r="B13" s="13">
        <v>6</v>
      </c>
      <c r="C13" s="15" t="s">
        <v>14</v>
      </c>
      <c r="D13" s="13">
        <f t="shared" si="0"/>
        <v>2016</v>
      </c>
      <c r="E13" s="11">
        <v>0</v>
      </c>
    </row>
    <row r="14" spans="2:5" ht="15.6">
      <c r="B14" s="13">
        <v>7</v>
      </c>
      <c r="C14" s="15" t="s">
        <v>15</v>
      </c>
      <c r="D14" s="13">
        <f t="shared" si="0"/>
        <v>2016</v>
      </c>
      <c r="E14" s="11">
        <v>0</v>
      </c>
    </row>
    <row r="15" spans="2:5" ht="15.6">
      <c r="B15" s="13">
        <v>8</v>
      </c>
      <c r="C15" s="15" t="s">
        <v>16</v>
      </c>
      <c r="D15" s="13">
        <f t="shared" si="0"/>
        <v>2016</v>
      </c>
      <c r="E15" s="11">
        <v>0</v>
      </c>
    </row>
    <row r="16" spans="2:5" ht="15.6">
      <c r="B16" s="13">
        <v>9</v>
      </c>
      <c r="C16" s="15" t="s">
        <v>17</v>
      </c>
      <c r="D16" s="13">
        <f t="shared" si="0"/>
        <v>2016</v>
      </c>
      <c r="E16" s="11">
        <v>0</v>
      </c>
    </row>
    <row r="17" spans="2:5" ht="15.6">
      <c r="B17" s="13">
        <v>10</v>
      </c>
      <c r="C17" s="15" t="s">
        <v>18</v>
      </c>
      <c r="D17" s="13">
        <f t="shared" si="0"/>
        <v>2016</v>
      </c>
      <c r="E17" s="11">
        <v>0</v>
      </c>
    </row>
    <row r="18" spans="2:5" ht="15.6">
      <c r="B18" s="13">
        <v>11</v>
      </c>
      <c r="C18" s="15" t="s">
        <v>19</v>
      </c>
      <c r="D18" s="13">
        <f t="shared" si="0"/>
        <v>2016</v>
      </c>
      <c r="E18" s="11">
        <v>0</v>
      </c>
    </row>
    <row r="19" spans="2:5" ht="15.6">
      <c r="B19" s="13">
        <v>12</v>
      </c>
      <c r="C19" s="15" t="s">
        <v>20</v>
      </c>
      <c r="D19" s="13">
        <f t="shared" si="0"/>
        <v>2016</v>
      </c>
      <c r="E19" s="11">
        <v>0</v>
      </c>
    </row>
    <row r="20" spans="2:5" ht="15.6">
      <c r="B20" s="13">
        <v>13</v>
      </c>
      <c r="C20" s="15" t="s">
        <v>21</v>
      </c>
      <c r="D20" s="13">
        <f t="shared" si="0"/>
        <v>2016</v>
      </c>
      <c r="E20" s="16">
        <v>0</v>
      </c>
    </row>
    <row r="21" spans="2:5">
      <c r="B21" s="13">
        <v>14</v>
      </c>
    </row>
    <row r="22" spans="2:5" ht="15.6">
      <c r="B22" s="13">
        <v>15</v>
      </c>
      <c r="C22" s="6" t="s">
        <v>27</v>
      </c>
      <c r="D22" s="18"/>
      <c r="E22" s="19">
        <f>SUM(E8:E20)/13</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8"/>
  <sheetViews>
    <sheetView showGridLines="0" zoomScaleNormal="100" workbookViewId="0">
      <selection activeCell="E8" sqref="E8:F8"/>
    </sheetView>
  </sheetViews>
  <sheetFormatPr defaultColWidth="9.109375" defaultRowHeight="14.4"/>
  <cols>
    <col min="1" max="2" width="9.109375" style="5"/>
    <col min="3" max="3" width="27.88671875" style="5" customWidth="1"/>
    <col min="4" max="4" width="8" style="5" customWidth="1"/>
    <col min="5" max="6" width="19.88671875" style="5" customWidth="1"/>
    <col min="7" max="16384" width="9.109375" style="5"/>
  </cols>
  <sheetData>
    <row r="3" spans="2:6" ht="15.6">
      <c r="B3" s="4" t="s">
        <v>4</v>
      </c>
      <c r="C3" s="4"/>
      <c r="D3" s="4"/>
      <c r="E3" s="4"/>
      <c r="F3" s="4"/>
    </row>
    <row r="4" spans="2:6" ht="15.6">
      <c r="B4" s="6">
        <f>Coversheet!E5</f>
        <v>2016</v>
      </c>
      <c r="C4" s="4" t="s">
        <v>54</v>
      </c>
      <c r="D4" s="4"/>
      <c r="E4" s="4"/>
      <c r="F4" s="4"/>
    </row>
    <row r="5" spans="2:6" ht="15.6">
      <c r="B5" s="4" t="s">
        <v>7</v>
      </c>
      <c r="C5" s="4"/>
      <c r="D5" s="4"/>
      <c r="E5" s="7">
        <f>Coversheet!E5</f>
        <v>2016</v>
      </c>
    </row>
    <row r="6" spans="2:6" ht="15.6">
      <c r="B6" s="4"/>
      <c r="C6" s="4"/>
      <c r="D6" s="4"/>
      <c r="E6" s="7"/>
    </row>
    <row r="7" spans="2:6" s="9" customFormat="1" ht="35.25" customHeight="1">
      <c r="B7" s="8" t="s">
        <v>0</v>
      </c>
      <c r="C7" s="8" t="s">
        <v>1</v>
      </c>
      <c r="D7" s="8" t="s">
        <v>2</v>
      </c>
      <c r="E7" s="8" t="s">
        <v>52</v>
      </c>
      <c r="F7" s="8" t="s">
        <v>53</v>
      </c>
    </row>
    <row r="8" spans="2:6" s="9" customFormat="1">
      <c r="B8" s="10">
        <v>1</v>
      </c>
      <c r="C8" s="10" t="s">
        <v>21</v>
      </c>
      <c r="D8" s="10">
        <f>$E$5-1</f>
        <v>2015</v>
      </c>
      <c r="E8" s="11">
        <v>234719</v>
      </c>
      <c r="F8" s="11">
        <v>962975</v>
      </c>
    </row>
    <row r="9" spans="2:6">
      <c r="B9" s="13">
        <v>2</v>
      </c>
      <c r="C9" s="14" t="s">
        <v>10</v>
      </c>
      <c r="D9" s="13">
        <f>$E$5</f>
        <v>2016</v>
      </c>
      <c r="E9" s="11">
        <f>E8</f>
        <v>234719</v>
      </c>
      <c r="F9" s="11">
        <f>F8</f>
        <v>962975</v>
      </c>
    </row>
    <row r="10" spans="2:6" ht="15.6">
      <c r="B10" s="13">
        <v>3</v>
      </c>
      <c r="C10" s="15" t="s">
        <v>11</v>
      </c>
      <c r="D10" s="13">
        <f t="shared" ref="D10:D20" si="0">$E$5</f>
        <v>2016</v>
      </c>
      <c r="E10" s="11">
        <f t="shared" ref="E10:F20" si="1">E9</f>
        <v>234719</v>
      </c>
      <c r="F10" s="11">
        <f t="shared" si="1"/>
        <v>962975</v>
      </c>
    </row>
    <row r="11" spans="2:6" ht="15.6">
      <c r="B11" s="13">
        <v>4</v>
      </c>
      <c r="C11" s="15" t="s">
        <v>12</v>
      </c>
      <c r="D11" s="13">
        <f t="shared" si="0"/>
        <v>2016</v>
      </c>
      <c r="E11" s="11">
        <f t="shared" si="1"/>
        <v>234719</v>
      </c>
      <c r="F11" s="11">
        <f t="shared" si="1"/>
        <v>962975</v>
      </c>
    </row>
    <row r="12" spans="2:6" ht="15.6">
      <c r="B12" s="13">
        <v>5</v>
      </c>
      <c r="C12" s="15" t="s">
        <v>13</v>
      </c>
      <c r="D12" s="13">
        <f t="shared" si="0"/>
        <v>2016</v>
      </c>
      <c r="E12" s="11">
        <f t="shared" si="1"/>
        <v>234719</v>
      </c>
      <c r="F12" s="11">
        <f t="shared" si="1"/>
        <v>962975</v>
      </c>
    </row>
    <row r="13" spans="2:6" ht="15.6">
      <c r="B13" s="13">
        <v>6</v>
      </c>
      <c r="C13" s="15" t="s">
        <v>14</v>
      </c>
      <c r="D13" s="13">
        <f t="shared" si="0"/>
        <v>2016</v>
      </c>
      <c r="E13" s="11">
        <f t="shared" si="1"/>
        <v>234719</v>
      </c>
      <c r="F13" s="11">
        <f t="shared" si="1"/>
        <v>962975</v>
      </c>
    </row>
    <row r="14" spans="2:6" ht="15.6">
      <c r="B14" s="13">
        <v>7</v>
      </c>
      <c r="C14" s="15" t="s">
        <v>15</v>
      </c>
      <c r="D14" s="13">
        <f t="shared" si="0"/>
        <v>2016</v>
      </c>
      <c r="E14" s="11">
        <f t="shared" si="1"/>
        <v>234719</v>
      </c>
      <c r="F14" s="11">
        <f t="shared" si="1"/>
        <v>962975</v>
      </c>
    </row>
    <row r="15" spans="2:6" ht="15.6">
      <c r="B15" s="13">
        <v>8</v>
      </c>
      <c r="C15" s="15" t="s">
        <v>16</v>
      </c>
      <c r="D15" s="13">
        <f t="shared" si="0"/>
        <v>2016</v>
      </c>
      <c r="E15" s="11">
        <f t="shared" si="1"/>
        <v>234719</v>
      </c>
      <c r="F15" s="11">
        <f t="shared" si="1"/>
        <v>962975</v>
      </c>
    </row>
    <row r="16" spans="2:6" ht="15.6">
      <c r="B16" s="13">
        <v>9</v>
      </c>
      <c r="C16" s="15" t="s">
        <v>17</v>
      </c>
      <c r="D16" s="13">
        <f t="shared" si="0"/>
        <v>2016</v>
      </c>
      <c r="E16" s="11">
        <f t="shared" si="1"/>
        <v>234719</v>
      </c>
      <c r="F16" s="11">
        <f t="shared" si="1"/>
        <v>962975</v>
      </c>
    </row>
    <row r="17" spans="2:6" ht="15.6">
      <c r="B17" s="13">
        <v>10</v>
      </c>
      <c r="C17" s="15" t="s">
        <v>18</v>
      </c>
      <c r="D17" s="13">
        <f t="shared" si="0"/>
        <v>2016</v>
      </c>
      <c r="E17" s="11">
        <f t="shared" si="1"/>
        <v>234719</v>
      </c>
      <c r="F17" s="11">
        <f t="shared" si="1"/>
        <v>962975</v>
      </c>
    </row>
    <row r="18" spans="2:6" ht="15.6">
      <c r="B18" s="13">
        <v>11</v>
      </c>
      <c r="C18" s="15" t="s">
        <v>19</v>
      </c>
      <c r="D18" s="13">
        <f t="shared" si="0"/>
        <v>2016</v>
      </c>
      <c r="E18" s="11">
        <f t="shared" si="1"/>
        <v>234719</v>
      </c>
      <c r="F18" s="11">
        <f t="shared" si="1"/>
        <v>962975</v>
      </c>
    </row>
    <row r="19" spans="2:6" ht="15.6">
      <c r="B19" s="13">
        <v>12</v>
      </c>
      <c r="C19" s="15" t="s">
        <v>20</v>
      </c>
      <c r="D19" s="13">
        <f t="shared" si="0"/>
        <v>2016</v>
      </c>
      <c r="E19" s="11">
        <f t="shared" si="1"/>
        <v>234719</v>
      </c>
      <c r="F19" s="11">
        <f t="shared" si="1"/>
        <v>962975</v>
      </c>
    </row>
    <row r="20" spans="2:6" ht="16.2">
      <c r="B20" s="13">
        <v>13</v>
      </c>
      <c r="C20" s="15" t="s">
        <v>21</v>
      </c>
      <c r="D20" s="13">
        <f t="shared" si="0"/>
        <v>2016</v>
      </c>
      <c r="E20" s="29">
        <f t="shared" si="1"/>
        <v>234719</v>
      </c>
      <c r="F20" s="29">
        <f t="shared" si="1"/>
        <v>962975</v>
      </c>
    </row>
    <row r="21" spans="2:6">
      <c r="B21" s="13">
        <v>14</v>
      </c>
    </row>
    <row r="22" spans="2:6" ht="16.2">
      <c r="B22" s="13">
        <v>15</v>
      </c>
      <c r="C22" s="6" t="s">
        <v>27</v>
      </c>
      <c r="D22" s="18"/>
      <c r="E22" s="30">
        <f>SUM(E8:E20)/13</f>
        <v>234719</v>
      </c>
      <c r="F22" s="30">
        <f t="shared" ref="F22" si="2">SUM(F8:F20)/13</f>
        <v>962975</v>
      </c>
    </row>
    <row r="24" spans="2:6">
      <c r="C24" s="92" t="s">
        <v>190</v>
      </c>
      <c r="D24" s="92"/>
      <c r="E24" s="92" t="s">
        <v>204</v>
      </c>
      <c r="F24" s="92" t="s">
        <v>205</v>
      </c>
    </row>
    <row r="26" spans="2:6">
      <c r="C26" s="104" t="s">
        <v>648</v>
      </c>
    </row>
    <row r="28" spans="2:6">
      <c r="E28" s="5" t="s">
        <v>235</v>
      </c>
    </row>
  </sheetData>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Coversheet</vt:lpstr>
      <vt:lpstr>Nonlevelized-EIA 412</vt:lpstr>
      <vt:lpstr>Divisor</vt:lpstr>
      <vt:lpstr>Plant</vt:lpstr>
      <vt:lpstr>CWIP</vt:lpstr>
      <vt:lpstr>Adj to Rate Base</vt:lpstr>
      <vt:lpstr>Abandoned Plant</vt:lpstr>
      <vt:lpstr>Land Held for Future Use</vt:lpstr>
      <vt:lpstr>Materials and Prepayments</vt:lpstr>
      <vt:lpstr>Capital Structure</vt:lpstr>
      <vt:lpstr>Trans_OM</vt:lpstr>
      <vt:lpstr>A&amp;G</vt:lpstr>
      <vt:lpstr>Other_Exp_Inc</vt:lpstr>
      <vt:lpstr>Interest_Rates</vt:lpstr>
      <vt:lpstr>'Capital Structure'!Print_Area</vt:lpstr>
      <vt:lpstr>'Nonlevelized-EIA 412'!Print_Area</vt:lpstr>
      <vt:lpstr>Plant!Print_Titles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Merlin Sawyer</cp:lastModifiedBy>
  <cp:lastPrinted>2015-09-29T15:34:29Z</cp:lastPrinted>
  <dcterms:created xsi:type="dcterms:W3CDTF">2011-09-15T13:47:09Z</dcterms:created>
  <dcterms:modified xsi:type="dcterms:W3CDTF">2015-09-30T14:21:51Z</dcterms:modified>
</cp:coreProperties>
</file>