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ERC Formula Rates\Attachment O\2014 Update\Supporting Documents\"/>
    </mc:Choice>
  </mc:AlternateContent>
  <bookViews>
    <workbookView xWindow="0" yWindow="0" windowWidth="15300" windowHeight="6795"/>
  </bookViews>
  <sheets>
    <sheet name="KU_Summary - Reserve - P2 (REG)" sheetId="1" r:id="rId1"/>
  </sheets>
  <externalReferences>
    <externalReference r:id="rId2"/>
    <externalReference r:id="rId3"/>
  </externalReferences>
  <definedNames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DolUnitFactor">[2]ListsValues!$M$29</definedName>
    <definedName name="DolUnitList">[2]ListsValues!$C$32:$C$34</definedName>
    <definedName name="ElecUnitFactor">[2]ListsValues!$M$37</definedName>
    <definedName name="ElecUnitList">[2]ListsValues!$C$40:$C$41</definedName>
    <definedName name="GasUnitFactor">[2]ListsValues!$M$44</definedName>
    <definedName name="GasUnitList">[2]ListsValues!$C$47</definedName>
    <definedName name="_xlnm.Print_Area" localSheetId="0">'KU_Summary - Reserve - P2 (REG)'!$A$1:$U$74</definedName>
    <definedName name="_xlnm.Print_Titles" localSheetId="0">'KU_Summary - Reserve - P2 (REG)'!$1:$5</definedName>
    <definedName name="PVA_ReportList">[2]ListsValues!$C$53:$C$60</definedName>
    <definedName name="PVA_ReportValue">[2]ListsValues!$L$50</definedName>
    <definedName name="RBC_ReportList">[2]ListsValues!$C$65:$C$68</definedName>
    <definedName name="RBC_ReportValue">[2]ListsValues!$L$62</definedName>
    <definedName name="RBCDtl_KUE">#REF!</definedName>
    <definedName name="RBCDtl_LGEE">#REF!</definedName>
    <definedName name="RBCDtl_LGEG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RptgMonth">[2]ListsValues!$F$3</definedName>
    <definedName name="RptgMonthList">[2]ListsValues!$C$14:$C$26</definedName>
    <definedName name="RptgMonthLYr">[2]ListsValues!$F$7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" l="1"/>
  <c r="Q67" i="1"/>
  <c r="O67" i="1"/>
  <c r="M67" i="1"/>
  <c r="K67" i="1"/>
  <c r="I67" i="1"/>
  <c r="C67" i="1"/>
  <c r="G66" i="1"/>
  <c r="G67" i="1" s="1"/>
  <c r="E66" i="1"/>
  <c r="E67" i="1" s="1"/>
  <c r="S61" i="1"/>
  <c r="M61" i="1"/>
  <c r="K61" i="1"/>
  <c r="G61" i="1"/>
  <c r="E61" i="1"/>
  <c r="C61" i="1"/>
  <c r="S60" i="1"/>
  <c r="U60" i="1" s="1"/>
  <c r="U61" i="1" s="1"/>
  <c r="Q60" i="1"/>
  <c r="Q61" i="1" s="1"/>
  <c r="O60" i="1"/>
  <c r="O61" i="1" s="1"/>
  <c r="M60" i="1"/>
  <c r="K60" i="1"/>
  <c r="I60" i="1"/>
  <c r="I61" i="1" s="1"/>
  <c r="S55" i="1"/>
  <c r="Q55" i="1"/>
  <c r="O55" i="1"/>
  <c r="M55" i="1"/>
  <c r="K55" i="1"/>
  <c r="I55" i="1"/>
  <c r="G55" i="1"/>
  <c r="C55" i="1"/>
  <c r="M54" i="1"/>
  <c r="K54" i="1"/>
  <c r="G54" i="1"/>
  <c r="C54" i="1"/>
  <c r="S53" i="1"/>
  <c r="Q53" i="1"/>
  <c r="O53" i="1"/>
  <c r="M53" i="1"/>
  <c r="K53" i="1"/>
  <c r="I53" i="1"/>
  <c r="C53" i="1"/>
  <c r="O52" i="1"/>
  <c r="M52" i="1"/>
  <c r="K52" i="1"/>
  <c r="I52" i="1"/>
  <c r="C52" i="1"/>
  <c r="S51" i="1"/>
  <c r="Q51" i="1"/>
  <c r="O51" i="1"/>
  <c r="M51" i="1"/>
  <c r="K51" i="1"/>
  <c r="I51" i="1"/>
  <c r="G51" i="1"/>
  <c r="E51" i="1"/>
  <c r="C51" i="1"/>
  <c r="S50" i="1"/>
  <c r="Q50" i="1"/>
  <c r="M50" i="1"/>
  <c r="K50" i="1"/>
  <c r="I50" i="1"/>
  <c r="G50" i="1"/>
  <c r="C50" i="1"/>
  <c r="S49" i="1"/>
  <c r="Q49" i="1"/>
  <c r="O49" i="1"/>
  <c r="M49" i="1"/>
  <c r="K49" i="1"/>
  <c r="I49" i="1"/>
  <c r="G49" i="1"/>
  <c r="C49" i="1"/>
  <c r="S48" i="1"/>
  <c r="Q48" i="1"/>
  <c r="O48" i="1"/>
  <c r="M48" i="1"/>
  <c r="K48" i="1"/>
  <c r="I48" i="1"/>
  <c r="G48" i="1"/>
  <c r="C48" i="1"/>
  <c r="S47" i="1"/>
  <c r="Q47" i="1"/>
  <c r="M47" i="1"/>
  <c r="K47" i="1"/>
  <c r="C47" i="1"/>
  <c r="S46" i="1"/>
  <c r="Q46" i="1"/>
  <c r="O46" i="1"/>
  <c r="M46" i="1"/>
  <c r="M57" i="1" s="1"/>
  <c r="M63" i="1" s="1"/>
  <c r="M70" i="1" s="1"/>
  <c r="K46" i="1"/>
  <c r="I46" i="1"/>
  <c r="G46" i="1"/>
  <c r="C46" i="1"/>
  <c r="M45" i="1"/>
  <c r="K45" i="1"/>
  <c r="K57" i="1" s="1"/>
  <c r="K63" i="1" s="1"/>
  <c r="K70" i="1" s="1"/>
  <c r="C45" i="1"/>
  <c r="C57" i="1" s="1"/>
  <c r="C63" i="1" s="1"/>
  <c r="C70" i="1" s="1"/>
  <c r="S42" i="1"/>
  <c r="O42" i="1"/>
  <c r="M42" i="1"/>
  <c r="K42" i="1"/>
  <c r="I42" i="1"/>
  <c r="G42" i="1"/>
  <c r="C42" i="1"/>
  <c r="U41" i="1"/>
  <c r="U40" i="1"/>
  <c r="Q40" i="1"/>
  <c r="Q54" i="1" s="1"/>
  <c r="E40" i="1"/>
  <c r="Q39" i="1"/>
  <c r="Q52" i="1" s="1"/>
  <c r="E39" i="1"/>
  <c r="U38" i="1"/>
  <c r="E38" i="1"/>
  <c r="U37" i="1"/>
  <c r="E37" i="1"/>
  <c r="E42" i="1" s="1"/>
  <c r="U36" i="1"/>
  <c r="Q36" i="1"/>
  <c r="U35" i="1"/>
  <c r="Q35" i="1"/>
  <c r="Q45" i="1" s="1"/>
  <c r="E35" i="1"/>
  <c r="Q32" i="1"/>
  <c r="M32" i="1"/>
  <c r="K32" i="1"/>
  <c r="G32" i="1"/>
  <c r="C32" i="1"/>
  <c r="U31" i="1"/>
  <c r="S30" i="1"/>
  <c r="S54" i="1" s="1"/>
  <c r="O30" i="1"/>
  <c r="U30" i="1" s="1"/>
  <c r="I30" i="1"/>
  <c r="I32" i="1" s="1"/>
  <c r="E30" i="1"/>
  <c r="S29" i="1"/>
  <c r="S52" i="1" s="1"/>
  <c r="O29" i="1"/>
  <c r="E29" i="1"/>
  <c r="O28" i="1"/>
  <c r="U28" i="1" s="1"/>
  <c r="E28" i="1"/>
  <c r="U27" i="1"/>
  <c r="E27" i="1"/>
  <c r="U26" i="1"/>
  <c r="O26" i="1"/>
  <c r="O47" i="1" s="1"/>
  <c r="E26" i="1"/>
  <c r="S25" i="1"/>
  <c r="S32" i="1" s="1"/>
  <c r="O25" i="1"/>
  <c r="O45" i="1" s="1"/>
  <c r="I25" i="1"/>
  <c r="E25" i="1"/>
  <c r="E32" i="1" s="1"/>
  <c r="S22" i="1"/>
  <c r="Q22" i="1"/>
  <c r="O22" i="1"/>
  <c r="M22" i="1"/>
  <c r="K22" i="1"/>
  <c r="C22" i="1"/>
  <c r="U21" i="1"/>
  <c r="E20" i="1"/>
  <c r="E55" i="1" s="1"/>
  <c r="I19" i="1"/>
  <c r="I54" i="1" s="1"/>
  <c r="G19" i="1"/>
  <c r="E19" i="1"/>
  <c r="E54" i="1" s="1"/>
  <c r="U18" i="1"/>
  <c r="U53" i="1" s="1"/>
  <c r="G18" i="1"/>
  <c r="G53" i="1" s="1"/>
  <c r="E18" i="1"/>
  <c r="E53" i="1" s="1"/>
  <c r="U17" i="1"/>
  <c r="G17" i="1"/>
  <c r="G52" i="1" s="1"/>
  <c r="E17" i="1"/>
  <c r="E52" i="1" s="1"/>
  <c r="U16" i="1"/>
  <c r="U51" i="1" s="1"/>
  <c r="U15" i="1"/>
  <c r="U50" i="1" s="1"/>
  <c r="G15" i="1"/>
  <c r="E15" i="1"/>
  <c r="E50" i="1" s="1"/>
  <c r="E14" i="1"/>
  <c r="E49" i="1" s="1"/>
  <c r="U13" i="1"/>
  <c r="U48" i="1" s="1"/>
  <c r="G13" i="1"/>
  <c r="E13" i="1"/>
  <c r="E48" i="1" s="1"/>
  <c r="U12" i="1"/>
  <c r="U47" i="1" s="1"/>
  <c r="I12" i="1"/>
  <c r="I47" i="1" s="1"/>
  <c r="G12" i="1"/>
  <c r="G47" i="1" s="1"/>
  <c r="E12" i="1"/>
  <c r="E47" i="1" s="1"/>
  <c r="U11" i="1"/>
  <c r="U46" i="1" s="1"/>
  <c r="G11" i="1"/>
  <c r="E11" i="1"/>
  <c r="E46" i="1" s="1"/>
  <c r="I10" i="1"/>
  <c r="I45" i="1" s="1"/>
  <c r="G10" i="1"/>
  <c r="G45" i="1" s="1"/>
  <c r="E10" i="1"/>
  <c r="E45" i="1" s="1"/>
  <c r="E57" i="1" l="1"/>
  <c r="E63" i="1" s="1"/>
  <c r="E70" i="1" s="1"/>
  <c r="Q57" i="1"/>
  <c r="Q63" i="1" s="1"/>
  <c r="Q70" i="1" s="1"/>
  <c r="G57" i="1"/>
  <c r="G63" i="1" s="1"/>
  <c r="G70" i="1" s="1"/>
  <c r="I57" i="1"/>
  <c r="I63" i="1" s="1"/>
  <c r="I70" i="1" s="1"/>
  <c r="E22" i="1"/>
  <c r="S45" i="1"/>
  <c r="S57" i="1" s="1"/>
  <c r="S63" i="1" s="1"/>
  <c r="S70" i="1" s="1"/>
  <c r="O50" i="1"/>
  <c r="O57" i="1" s="1"/>
  <c r="O63" i="1" s="1"/>
  <c r="O70" i="1" s="1"/>
  <c r="U10" i="1"/>
  <c r="U14" i="1"/>
  <c r="U49" i="1" s="1"/>
  <c r="U20" i="1"/>
  <c r="U55" i="1" s="1"/>
  <c r="G22" i="1"/>
  <c r="U25" i="1"/>
  <c r="U32" i="1" s="1"/>
  <c r="U29" i="1"/>
  <c r="U39" i="1"/>
  <c r="U52" i="1" s="1"/>
  <c r="Q42" i="1"/>
  <c r="U66" i="1"/>
  <c r="U67" i="1" s="1"/>
  <c r="O54" i="1"/>
  <c r="I22" i="1"/>
  <c r="O32" i="1"/>
  <c r="U19" i="1"/>
  <c r="U54" i="1" s="1"/>
  <c r="U22" i="1" l="1"/>
  <c r="U45" i="1"/>
  <c r="U57" i="1" s="1"/>
  <c r="U63" i="1" s="1"/>
  <c r="U70" i="1" s="1"/>
  <c r="U42" i="1"/>
</calcChain>
</file>

<file path=xl/sharedStrings.xml><?xml version="1.0" encoding="utf-8"?>
<sst xmlns="http://schemas.openxmlformats.org/spreadsheetml/2006/main" count="68" uniqueCount="40">
  <si>
    <t>KENTUCKY UTILITIES COMPANY</t>
  </si>
  <si>
    <t>SUMMARY OF UTILITY PLANT - REGULATORY ACCOUNTING</t>
  </si>
  <si>
    <t>Beginning</t>
  </si>
  <si>
    <t>Transfers/</t>
  </si>
  <si>
    <t>ARO</t>
  </si>
  <si>
    <t>RWIP</t>
  </si>
  <si>
    <t>Ending</t>
  </si>
  <si>
    <t>Balance</t>
  </si>
  <si>
    <t>Accruals</t>
  </si>
  <si>
    <t>Retirements</t>
  </si>
  <si>
    <t>Adjustments</t>
  </si>
  <si>
    <t>Settlements</t>
  </si>
  <si>
    <t>Transfers Out</t>
  </si>
  <si>
    <t>Cost of Removal</t>
  </si>
  <si>
    <t>Salvage</t>
  </si>
  <si>
    <t>Other Credits</t>
  </si>
  <si>
    <t>LIFE RESERVE</t>
  </si>
  <si>
    <t>Electric Distribution</t>
  </si>
  <si>
    <t>Electric Distribution - ARO</t>
  </si>
  <si>
    <t>Electric General Plant</t>
  </si>
  <si>
    <t>Electric Hydro Production</t>
  </si>
  <si>
    <t>Electric Hydro Production - ARO</t>
  </si>
  <si>
    <t>Electric Other Production</t>
  </si>
  <si>
    <t>Electric Other Production - ARO</t>
  </si>
  <si>
    <t>Electric Steam Production</t>
  </si>
  <si>
    <t>Electric Steam Production - ARO</t>
  </si>
  <si>
    <t>Electric Transmission</t>
  </si>
  <si>
    <t>Electric Transmission - ARO</t>
  </si>
  <si>
    <t>Non Utility Property</t>
  </si>
  <si>
    <t>COST OF REMOVAL</t>
  </si>
  <si>
    <t>SALVAGE</t>
  </si>
  <si>
    <t>TOTAL RESERVES</t>
  </si>
  <si>
    <t>RETIREMENT WORK IN PROGRESS</t>
  </si>
  <si>
    <t>Electric</t>
  </si>
  <si>
    <t>YTD ACTIVITY</t>
  </si>
  <si>
    <t>AMORTIZATION</t>
  </si>
  <si>
    <t>Depreciation &amp; Amortization Total</t>
  </si>
  <si>
    <t>Utility Plant at Original Cost Less Reserve for</t>
  </si>
  <si>
    <t xml:space="preserve">  Depreciation &amp; Amortization (Excl nonutility)</t>
  </si>
  <si>
    <t>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</si>
</sst>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0" fillId="0" borderId="0" xfId="1" applyFont="1" applyFill="1"/>
    <xf numFmtId="43" fontId="3" fillId="0" borderId="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/>
    <xf numFmtId="43" fontId="1" fillId="0" borderId="0" xfId="1" applyFill="1"/>
    <xf numFmtId="43" fontId="1" fillId="0" borderId="0" xfId="1" quotePrefix="1" applyFill="1" applyAlignment="1">
      <alignment horizontal="left"/>
    </xf>
    <xf numFmtId="43" fontId="1" fillId="0" borderId="1" xfId="1" applyFill="1" applyBorder="1"/>
    <xf numFmtId="43" fontId="1" fillId="0" borderId="0" xfId="1" applyFill="1" applyBorder="1"/>
    <xf numFmtId="43" fontId="0" fillId="0" borderId="0" xfId="1" applyFont="1" applyFill="1" applyBorder="1"/>
    <xf numFmtId="43" fontId="0" fillId="0" borderId="1" xfId="1" applyFont="1" applyFill="1" applyBorder="1"/>
    <xf numFmtId="0" fontId="3" fillId="0" borderId="0" xfId="0" applyFont="1" applyFill="1" applyAlignment="1">
      <alignment horizontal="right"/>
    </xf>
    <xf numFmtId="43" fontId="1" fillId="0" borderId="2" xfId="1" applyFill="1" applyBorder="1"/>
    <xf numFmtId="43" fontId="1" fillId="0" borderId="0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44" fontId="0" fillId="0" borderId="0" xfId="0" applyNumberFormat="1" applyFill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BusAreas/Finance/ControllerGrp/Administrative%20Skill%20Building/KU_%20Plant%20report_December%202014%20-%20em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2011/Revenue%20Volume%20Analysis%202011.1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Footnotes (YTD)"/>
      <sheetName val="TABLE OF CONTENTS"/>
      <sheetName val="KU_Summary - Cost - P1 (Tot)"/>
      <sheetName val="KU_Summary - Reserve - P2 (Tot)"/>
      <sheetName val="RWIP BY ACCOUNT - P2A (Tot)"/>
      <sheetName val="Land_Vehicle Retire P3 (Tot)"/>
      <sheetName val="Cash Flow Summary - PG 2B (Tot)"/>
      <sheetName val="Transfers Detail P3 (Tot)"/>
      <sheetName val="Recon Depr Exp to IS P4 (Tot)"/>
      <sheetName val="TOTAL_PIS NVB P5 (Tot)"/>
      <sheetName val="TOTAL_PIS COST SPLITS-P6 (Tot)"/>
      <sheetName val="KY_PIS NVB P7 (Tot)"/>
      <sheetName val="KY_Cost by Plant Acct P8 (Tot)"/>
      <sheetName val="VA_PIS NBV P9 (Tot)"/>
      <sheetName val="VA_Cost by Plant Acct P10 (Tot)"/>
      <sheetName val="TN_PIS NBV P11 (Tot)"/>
      <sheetName val="TN_Cost by Plant Acct P12 (Tot)"/>
      <sheetName val="Plant Held for Future-P13(Tot)"/>
      <sheetName val="Non Utility Prop - KY P14 (Tot)"/>
      <sheetName val="Elec Plant Purch-Sold  P15(Tot)"/>
      <sheetName val="KY_Res by Plant Acct P16 (Tot)"/>
      <sheetName val="VA_Res by Plant Acct P17 (Tot)"/>
      <sheetName val="TN_Res by Plant Acct P18 (Tot)"/>
      <sheetName val="KU_Summary - Cost - P1 (REG)"/>
      <sheetName val="KU_Summary - Reserve - P2 (REG)"/>
      <sheetName val="Cash Flow Summary - PG 2B (FIN)"/>
      <sheetName val="RWIP BY ACCOUNT - P2A (REG)"/>
      <sheetName val="Transfers Detail P3 (REG)"/>
      <sheetName val="Transfers Detail-VA-P3.1 (REG)"/>
      <sheetName val="Land_Vehicle Retire P3A (REG)"/>
      <sheetName val="CWIP Spend by Project P3B (REG)"/>
      <sheetName val="Recon Depr Exp to IS P4 (REG)"/>
      <sheetName val="TOTAL_PIS NVB P5 (REG)"/>
      <sheetName val="TOTAL_PIS COST SPLITS-P6 (REG)"/>
      <sheetName val="KY_PIS NVB P7 (REG)"/>
      <sheetName val="KY_Cost by Plant Acct P8 (REG)"/>
      <sheetName val="VA_PIS NBV P9 (REG)"/>
      <sheetName val="VA_Cost by Plant Acct P10 (REG)"/>
      <sheetName val="TN_PIS NBV P11 (REG)"/>
      <sheetName val="TN_Cost by Plant Acct P12 (REG)"/>
      <sheetName val="Plant Held for Future-P13 (REG)"/>
      <sheetName val="Non Utility Prop - KY P14 (REG)"/>
      <sheetName val="Elec Plant Purch-Sold P15 (REG)"/>
      <sheetName val="KY_Res by Plant Acct P16(REG)"/>
      <sheetName val="VA_Res by Plant Acct P17(REG)"/>
      <sheetName val="TN_Res by Plant Acct P18(REG)"/>
      <sheetName val="KU_Summary - Cost - P1 (PA)"/>
      <sheetName val="KU_Summary - Reserve - P2 (PA)"/>
      <sheetName val="RWIP BY ACCOUNT - P2A (PA)"/>
      <sheetName val="Cash Flow - P2B (PA)"/>
      <sheetName val="Land_Vehicle Retire P3 (PA)"/>
      <sheetName val="Transfers Detail P3 (PA)"/>
      <sheetName val="Transfers Detail-VA-P3.1 (PA)"/>
      <sheetName val="Recon Depr Exp to IS P4 (PA)"/>
      <sheetName val="TOTAL_PIS NVB P5 (PA)"/>
      <sheetName val="TOTAL_PIS COST SPLITS-P6 (PA)"/>
      <sheetName val="KY_PIS NVB P7 (PA)"/>
      <sheetName val="KY_Cost by Plant Acct P8 (PA)"/>
      <sheetName val="VA_PIS NBV P9 (PA)"/>
      <sheetName val="VA_Cost by Plant Acct P10 (PA)"/>
      <sheetName val="TN_PIS NBV P11 (PA)"/>
      <sheetName val="TN_Cost by Plant Acct P12 (PA)"/>
      <sheetName val="Plant Held Future Use- P13 (PA)"/>
      <sheetName val="Non Utility Prop - KY P14 (PA)"/>
      <sheetName val="Elec Plant Purch-Sold  P15 (PA)"/>
      <sheetName val="KY_Res by Plant Acct P16 (PA)"/>
      <sheetName val="VA_Res by Plant Acct P17 (PA)"/>
      <sheetName val="TN_Res by Plant Acct P18 (P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0"/>
  <sheetViews>
    <sheetView tabSelected="1" zoomScale="80" zoomScaleNormal="80" workbookViewId="0">
      <pane xSplit="2" ySplit="7" topLeftCell="J41" activePane="bottomRight" state="frozen"/>
      <selection sqref="A1:N1"/>
      <selection pane="topRight" sqref="A1:N1"/>
      <selection pane="bottomLeft" sqref="A1:N1"/>
      <selection pane="bottomRight" activeCell="U55" sqref="U55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16384" width="9.140625" style="3"/>
  </cols>
  <sheetData>
    <row r="1" spans="1:2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x14ac:dyDescent="0.2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</row>
    <row r="5" spans="1:2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">
      <c r="C6" s="6" t="s">
        <v>2</v>
      </c>
      <c r="E6" s="7"/>
      <c r="G6" s="7"/>
      <c r="I6" s="6" t="s">
        <v>3</v>
      </c>
      <c r="J6" s="6"/>
      <c r="K6" s="6" t="s">
        <v>4</v>
      </c>
      <c r="M6" s="6" t="s">
        <v>5</v>
      </c>
      <c r="O6" s="6"/>
      <c r="Q6" s="6"/>
      <c r="S6" s="6"/>
      <c r="U6" s="6" t="s">
        <v>6</v>
      </c>
      <c r="V6" s="6"/>
    </row>
    <row r="7" spans="1:22" x14ac:dyDescent="0.2">
      <c r="C7" s="8" t="s">
        <v>7</v>
      </c>
      <c r="E7" s="8" t="s">
        <v>8</v>
      </c>
      <c r="G7" s="8" t="s">
        <v>9</v>
      </c>
      <c r="I7" s="8" t="s">
        <v>10</v>
      </c>
      <c r="J7" s="9"/>
      <c r="K7" s="8" t="s">
        <v>11</v>
      </c>
      <c r="M7" s="8" t="s">
        <v>12</v>
      </c>
      <c r="O7" s="8" t="s">
        <v>13</v>
      </c>
      <c r="Q7" s="8" t="s">
        <v>14</v>
      </c>
      <c r="S7" s="8" t="s">
        <v>15</v>
      </c>
      <c r="U7" s="8" t="s">
        <v>7</v>
      </c>
      <c r="V7" s="9"/>
    </row>
    <row r="8" spans="1:22" x14ac:dyDescent="0.2">
      <c r="C8" s="9"/>
      <c r="E8" s="9"/>
      <c r="G8" s="9"/>
      <c r="I8" s="9"/>
      <c r="J8" s="9"/>
      <c r="K8" s="9"/>
      <c r="M8" s="9"/>
      <c r="O8" s="9"/>
      <c r="Q8" s="9"/>
      <c r="S8" s="9"/>
      <c r="U8" s="9"/>
      <c r="V8" s="9"/>
    </row>
    <row r="9" spans="1:22" x14ac:dyDescent="0.2">
      <c r="A9" s="10" t="s">
        <v>16</v>
      </c>
      <c r="C9" s="9"/>
      <c r="E9" s="9"/>
      <c r="G9" s="9"/>
      <c r="I9" s="9"/>
      <c r="J9" s="9"/>
      <c r="K9" s="9"/>
      <c r="M9" s="9"/>
      <c r="O9" s="9"/>
      <c r="Q9" s="9"/>
      <c r="S9" s="9"/>
      <c r="U9" s="9"/>
      <c r="V9" s="9"/>
    </row>
    <row r="10" spans="1:22" x14ac:dyDescent="0.2">
      <c r="B10" s="3" t="s">
        <v>17</v>
      </c>
      <c r="C10" s="11">
        <v>-449443573.15999997</v>
      </c>
      <c r="D10" s="11"/>
      <c r="E10" s="11">
        <f>-2581408.71-2599136.36-2606204.04-2617028.68-2629090.05-2633952.59-2640838.87-2655528.04-2670263.17-2678857.39-2683736.73-2689383.96</f>
        <v>-31685428.59</v>
      </c>
      <c r="F10" s="11"/>
      <c r="G10" s="11">
        <f>1354527.43+1192761.65+256990.52+792287.94+1171346.28+3363422.84+836715.56+828414.13+683618.49+1980997.25+477951.54+1984511.75</f>
        <v>14923545.380000001</v>
      </c>
      <c r="H10" s="11"/>
      <c r="I10" s="11">
        <f>79550.89+569.33-2506.8</f>
        <v>77613.42</v>
      </c>
      <c r="J10" s="11"/>
      <c r="K10" s="11">
        <v>0</v>
      </c>
      <c r="L10" s="11"/>
      <c r="M10" s="11">
        <v>0</v>
      </c>
      <c r="N10" s="11"/>
      <c r="O10" s="11">
        <v>0</v>
      </c>
      <c r="P10" s="11"/>
      <c r="Q10" s="11">
        <v>0</v>
      </c>
      <c r="R10" s="7"/>
      <c r="S10" s="11">
        <v>0</v>
      </c>
      <c r="T10" s="7"/>
      <c r="U10" s="7">
        <f>S10+Q10+O10+M10+I10+G10+E10+C10</f>
        <v>-466127842.94999999</v>
      </c>
      <c r="V10" s="7"/>
    </row>
    <row r="11" spans="1:22" x14ac:dyDescent="0.2">
      <c r="B11" s="3" t="s">
        <v>18</v>
      </c>
      <c r="C11" s="11">
        <v>-59815.76999999996</v>
      </c>
      <c r="D11" s="11"/>
      <c r="E11" s="11">
        <f>-1940.74-1940.74-1940.74-1940.75-1940.75-14320.47-1903.12-5134.88-1899.84-3742.29-1894.17-1894.17</f>
        <v>-40492.659999999996</v>
      </c>
      <c r="F11" s="11"/>
      <c r="G11" s="11">
        <f>13575.43+3406.45+2045.33</f>
        <v>19027.21</v>
      </c>
      <c r="H11" s="11"/>
      <c r="I11" s="11">
        <v>0</v>
      </c>
      <c r="J11" s="11"/>
      <c r="K11" s="11">
        <v>0</v>
      </c>
      <c r="L11" s="11"/>
      <c r="M11" s="11">
        <v>0</v>
      </c>
      <c r="N11" s="11"/>
      <c r="O11" s="11">
        <v>0</v>
      </c>
      <c r="P11" s="11"/>
      <c r="Q11" s="11">
        <v>0</v>
      </c>
      <c r="R11" s="7"/>
      <c r="S11" s="11">
        <v>0</v>
      </c>
      <c r="T11" s="7"/>
      <c r="U11" s="7">
        <f t="shared" ref="U11:U21" si="0">S11+Q11+O11+M11+I11+G11+E11+C11</f>
        <v>-81281.219999999958</v>
      </c>
      <c r="V11" s="7"/>
    </row>
    <row r="12" spans="1:22" x14ac:dyDescent="0.2">
      <c r="B12" s="3" t="s">
        <v>19</v>
      </c>
      <c r="C12" s="11">
        <v>-65174384.280000001</v>
      </c>
      <c r="D12" s="11"/>
      <c r="E12" s="11">
        <f>-764958.99-779500.23-787814.2-797668.86-821412.64-839075.79-861841.19-888781.6-914770.33-917889.77-921337.36-932487.17</f>
        <v>-10227538.129999999</v>
      </c>
      <c r="F12" s="11"/>
      <c r="G12" s="11">
        <f>45469.86-9785.76+106375.54+62551.8+1190845.32+10554.42+850465.59+36519.47+139268.27+768805.59</f>
        <v>3201070.1</v>
      </c>
      <c r="H12" s="11"/>
      <c r="I12" s="11">
        <f>5865.71-6483.61+163.7</f>
        <v>-454.19999999999965</v>
      </c>
      <c r="J12" s="11"/>
      <c r="K12" s="11">
        <v>0</v>
      </c>
      <c r="L12" s="11"/>
      <c r="M12" s="11">
        <v>0</v>
      </c>
      <c r="N12" s="11"/>
      <c r="O12" s="11">
        <v>0</v>
      </c>
      <c r="P12" s="11"/>
      <c r="Q12" s="11">
        <v>0</v>
      </c>
      <c r="R12" s="7"/>
      <c r="S12" s="11">
        <v>0</v>
      </c>
      <c r="T12" s="7"/>
      <c r="U12" s="7">
        <f t="shared" si="0"/>
        <v>-72201306.510000005</v>
      </c>
      <c r="V12" s="7"/>
    </row>
    <row r="13" spans="1:22" x14ac:dyDescent="0.2">
      <c r="B13" s="3" t="s">
        <v>20</v>
      </c>
      <c r="C13" s="11">
        <v>-8886497.4900000002</v>
      </c>
      <c r="D13" s="11"/>
      <c r="E13" s="11">
        <f>-90137.64-90149.71-90263.19-90607.75-90785.59-90733.15-90881.29-91052.54-91065.46-91045.61-91035.93-91035.93</f>
        <v>-1088793.79</v>
      </c>
      <c r="F13" s="11"/>
      <c r="G13" s="11">
        <f>3103.89+10134.96+6812.06</f>
        <v>20050.91</v>
      </c>
      <c r="H13" s="11"/>
      <c r="I13" s="11">
        <v>0</v>
      </c>
      <c r="J13" s="11"/>
      <c r="K13" s="11">
        <v>0</v>
      </c>
      <c r="L13" s="11"/>
      <c r="M13" s="11">
        <v>0</v>
      </c>
      <c r="N13" s="11"/>
      <c r="O13" s="11">
        <v>0</v>
      </c>
      <c r="P13" s="11"/>
      <c r="Q13" s="11">
        <v>0</v>
      </c>
      <c r="R13" s="7"/>
      <c r="S13" s="11">
        <v>0</v>
      </c>
      <c r="T13" s="7"/>
      <c r="U13" s="7">
        <f t="shared" si="0"/>
        <v>-9955240.370000001</v>
      </c>
      <c r="V13" s="7"/>
    </row>
    <row r="14" spans="1:22" x14ac:dyDescent="0.2">
      <c r="B14" s="3" t="s">
        <v>21</v>
      </c>
      <c r="C14" s="11">
        <v>-13460.869999999999</v>
      </c>
      <c r="D14" s="11"/>
      <c r="E14" s="11">
        <f>-592.08-592.08-592.08-592.08-592.08-592.08-592.08-592.08-592.08-592.08-592.08-592.08</f>
        <v>-7104.96</v>
      </c>
      <c r="F14" s="11"/>
      <c r="G14" s="11">
        <v>0</v>
      </c>
      <c r="H14" s="11"/>
      <c r="I14" s="11">
        <v>0</v>
      </c>
      <c r="J14" s="11"/>
      <c r="K14" s="11">
        <v>0</v>
      </c>
      <c r="L14" s="11"/>
      <c r="M14" s="11">
        <v>0</v>
      </c>
      <c r="N14" s="11"/>
      <c r="O14" s="11">
        <v>0</v>
      </c>
      <c r="P14" s="11"/>
      <c r="Q14" s="11">
        <v>0</v>
      </c>
      <c r="R14" s="7"/>
      <c r="S14" s="11">
        <v>0</v>
      </c>
      <c r="T14" s="7"/>
      <c r="U14" s="7">
        <f t="shared" si="0"/>
        <v>-20565.829999999998</v>
      </c>
      <c r="V14" s="7"/>
    </row>
    <row r="15" spans="1:22" x14ac:dyDescent="0.2">
      <c r="B15" s="3" t="s">
        <v>22</v>
      </c>
      <c r="C15" s="11">
        <v>-200460542.00000003</v>
      </c>
      <c r="D15" s="11"/>
      <c r="E15" s="11">
        <f>-1788647.14-1783960.49-1779514.88-1779646.39-1781283.73-1783834.95-1784482.37-1785663.75-1786725.1-1789051.22-1791682.92-1794084.32</f>
        <v>-21428577.259999998</v>
      </c>
      <c r="F15" s="11"/>
      <c r="G15" s="11">
        <f>2260110.64+62934.62+47654.66+43.67+46430.55+184825+8932.22+40347.11</f>
        <v>2651278.4700000002</v>
      </c>
      <c r="H15" s="11"/>
      <c r="I15" s="12">
        <v>0</v>
      </c>
      <c r="J15" s="11"/>
      <c r="K15" s="11">
        <v>0</v>
      </c>
      <c r="L15" s="11"/>
      <c r="M15" s="11">
        <v>0</v>
      </c>
      <c r="N15" s="11"/>
      <c r="O15" s="11">
        <v>0</v>
      </c>
      <c r="P15" s="11"/>
      <c r="Q15" s="11">
        <v>0</v>
      </c>
      <c r="R15" s="7"/>
      <c r="S15" s="11">
        <v>0</v>
      </c>
      <c r="T15" s="7"/>
      <c r="U15" s="7">
        <f t="shared" si="0"/>
        <v>-219237840.79000002</v>
      </c>
      <c r="V15" s="7"/>
    </row>
    <row r="16" spans="1:22" x14ac:dyDescent="0.2">
      <c r="B16" s="3" t="s">
        <v>23</v>
      </c>
      <c r="C16" s="11">
        <v>5.2402526762307389E-12</v>
      </c>
      <c r="D16" s="11"/>
      <c r="E16" s="11">
        <v>0</v>
      </c>
      <c r="F16" s="11"/>
      <c r="G16" s="11">
        <v>0</v>
      </c>
      <c r="H16" s="11"/>
      <c r="I16" s="11">
        <v>0</v>
      </c>
      <c r="J16" s="11"/>
      <c r="K16" s="11">
        <v>0</v>
      </c>
      <c r="L16" s="11"/>
      <c r="M16" s="11">
        <v>0</v>
      </c>
      <c r="N16" s="11"/>
      <c r="O16" s="11">
        <v>0</v>
      </c>
      <c r="P16" s="11"/>
      <c r="Q16" s="11">
        <v>0</v>
      </c>
      <c r="R16" s="7"/>
      <c r="S16" s="11">
        <v>0</v>
      </c>
      <c r="T16" s="7"/>
      <c r="U16" s="7">
        <f t="shared" si="0"/>
        <v>5.2402526762307389E-12</v>
      </c>
      <c r="V16" s="7"/>
    </row>
    <row r="17" spans="1:22" x14ac:dyDescent="0.2">
      <c r="B17" s="3" t="s">
        <v>24</v>
      </c>
      <c r="C17" s="11">
        <v>-1266706451</v>
      </c>
      <c r="D17" s="11"/>
      <c r="E17" s="11">
        <f>-7566941.63-7574720.65-7583580.69-7595353.67-7597760.35-7760385.1-7925271.67-7923258.26-8154027.2-8387668.3-8387118.04-8528172.88</f>
        <v>-94984258.439999998</v>
      </c>
      <c r="F17" s="11"/>
      <c r="G17" s="11">
        <f>4440933.49+118467.42+1032716.39+1201947.48+643434.83+212537.45+11178802.37+154069.13+622348.26+2999438.76+234146.15</f>
        <v>22838841.729999997</v>
      </c>
      <c r="H17" s="11"/>
      <c r="I17" s="11">
        <v>0</v>
      </c>
      <c r="J17" s="11"/>
      <c r="K17" s="11">
        <v>0</v>
      </c>
      <c r="L17" s="11"/>
      <c r="M17" s="11">
        <v>0</v>
      </c>
      <c r="N17" s="11"/>
      <c r="O17" s="11">
        <v>0</v>
      </c>
      <c r="P17" s="11"/>
      <c r="Q17" s="11">
        <v>0</v>
      </c>
      <c r="R17" s="7"/>
      <c r="S17" s="11">
        <v>0</v>
      </c>
      <c r="T17" s="7"/>
      <c r="U17" s="7">
        <f t="shared" si="0"/>
        <v>-1338851867.71</v>
      </c>
      <c r="V17" s="7"/>
    </row>
    <row r="18" spans="1:22" x14ac:dyDescent="0.2">
      <c r="B18" s="3" t="s">
        <v>25</v>
      </c>
      <c r="C18" s="11">
        <v>-12201634.380000001</v>
      </c>
      <c r="D18" s="11"/>
      <c r="E18" s="11">
        <f>-953145.91-930428.18-930428.09-930427.4-930427.83-934020.13-934020.85-6596224.1-1423208.87-1423208.98-1439936.14-1219366.91</f>
        <v>-18644843.390000001</v>
      </c>
      <c r="F18" s="11"/>
      <c r="G18" s="11">
        <f>47441.37+19400.75+98470.02</f>
        <v>165312.14000000001</v>
      </c>
      <c r="H18" s="11"/>
      <c r="I18" s="11">
        <v>0</v>
      </c>
      <c r="J18" s="11"/>
      <c r="K18" s="11">
        <v>0</v>
      </c>
      <c r="L18" s="11"/>
      <c r="M18" s="11">
        <v>0</v>
      </c>
      <c r="N18" s="11"/>
      <c r="O18" s="11">
        <v>0</v>
      </c>
      <c r="P18" s="11"/>
      <c r="Q18" s="11">
        <v>0</v>
      </c>
      <c r="R18" s="7"/>
      <c r="S18" s="11">
        <v>0</v>
      </c>
      <c r="T18" s="7"/>
      <c r="U18" s="7">
        <f t="shared" si="0"/>
        <v>-30681165.630000003</v>
      </c>
      <c r="V18" s="7"/>
    </row>
    <row r="19" spans="1:22" x14ac:dyDescent="0.2">
      <c r="B19" s="3" t="s">
        <v>26</v>
      </c>
      <c r="C19" s="11">
        <v>-228673650.25999999</v>
      </c>
      <c r="D19" s="11"/>
      <c r="E19" s="11">
        <f>-831624.06-832536.35-836713.22-849791.56-855698.03-857510.09-861715.14-863806.86-865179.26-866960.58-871193.02-874160.48</f>
        <v>-10266888.649999999</v>
      </c>
      <c r="F19" s="11"/>
      <c r="G19" s="11">
        <f>953.3+294219.72+312181.22+389082.69+912651.51+241504.77+122186.29+404228.66+77812.94+637596.83+447394.64+269481.57</f>
        <v>4109294.14</v>
      </c>
      <c r="H19" s="11"/>
      <c r="I19" s="11">
        <f>-79550.89-569.33</f>
        <v>-80120.22</v>
      </c>
      <c r="J19" s="11"/>
      <c r="K19" s="11">
        <v>0</v>
      </c>
      <c r="L19" s="11"/>
      <c r="M19" s="11">
        <v>0</v>
      </c>
      <c r="N19" s="11"/>
      <c r="O19" s="11">
        <v>0</v>
      </c>
      <c r="P19" s="11"/>
      <c r="Q19" s="11">
        <v>0</v>
      </c>
      <c r="R19" s="7"/>
      <c r="S19" s="11">
        <v>0</v>
      </c>
      <c r="T19" s="7"/>
      <c r="U19" s="7">
        <f t="shared" si="0"/>
        <v>-234911364.98999998</v>
      </c>
      <c r="V19" s="7"/>
    </row>
    <row r="20" spans="1:22" x14ac:dyDescent="0.2">
      <c r="B20" s="3" t="s">
        <v>27</v>
      </c>
      <c r="C20" s="11">
        <v>-26914.339999999997</v>
      </c>
      <c r="D20" s="11"/>
      <c r="E20" s="11">
        <f>-699.45-699.45-699.45-699.45-699.45-699.44-699.45-699.44-699.45-699.44-699.45-699.45</f>
        <v>-8393.369999999999</v>
      </c>
      <c r="F20" s="11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11"/>
      <c r="Q20" s="11">
        <v>0</v>
      </c>
      <c r="R20" s="7"/>
      <c r="S20" s="11">
        <v>0</v>
      </c>
      <c r="T20" s="7"/>
      <c r="U20" s="7">
        <f t="shared" si="0"/>
        <v>-35307.709999999992</v>
      </c>
      <c r="V20" s="7"/>
    </row>
    <row r="21" spans="1:22" x14ac:dyDescent="0.2">
      <c r="B21" s="3" t="s">
        <v>28</v>
      </c>
      <c r="C21" s="13">
        <v>0</v>
      </c>
      <c r="D21" s="14"/>
      <c r="E21" s="11">
        <v>0</v>
      </c>
      <c r="F21" s="11"/>
      <c r="G21" s="11">
        <v>0</v>
      </c>
      <c r="H21" s="11"/>
      <c r="I21" s="11">
        <v>0</v>
      </c>
      <c r="J21" s="11"/>
      <c r="K21" s="11">
        <v>0</v>
      </c>
      <c r="L21" s="11"/>
      <c r="M21" s="11">
        <v>0</v>
      </c>
      <c r="N21" s="11"/>
      <c r="O21" s="11">
        <v>0</v>
      </c>
      <c r="P21" s="11"/>
      <c r="Q21" s="11">
        <v>0</v>
      </c>
      <c r="R21" s="7"/>
      <c r="S21" s="11">
        <v>0</v>
      </c>
      <c r="T21" s="15"/>
      <c r="U21" s="16">
        <f t="shared" si="0"/>
        <v>0</v>
      </c>
      <c r="V21" s="15"/>
    </row>
    <row r="22" spans="1:22" x14ac:dyDescent="0.2">
      <c r="B22" s="17"/>
      <c r="C22" s="14">
        <f>SUM(C10:C21)</f>
        <v>-2231646923.5500002</v>
      </c>
      <c r="D22" s="14"/>
      <c r="E22" s="18">
        <f>SUM(E10:E21)</f>
        <v>-188382319.23999998</v>
      </c>
      <c r="F22" s="14"/>
      <c r="G22" s="18">
        <f>SUM(G10:G21)</f>
        <v>47928420.079999998</v>
      </c>
      <c r="H22" s="14"/>
      <c r="I22" s="18">
        <f>SUM(I10:I21)</f>
        <v>-2961</v>
      </c>
      <c r="J22" s="14"/>
      <c r="K22" s="18">
        <f>SUM(K10:K21)</f>
        <v>0</v>
      </c>
      <c r="L22" s="14"/>
      <c r="M22" s="18">
        <f>SUM(M10:M21)</f>
        <v>0</v>
      </c>
      <c r="N22" s="14"/>
      <c r="O22" s="18">
        <f>SUM(O10:O21)</f>
        <v>0</v>
      </c>
      <c r="P22" s="14"/>
      <c r="Q22" s="18">
        <f>SUM(Q10:Q21)</f>
        <v>0</v>
      </c>
      <c r="R22" s="15"/>
      <c r="S22" s="18">
        <f>SUM(S10:S21)</f>
        <v>0</v>
      </c>
      <c r="T22" s="15"/>
      <c r="U22" s="14">
        <f>SUM(U10:U21)</f>
        <v>-2372103783.71</v>
      </c>
      <c r="V22" s="14"/>
    </row>
    <row r="23" spans="1:22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5"/>
    </row>
    <row r="24" spans="1:22" x14ac:dyDescent="0.2">
      <c r="A24" s="10" t="s">
        <v>29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x14ac:dyDescent="0.2">
      <c r="B25" s="3" t="s">
        <v>17</v>
      </c>
      <c r="C25" s="14">
        <v>-209743498.40000001</v>
      </c>
      <c r="D25" s="14"/>
      <c r="E25" s="11">
        <f>-808966.75-814936.79-817081.22-821196.16-825756.61-827622.14-830234.16-835113.49-838958.72-841081.65-842813.41-844769.07</f>
        <v>-9948530.1699999999</v>
      </c>
      <c r="F25" s="11"/>
      <c r="G25" s="11">
        <v>0</v>
      </c>
      <c r="H25" s="11"/>
      <c r="I25" s="11">
        <f>21301.9+166.57+14.26</f>
        <v>21482.73</v>
      </c>
      <c r="J25" s="11"/>
      <c r="K25" s="11">
        <v>0</v>
      </c>
      <c r="L25" s="11"/>
      <c r="M25" s="11">
        <v>0</v>
      </c>
      <c r="N25" s="11"/>
      <c r="O25" s="11">
        <f>1026484.18+32.66+715+186.24+270.85+3585.17+868.4+334.19+139.95+54.5+2059.17+622510.77+20704.48+183956.82+10766.54+178519.51+318499.04+284.4+4204.65+7.08+710.35+3073.94+436.61+33.3+233.42+7649.72+3790.84+835338.84+102.32+37.68+7782.68+1804.01+605.65+2530.83+11.76+20.16+193.27+3.59-309.82-250.43-862.16+14753.79+4044.91+389.89+6586.6+93.32+416.92+41.9+596.85+207.96+6982.14+465+562504.17+17.71+150.27+6.01+68.97+1.17+3.46+394.61+333.42+2693.66+803.68+748389.36+38.41+76.19+569.23+209.17+5.3+0.03+0.65+1499.11+8612.3+121156.76+340628.6-40+2264.95+322.01+16.96+4.45+83.97+183.08+2619.53+1815.27+732.34+324304.03+73.68+553.27+359145.22+117.49+1335.72+8371.96+5444.57+2926.66+69.66+65.53+11530.11+1630.79</f>
        <v>5783432.9300000006</v>
      </c>
      <c r="P25" s="11"/>
      <c r="Q25" s="11">
        <v>0</v>
      </c>
      <c r="R25" s="7"/>
      <c r="S25" s="11">
        <f>-32.66-715-186.24-270.85-3585.17-868.4-334.19-139.95-54.5-2059.17-20704.48-10766.54-284.4-4204.65-7.08-710.35-3073.94-436.61-33.3-233.42-7649.72-3790.84-102.32-37.68-7782.68-1804.01-605.65-2530.83-11.76-20.16-193.27-3.59+309.82+250.43+862.16-14753.79-4044.91-389.89-6586.6-93.32-416.92-41.9-596.85-207.96-6982.14-465-17.71-150.27-6.01-68.97-1.17-3.46-394.61-333.42-2693.66-803.68-38.41-76.19-569.23-209.17-5.3-0.03-0.65-1499.11-8612.3+40-2264.95-322.01-16.96-4.45-83.97-183.08-2619.53-1815.27-732.34-73.68-553.27-117.49-1335.72-8371.96-5444.57-2926.66-69.66-65.53-11530.11-1630.79</f>
        <v>-161995.63000000003</v>
      </c>
      <c r="T25" s="15"/>
      <c r="U25" s="15">
        <f t="shared" ref="U25:U31" si="1">S25+Q25+O25+M25+I25+G25+E25+C25</f>
        <v>-214049108.53999999</v>
      </c>
      <c r="V25" s="15"/>
    </row>
    <row r="26" spans="1:22" x14ac:dyDescent="0.2">
      <c r="B26" s="3" t="s">
        <v>19</v>
      </c>
      <c r="C26" s="14">
        <v>28316.839999999967</v>
      </c>
      <c r="D26" s="14"/>
      <c r="E26" s="11">
        <f>-7667.51-7715.06-7699.78-7787.56-7866.22-7864.33-7863.72-7854.3-7841.42-7832.9-7844.88-7914.48</f>
        <v>-93752.16</v>
      </c>
      <c r="F26" s="11"/>
      <c r="G26" s="11">
        <v>0</v>
      </c>
      <c r="H26" s="11"/>
      <c r="I26" s="11">
        <v>-14.26</v>
      </c>
      <c r="J26" s="11"/>
      <c r="K26" s="11">
        <v>0</v>
      </c>
      <c r="L26" s="11"/>
      <c r="M26" s="11">
        <v>0</v>
      </c>
      <c r="N26" s="11"/>
      <c r="O26" s="11">
        <f>4901.6+7645.46+181115.41+7857.67-163.7</f>
        <v>201356.44</v>
      </c>
      <c r="P26" s="11"/>
      <c r="Q26" s="11">
        <v>0</v>
      </c>
      <c r="R26" s="7"/>
      <c r="S26" s="11">
        <v>0</v>
      </c>
      <c r="T26" s="15"/>
      <c r="U26" s="7">
        <f t="shared" si="1"/>
        <v>135906.85999999996</v>
      </c>
      <c r="V26" s="7"/>
    </row>
    <row r="27" spans="1:22" x14ac:dyDescent="0.2">
      <c r="B27" s="3" t="s">
        <v>20</v>
      </c>
      <c r="C27" s="14">
        <v>53565.119999999995</v>
      </c>
      <c r="D27" s="14"/>
      <c r="E27" s="11">
        <f>-3041.66-3042.13-3046.17-3056.93-3061.59-3059.57-3064.07-3069.31-3069.76-3069.17-3068.89-3068.89</f>
        <v>-36718.14</v>
      </c>
      <c r="F27" s="11"/>
      <c r="G27" s="11">
        <v>0</v>
      </c>
      <c r="H27" s="11"/>
      <c r="I27" s="11">
        <v>0</v>
      </c>
      <c r="J27" s="11"/>
      <c r="K27" s="11">
        <v>0</v>
      </c>
      <c r="L27" s="11"/>
      <c r="M27" s="11">
        <v>0</v>
      </c>
      <c r="N27" s="11"/>
      <c r="O27" s="11">
        <v>277.27</v>
      </c>
      <c r="P27" s="11"/>
      <c r="Q27" s="11">
        <v>0</v>
      </c>
      <c r="R27" s="7"/>
      <c r="S27" s="11"/>
      <c r="T27" s="15"/>
      <c r="U27" s="15">
        <f t="shared" si="1"/>
        <v>17124.249999999993</v>
      </c>
      <c r="V27" s="15"/>
    </row>
    <row r="28" spans="1:22" x14ac:dyDescent="0.2">
      <c r="B28" s="3" t="s">
        <v>22</v>
      </c>
      <c r="C28" s="14">
        <v>-4099641.6899999995</v>
      </c>
      <c r="D28" s="14"/>
      <c r="E28" s="11">
        <f>-57922.33-57788.16-57666.32-57674.71-57743.63-57834.76-57854.8-57887.98-57915.8-57960.84-58013.09-58076.28</f>
        <v>-694338.7</v>
      </c>
      <c r="F28" s="11"/>
      <c r="G28" s="11">
        <v>0</v>
      </c>
      <c r="H28" s="11"/>
      <c r="I28" s="11">
        <v>0</v>
      </c>
      <c r="J28" s="11"/>
      <c r="K28" s="11">
        <v>0</v>
      </c>
      <c r="L28" s="11"/>
      <c r="M28" s="11">
        <v>0</v>
      </c>
      <c r="N28" s="11"/>
      <c r="O28" s="11">
        <f>76875+11353.86+143890.95+1518.18+227314.54</f>
        <v>460952.53</v>
      </c>
      <c r="P28" s="11"/>
      <c r="Q28" s="11">
        <v>0</v>
      </c>
      <c r="R28" s="7"/>
      <c r="S28" s="11">
        <v>0</v>
      </c>
      <c r="T28" s="15"/>
      <c r="U28" s="15">
        <f t="shared" si="1"/>
        <v>-4333027.8599999994</v>
      </c>
      <c r="V28" s="15"/>
    </row>
    <row r="29" spans="1:22" x14ac:dyDescent="0.2">
      <c r="B29" s="3" t="s">
        <v>24</v>
      </c>
      <c r="C29" s="19">
        <v>-162730738.85999998</v>
      </c>
      <c r="D29" s="14"/>
      <c r="E29" s="11">
        <f>-555725.73-556259.75-557316.8-558506.43-558601.63-569640.28-580839.4-580751.2-596546.32-612488.41-620243.37-629985.56</f>
        <v>-6976904.8800000008</v>
      </c>
      <c r="F29" s="11"/>
      <c r="G29" s="11">
        <v>0</v>
      </c>
      <c r="H29" s="11"/>
      <c r="I29" s="11">
        <v>0</v>
      </c>
      <c r="J29" s="11"/>
      <c r="K29" s="11">
        <v>0</v>
      </c>
      <c r="L29" s="11"/>
      <c r="M29" s="11">
        <v>0</v>
      </c>
      <c r="N29" s="11"/>
      <c r="O29" s="11">
        <f>215375.61+59155.23+154760.83+167412.59+49324.88+62462.49+2330+6660+62028.13+2634787.31+11339.31+174014.53-38924.27+182656.54+363515.1</f>
        <v>4106898.28</v>
      </c>
      <c r="P29" s="11"/>
      <c r="Q29" s="11">
        <v>0</v>
      </c>
      <c r="R29" s="7"/>
      <c r="S29" s="11">
        <f>-49324.88-2330-6660+38924.27</f>
        <v>-19390.61</v>
      </c>
      <c r="T29" s="15"/>
      <c r="U29" s="15">
        <f t="shared" si="1"/>
        <v>-165620136.06999999</v>
      </c>
      <c r="V29" s="15"/>
    </row>
    <row r="30" spans="1:22" x14ac:dyDescent="0.2">
      <c r="B30" s="3" t="s">
        <v>26</v>
      </c>
      <c r="C30" s="14">
        <v>-134158708.79000001</v>
      </c>
      <c r="D30" s="14"/>
      <c r="E30" s="11">
        <f>-306513.22-306788.48-307997.38-311715.43-312618.18-313487.16-315669.99-316825.42-317752.02-319067.07-320695.94-321323.23</f>
        <v>-3770453.5199999996</v>
      </c>
      <c r="F30" s="11"/>
      <c r="G30" s="11">
        <v>0</v>
      </c>
      <c r="H30" s="11"/>
      <c r="I30" s="11">
        <f>-21301.9-166.57</f>
        <v>-21468.47</v>
      </c>
      <c r="J30" s="11"/>
      <c r="K30" s="11">
        <v>0</v>
      </c>
      <c r="L30" s="11"/>
      <c r="M30" s="11">
        <v>0</v>
      </c>
      <c r="N30" s="11"/>
      <c r="O30" s="11">
        <f>43459.68+142987.16+1002631.65+268672.55+253204.39+698739.1+14152.79+4281.57+922526.18+71264.76+151.18+2022.7+625118.29+105160.57+20066.7+17210.04+696.55+1221.08+2246.99+364.26+1404.68+176.03+13032.43+747.95+8908.38+1479.91+766917.13+5791.27+3079.6+376.66+3046.12+7155.15+143353.53+205488.83+9264.3</f>
        <v>5366400.16</v>
      </c>
      <c r="P30" s="11"/>
      <c r="Q30" s="11">
        <v>0</v>
      </c>
      <c r="R30" s="7"/>
      <c r="S30" s="11">
        <f>-142987.16-14152.79-4281.57-151.18-2022.7-20066.7-17210.04-696.55-1221.08-2246.99-364.26-1404.68-176.03-13032.43-747.95-8908.38-1479.91-5791.27-3079.6-376.66-3046.12-7155.15-9264.3</f>
        <v>-259863.5</v>
      </c>
      <c r="T30" s="15"/>
      <c r="U30" s="15">
        <f t="shared" si="1"/>
        <v>-132844094.12</v>
      </c>
      <c r="V30" s="15"/>
    </row>
    <row r="31" spans="1:22" x14ac:dyDescent="0.2">
      <c r="B31" s="3" t="s">
        <v>28</v>
      </c>
      <c r="C31" s="13">
        <v>0</v>
      </c>
      <c r="D31" s="14"/>
      <c r="E31" s="11">
        <v>0</v>
      </c>
      <c r="F31" s="11"/>
      <c r="G31" s="11">
        <v>0</v>
      </c>
      <c r="H31" s="11"/>
      <c r="I31" s="11">
        <v>0</v>
      </c>
      <c r="J31" s="11"/>
      <c r="K31" s="11">
        <v>0</v>
      </c>
      <c r="L31" s="11"/>
      <c r="M31" s="11">
        <v>0</v>
      </c>
      <c r="N31" s="11"/>
      <c r="O31" s="11">
        <v>0</v>
      </c>
      <c r="P31" s="11"/>
      <c r="Q31" s="11">
        <v>0</v>
      </c>
      <c r="R31" s="7"/>
      <c r="S31" s="11">
        <v>0</v>
      </c>
      <c r="T31" s="15"/>
      <c r="U31" s="16">
        <f t="shared" si="1"/>
        <v>0</v>
      </c>
      <c r="V31" s="15"/>
    </row>
    <row r="32" spans="1:22" x14ac:dyDescent="0.2">
      <c r="B32" s="17"/>
      <c r="C32" s="14">
        <f>SUM(C25:C31)</f>
        <v>-510650705.78000003</v>
      </c>
      <c r="D32" s="14"/>
      <c r="E32" s="18">
        <f>SUM(E25:E31)</f>
        <v>-21520697.57</v>
      </c>
      <c r="F32" s="14"/>
      <c r="G32" s="18">
        <f>SUM(G25:G31)</f>
        <v>0</v>
      </c>
      <c r="H32" s="14"/>
      <c r="I32" s="18">
        <f>SUM(I25:I31)</f>
        <v>0</v>
      </c>
      <c r="J32" s="14"/>
      <c r="K32" s="18">
        <f>SUM(K25:K31)</f>
        <v>0</v>
      </c>
      <c r="L32" s="14"/>
      <c r="M32" s="18">
        <f>SUM(M25:M31)</f>
        <v>0</v>
      </c>
      <c r="N32" s="14"/>
      <c r="O32" s="18">
        <f>SUM(O25:O31)</f>
        <v>15919317.610000001</v>
      </c>
      <c r="P32" s="14"/>
      <c r="Q32" s="18">
        <f>SUM(Q25:Q31)</f>
        <v>0</v>
      </c>
      <c r="R32" s="15"/>
      <c r="S32" s="18">
        <f>SUM(S25:S31)</f>
        <v>-441249.74000000005</v>
      </c>
      <c r="T32" s="15"/>
      <c r="U32" s="14">
        <f>SUM(U25:U31)</f>
        <v>-516693335.47999996</v>
      </c>
      <c r="V32" s="14"/>
    </row>
    <row r="33" spans="1:22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2">
      <c r="A34" s="10" t="s">
        <v>30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2">
      <c r="B35" s="3" t="s">
        <v>17</v>
      </c>
      <c r="C35" s="14">
        <v>51200434.13000001</v>
      </c>
      <c r="D35" s="14"/>
      <c r="E35" s="11">
        <f>78116.16+78757.56+78979.99+79356.08+79747.69+79871.29+80073.46+80543.82+80910.5+81090.47+81214.6+81361.7</f>
        <v>960023.32</v>
      </c>
      <c r="F35" s="11"/>
      <c r="G35" s="11">
        <v>0</v>
      </c>
      <c r="H35" s="11"/>
      <c r="I35" s="11">
        <v>0</v>
      </c>
      <c r="J35" s="11"/>
      <c r="K35" s="11">
        <v>0</v>
      </c>
      <c r="L35" s="11"/>
      <c r="M35" s="11">
        <v>0</v>
      </c>
      <c r="N35" s="11"/>
      <c r="O35" s="11">
        <v>0</v>
      </c>
      <c r="P35" s="11"/>
      <c r="Q35" s="11">
        <f>-121806.58-44927.57-30019.8-4216.93-153526.3-344258.48-29070.7-81748.02-3471.27-96371.43-40574.19-26484.99</f>
        <v>-976476.25999999978</v>
      </c>
      <c r="R35" s="7"/>
      <c r="S35" s="11">
        <v>0</v>
      </c>
      <c r="T35" s="15"/>
      <c r="U35" s="15">
        <f t="shared" ref="U35:U41" si="2">S35+Q35+O35+M35+I35+G35+E35+C35</f>
        <v>51183981.190000013</v>
      </c>
      <c r="V35" s="15"/>
    </row>
    <row r="36" spans="1:22" x14ac:dyDescent="0.2">
      <c r="B36" s="3" t="s">
        <v>19</v>
      </c>
      <c r="C36" s="14">
        <v>110763.64000000001</v>
      </c>
      <c r="D36" s="14"/>
      <c r="E36" s="11">
        <v>0</v>
      </c>
      <c r="F36" s="11"/>
      <c r="G36" s="11">
        <v>0</v>
      </c>
      <c r="H36" s="11"/>
      <c r="I36" s="11">
        <v>0</v>
      </c>
      <c r="J36" s="11"/>
      <c r="K36" s="11">
        <v>0</v>
      </c>
      <c r="L36" s="11"/>
      <c r="M36" s="11">
        <v>0</v>
      </c>
      <c r="N36" s="11"/>
      <c r="O36" s="11">
        <v>0</v>
      </c>
      <c r="P36" s="11"/>
      <c r="Q36" s="11">
        <f>-6483.61+6483.61</f>
        <v>0</v>
      </c>
      <c r="R36" s="7"/>
      <c r="S36" s="11">
        <v>0</v>
      </c>
      <c r="T36" s="15"/>
      <c r="U36" s="15">
        <f>S36+Q36+O36+M36+I36+G36+E36+C36</f>
        <v>110763.64000000001</v>
      </c>
      <c r="V36" s="15"/>
    </row>
    <row r="37" spans="1:22" x14ac:dyDescent="0.2">
      <c r="B37" s="3" t="s">
        <v>20</v>
      </c>
      <c r="C37" s="14">
        <v>51648.800000000003</v>
      </c>
      <c r="D37" s="14"/>
      <c r="E37" s="11">
        <f>457.42+457.54+458.19+458.85+458.3+457.75+457.75+457.75+457.75+457.75+457.75+457.75</f>
        <v>5494.55</v>
      </c>
      <c r="F37" s="11"/>
      <c r="G37" s="11">
        <v>0</v>
      </c>
      <c r="H37" s="11"/>
      <c r="I37" s="11">
        <v>0</v>
      </c>
      <c r="J37" s="11"/>
      <c r="K37" s="11">
        <v>0</v>
      </c>
      <c r="L37" s="11"/>
      <c r="M37" s="11">
        <v>0</v>
      </c>
      <c r="N37" s="11"/>
      <c r="O37" s="11">
        <v>0</v>
      </c>
      <c r="P37" s="11"/>
      <c r="Q37" s="11">
        <v>0</v>
      </c>
      <c r="R37" s="7"/>
      <c r="S37" s="11">
        <v>0</v>
      </c>
      <c r="T37" s="15"/>
      <c r="U37" s="15">
        <f t="shared" si="2"/>
        <v>57143.350000000006</v>
      </c>
      <c r="V37" s="15"/>
    </row>
    <row r="38" spans="1:22" x14ac:dyDescent="0.2">
      <c r="B38" s="3" t="s">
        <v>22</v>
      </c>
      <c r="C38" s="14">
        <v>789722.09</v>
      </c>
      <c r="D38" s="14"/>
      <c r="E38" s="11">
        <f>14415.57+14382.85+14355.55+14359.83+14378.72+14403.05+14410.38+14416.64+14420.1+14419.98+14420.53+14424.81</f>
        <v>172808.01</v>
      </c>
      <c r="F38" s="11"/>
      <c r="G38" s="11">
        <v>0</v>
      </c>
      <c r="H38" s="11"/>
      <c r="I38" s="11">
        <v>0</v>
      </c>
      <c r="J38" s="11"/>
      <c r="K38" s="11">
        <v>0</v>
      </c>
      <c r="L38" s="11"/>
      <c r="M38" s="11">
        <v>0</v>
      </c>
      <c r="N38" s="11"/>
      <c r="O38" s="11">
        <v>0</v>
      </c>
      <c r="P38" s="11"/>
      <c r="Q38" s="11">
        <v>-11529</v>
      </c>
      <c r="R38" s="7"/>
      <c r="S38" s="11">
        <v>0</v>
      </c>
      <c r="T38" s="15"/>
      <c r="U38" s="15">
        <f t="shared" si="2"/>
        <v>951001.1</v>
      </c>
      <c r="V38" s="15"/>
    </row>
    <row r="39" spans="1:22" x14ac:dyDescent="0.2">
      <c r="B39" s="3" t="s">
        <v>24</v>
      </c>
      <c r="C39" s="14">
        <v>27101363.030000005</v>
      </c>
      <c r="D39" s="14"/>
      <c r="E39" s="11">
        <f>144461.82+138919.63+139101.09+139331.2+139377.83+142615.21+145895.25+145820.33+149973.41+154219.35+154205.77+156740.51</f>
        <v>1750661.4</v>
      </c>
      <c r="F39" s="11"/>
      <c r="G39" s="11">
        <v>0</v>
      </c>
      <c r="H39" s="11"/>
      <c r="I39" s="11">
        <v>0</v>
      </c>
      <c r="J39" s="11"/>
      <c r="K39" s="11">
        <v>0</v>
      </c>
      <c r="L39" s="11"/>
      <c r="M39" s="11">
        <v>0</v>
      </c>
      <c r="N39" s="11"/>
      <c r="O39" s="11">
        <v>0</v>
      </c>
      <c r="P39" s="11"/>
      <c r="Q39" s="11">
        <f>-128288.23-2841.66</f>
        <v>-131129.88999999998</v>
      </c>
      <c r="R39" s="7"/>
      <c r="S39" s="11">
        <v>0</v>
      </c>
      <c r="T39" s="15"/>
      <c r="U39" s="15">
        <f t="shared" si="2"/>
        <v>28720894.540000007</v>
      </c>
      <c r="V39" s="15"/>
    </row>
    <row r="40" spans="1:22" x14ac:dyDescent="0.2">
      <c r="B40" s="3" t="s">
        <v>26</v>
      </c>
      <c r="C40" s="14">
        <v>24453759.270000003</v>
      </c>
      <c r="D40" s="14"/>
      <c r="E40" s="11">
        <f>28932.9+34650.09+34803.67+35325.46+35493.55+35601.78+35826.24+35932.35+36009.36+36109.49+36247.54+36317.68</f>
        <v>421250.10999999993</v>
      </c>
      <c r="F40" s="11"/>
      <c r="G40" s="11">
        <v>0</v>
      </c>
      <c r="H40" s="11"/>
      <c r="I40" s="11">
        <v>0</v>
      </c>
      <c r="J40" s="11"/>
      <c r="K40" s="11">
        <v>0</v>
      </c>
      <c r="L40" s="11"/>
      <c r="M40" s="11">
        <v>0</v>
      </c>
      <c r="N40" s="11"/>
      <c r="O40" s="11">
        <v>0</v>
      </c>
      <c r="P40" s="11"/>
      <c r="Q40" s="11">
        <f>-67206.33-13543.71-1711.97-23061.06-2857.75-7455.88-5918.55-46943.65</f>
        <v>-168698.90000000002</v>
      </c>
      <c r="R40" s="7"/>
      <c r="S40" s="11">
        <v>0</v>
      </c>
      <c r="T40" s="15"/>
      <c r="U40" s="15">
        <f t="shared" si="2"/>
        <v>24706310.480000004</v>
      </c>
      <c r="V40" s="15"/>
    </row>
    <row r="41" spans="1:22" x14ac:dyDescent="0.2">
      <c r="B41" s="3" t="s">
        <v>28</v>
      </c>
      <c r="C41" s="13">
        <v>0</v>
      </c>
      <c r="D41" s="14"/>
      <c r="E41" s="11">
        <v>0</v>
      </c>
      <c r="F41" s="11"/>
      <c r="G41" s="11">
        <v>0</v>
      </c>
      <c r="H41" s="11"/>
      <c r="I41" s="11">
        <v>0</v>
      </c>
      <c r="J41" s="11"/>
      <c r="K41" s="11">
        <v>0</v>
      </c>
      <c r="L41" s="11"/>
      <c r="M41" s="11">
        <v>0</v>
      </c>
      <c r="N41" s="11"/>
      <c r="O41" s="11">
        <v>0</v>
      </c>
      <c r="P41" s="11"/>
      <c r="Q41" s="11">
        <v>0</v>
      </c>
      <c r="R41" s="7"/>
      <c r="S41" s="11">
        <v>0</v>
      </c>
      <c r="T41" s="15"/>
      <c r="U41" s="16">
        <f t="shared" si="2"/>
        <v>0</v>
      </c>
      <c r="V41" s="15"/>
    </row>
    <row r="42" spans="1:22" x14ac:dyDescent="0.2">
      <c r="B42" s="17"/>
      <c r="C42" s="14">
        <f>SUM(C35:C41)</f>
        <v>103707690.96000001</v>
      </c>
      <c r="D42" s="14"/>
      <c r="E42" s="18">
        <f>SUM(E35:E41)</f>
        <v>3310237.3899999997</v>
      </c>
      <c r="F42" s="14"/>
      <c r="G42" s="18">
        <f>SUM(G35:G41)</f>
        <v>0</v>
      </c>
      <c r="H42" s="14"/>
      <c r="I42" s="18">
        <f>SUM(I35:I41)</f>
        <v>0</v>
      </c>
      <c r="J42" s="14"/>
      <c r="K42" s="18">
        <f>SUM(K35:K41)</f>
        <v>0</v>
      </c>
      <c r="L42" s="14"/>
      <c r="M42" s="18">
        <f>SUM(M35:M41)</f>
        <v>0</v>
      </c>
      <c r="N42" s="14"/>
      <c r="O42" s="18">
        <f>SUM(O35:O41)</f>
        <v>0</v>
      </c>
      <c r="P42" s="14"/>
      <c r="Q42" s="18">
        <f>SUM(Q35:Q41)</f>
        <v>-1287834.0499999998</v>
      </c>
      <c r="R42" s="15"/>
      <c r="S42" s="18">
        <f>SUM(S35:S41)</f>
        <v>0</v>
      </c>
      <c r="T42" s="15"/>
      <c r="U42" s="14">
        <f>SUM(U35:U41)</f>
        <v>105730094.30000003</v>
      </c>
      <c r="V42" s="14"/>
    </row>
    <row r="43" spans="1:22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2">
      <c r="A44" s="10" t="s">
        <v>31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2">
      <c r="A45" s="10"/>
      <c r="B45" s="3" t="s">
        <v>17</v>
      </c>
      <c r="C45" s="7">
        <f>C10+C25+C35</f>
        <v>-607986637.42999995</v>
      </c>
      <c r="D45" s="7"/>
      <c r="E45" s="7">
        <f>E10+E25+E35</f>
        <v>-40673935.439999998</v>
      </c>
      <c r="F45" s="7"/>
      <c r="G45" s="7">
        <f>G10+G25+G35</f>
        <v>14923545.380000001</v>
      </c>
      <c r="H45" s="7"/>
      <c r="I45" s="7">
        <f>I10+I25+I35</f>
        <v>99096.15</v>
      </c>
      <c r="J45" s="7"/>
      <c r="K45" s="7">
        <f>K10+K25+K35</f>
        <v>0</v>
      </c>
      <c r="L45" s="7"/>
      <c r="M45" s="7">
        <f>M10+M25+M35</f>
        <v>0</v>
      </c>
      <c r="N45" s="7"/>
      <c r="O45" s="7">
        <f>O10+O25+O35</f>
        <v>5783432.9300000006</v>
      </c>
      <c r="P45" s="7"/>
      <c r="Q45" s="7">
        <f>Q10+Q25+Q35</f>
        <v>-976476.25999999978</v>
      </c>
      <c r="R45" s="7"/>
      <c r="S45" s="7">
        <f>S10+S25+S35</f>
        <v>-161995.63000000003</v>
      </c>
      <c r="T45" s="7"/>
      <c r="U45" s="7">
        <f>U10+U25+U35</f>
        <v>-628992970.29999995</v>
      </c>
      <c r="V45" s="7"/>
    </row>
    <row r="46" spans="1:22" x14ac:dyDescent="0.2">
      <c r="A46" s="10"/>
      <c r="B46" s="3" t="s">
        <v>18</v>
      </c>
      <c r="C46" s="7">
        <f>C11</f>
        <v>-59815.76999999996</v>
      </c>
      <c r="D46" s="7"/>
      <c r="E46" s="7">
        <f>E11</f>
        <v>-40492.659999999996</v>
      </c>
      <c r="F46" s="7"/>
      <c r="G46" s="7">
        <f>G11</f>
        <v>19027.21</v>
      </c>
      <c r="H46" s="7"/>
      <c r="I46" s="7">
        <f>I11</f>
        <v>0</v>
      </c>
      <c r="J46" s="7"/>
      <c r="K46" s="7">
        <f>K11</f>
        <v>0</v>
      </c>
      <c r="L46" s="7"/>
      <c r="M46" s="7">
        <f>M11</f>
        <v>0</v>
      </c>
      <c r="N46" s="7"/>
      <c r="O46" s="7">
        <f>O11</f>
        <v>0</v>
      </c>
      <c r="P46" s="7"/>
      <c r="Q46" s="7">
        <f>Q11</f>
        <v>0</v>
      </c>
      <c r="R46" s="7"/>
      <c r="S46" s="7">
        <f>S11</f>
        <v>0</v>
      </c>
      <c r="T46" s="7"/>
      <c r="U46" s="7">
        <f>U11</f>
        <v>-81281.219999999958</v>
      </c>
      <c r="V46" s="7"/>
    </row>
    <row r="47" spans="1:22" x14ac:dyDescent="0.2">
      <c r="A47" s="10"/>
      <c r="B47" s="3" t="s">
        <v>19</v>
      </c>
      <c r="C47" s="7">
        <f>C12+C26+C36</f>
        <v>-65035303.799999997</v>
      </c>
      <c r="D47" s="7"/>
      <c r="E47" s="7">
        <f>E12+E26+E36</f>
        <v>-10321290.289999999</v>
      </c>
      <c r="F47" s="7"/>
      <c r="G47" s="7">
        <f>G12+G26+G36</f>
        <v>3201070.1</v>
      </c>
      <c r="H47" s="7"/>
      <c r="I47" s="7">
        <f>I12+I26+I36</f>
        <v>-468.45999999999964</v>
      </c>
      <c r="J47" s="7"/>
      <c r="K47" s="7">
        <f>K12+K26+K36</f>
        <v>0</v>
      </c>
      <c r="L47" s="7"/>
      <c r="M47" s="7">
        <f>M12+M26+M36</f>
        <v>0</v>
      </c>
      <c r="N47" s="7"/>
      <c r="O47" s="7">
        <f>O12+O26+O36</f>
        <v>201356.44</v>
      </c>
      <c r="P47" s="7"/>
      <c r="Q47" s="7">
        <f>Q12+Q26+Q36</f>
        <v>0</v>
      </c>
      <c r="R47" s="7"/>
      <c r="S47" s="7">
        <f>S12+S26+S36</f>
        <v>0</v>
      </c>
      <c r="T47" s="7"/>
      <c r="U47" s="7">
        <f>U12+U26+U36</f>
        <v>-71954636.010000005</v>
      </c>
      <c r="V47" s="7"/>
    </row>
    <row r="48" spans="1:22" x14ac:dyDescent="0.2">
      <c r="A48" s="10"/>
      <c r="B48" s="3" t="s">
        <v>20</v>
      </c>
      <c r="C48" s="7">
        <f>C13+C27+C37</f>
        <v>-8781283.5700000003</v>
      </c>
      <c r="D48" s="7"/>
      <c r="E48" s="7">
        <f>E13+E27+E37</f>
        <v>-1120017.3799999999</v>
      </c>
      <c r="F48" s="7"/>
      <c r="G48" s="7">
        <f>G13+G27+G37</f>
        <v>20050.91</v>
      </c>
      <c r="H48" s="7"/>
      <c r="I48" s="7">
        <f>I13+I27+I37</f>
        <v>0</v>
      </c>
      <c r="J48" s="7"/>
      <c r="K48" s="7">
        <f>K13+K27+K37</f>
        <v>0</v>
      </c>
      <c r="L48" s="7"/>
      <c r="M48" s="7">
        <f>M13+M27+M37</f>
        <v>0</v>
      </c>
      <c r="N48" s="7"/>
      <c r="O48" s="7">
        <f>O13+O27+O37</f>
        <v>277.27</v>
      </c>
      <c r="P48" s="7"/>
      <c r="Q48" s="7">
        <f>Q13+Q27+Q37</f>
        <v>0</v>
      </c>
      <c r="R48" s="7"/>
      <c r="S48" s="7">
        <f>S13+S27+S37</f>
        <v>0</v>
      </c>
      <c r="T48" s="7"/>
      <c r="U48" s="7">
        <f>U13+U27+U37</f>
        <v>-9880972.7700000014</v>
      </c>
      <c r="V48" s="7"/>
    </row>
    <row r="49" spans="1:22" x14ac:dyDescent="0.2">
      <c r="A49" s="10"/>
      <c r="B49" s="3" t="s">
        <v>21</v>
      </c>
      <c r="C49" s="7">
        <f>C14</f>
        <v>-13460.869999999999</v>
      </c>
      <c r="D49" s="7"/>
      <c r="E49" s="7">
        <f>E14</f>
        <v>-7104.96</v>
      </c>
      <c r="F49" s="7"/>
      <c r="G49" s="7">
        <f>G14</f>
        <v>0</v>
      </c>
      <c r="H49" s="7"/>
      <c r="I49" s="7">
        <f>I14</f>
        <v>0</v>
      </c>
      <c r="J49" s="7"/>
      <c r="K49" s="7">
        <f>K14</f>
        <v>0</v>
      </c>
      <c r="L49" s="7"/>
      <c r="M49" s="7">
        <f>M14</f>
        <v>0</v>
      </c>
      <c r="N49" s="7"/>
      <c r="O49" s="7">
        <f>O14</f>
        <v>0</v>
      </c>
      <c r="P49" s="7"/>
      <c r="Q49" s="7">
        <f>Q14</f>
        <v>0</v>
      </c>
      <c r="R49" s="7"/>
      <c r="S49" s="7">
        <f>S14</f>
        <v>0</v>
      </c>
      <c r="T49" s="7"/>
      <c r="U49" s="7">
        <f>U14</f>
        <v>-20565.829999999998</v>
      </c>
      <c r="V49" s="7"/>
    </row>
    <row r="50" spans="1:22" x14ac:dyDescent="0.2">
      <c r="A50" s="10"/>
      <c r="B50" s="3" t="s">
        <v>22</v>
      </c>
      <c r="C50" s="7">
        <f>C15+C28+C38</f>
        <v>-203770461.60000002</v>
      </c>
      <c r="D50" s="7"/>
      <c r="E50" s="7">
        <f>E15+E28+E38</f>
        <v>-21950107.949999996</v>
      </c>
      <c r="F50" s="7"/>
      <c r="G50" s="7">
        <f>G15+G28+G38</f>
        <v>2651278.4700000002</v>
      </c>
      <c r="H50" s="7"/>
      <c r="I50" s="7">
        <f>I15+I28+I38</f>
        <v>0</v>
      </c>
      <c r="J50" s="7"/>
      <c r="K50" s="7">
        <f>K15+K28+K38</f>
        <v>0</v>
      </c>
      <c r="L50" s="7"/>
      <c r="M50" s="7">
        <f>M15+M28+M38</f>
        <v>0</v>
      </c>
      <c r="N50" s="7"/>
      <c r="O50" s="7">
        <f>O15+O28+O38</f>
        <v>460952.53</v>
      </c>
      <c r="P50" s="7"/>
      <c r="Q50" s="7">
        <f>Q15+Q28+Q38</f>
        <v>-11529</v>
      </c>
      <c r="R50" s="7"/>
      <c r="S50" s="7">
        <f>S15+S28+S38</f>
        <v>0</v>
      </c>
      <c r="T50" s="7"/>
      <c r="U50" s="7">
        <f>U15+U28+U38</f>
        <v>-222619867.55000004</v>
      </c>
      <c r="V50" s="7"/>
    </row>
    <row r="51" spans="1:22" x14ac:dyDescent="0.2">
      <c r="A51" s="10"/>
      <c r="B51" s="3" t="s">
        <v>23</v>
      </c>
      <c r="C51" s="7">
        <f>C16</f>
        <v>5.2402526762307389E-12</v>
      </c>
      <c r="D51" s="7"/>
      <c r="E51" s="7">
        <f>E16</f>
        <v>0</v>
      </c>
      <c r="F51" s="7"/>
      <c r="G51" s="7">
        <f>G16</f>
        <v>0</v>
      </c>
      <c r="H51" s="7"/>
      <c r="I51" s="7">
        <f>I16</f>
        <v>0</v>
      </c>
      <c r="J51" s="7"/>
      <c r="K51" s="7">
        <f>K16</f>
        <v>0</v>
      </c>
      <c r="L51" s="7"/>
      <c r="M51" s="7">
        <f>M16</f>
        <v>0</v>
      </c>
      <c r="N51" s="7"/>
      <c r="O51" s="7">
        <f>O16</f>
        <v>0</v>
      </c>
      <c r="P51" s="7"/>
      <c r="Q51" s="7">
        <f>Q16</f>
        <v>0</v>
      </c>
      <c r="R51" s="7"/>
      <c r="S51" s="7">
        <f>S16</f>
        <v>0</v>
      </c>
      <c r="T51" s="7"/>
      <c r="U51" s="7">
        <f>U16</f>
        <v>5.2402526762307389E-12</v>
      </c>
      <c r="V51" s="7"/>
    </row>
    <row r="52" spans="1:22" x14ac:dyDescent="0.2">
      <c r="A52" s="10"/>
      <c r="B52" s="3" t="s">
        <v>24</v>
      </c>
      <c r="C52" s="7">
        <f>C17+C29+C39</f>
        <v>-1402335826.8299999</v>
      </c>
      <c r="D52" s="7"/>
      <c r="E52" s="7">
        <f>E17+E29+E39</f>
        <v>-100210501.91999999</v>
      </c>
      <c r="F52" s="7"/>
      <c r="G52" s="7">
        <f>G17+G29+G39</f>
        <v>22838841.729999997</v>
      </c>
      <c r="H52" s="7"/>
      <c r="I52" s="7">
        <f>I17+I29+I39</f>
        <v>0</v>
      </c>
      <c r="J52" s="7"/>
      <c r="K52" s="7">
        <f>K17+K29+K39</f>
        <v>0</v>
      </c>
      <c r="L52" s="7"/>
      <c r="M52" s="7">
        <f>M17+M29+M39</f>
        <v>0</v>
      </c>
      <c r="N52" s="7"/>
      <c r="O52" s="7">
        <f>O17+O29+O39</f>
        <v>4106898.28</v>
      </c>
      <c r="P52" s="7"/>
      <c r="Q52" s="7">
        <f>Q17+Q29+Q39</f>
        <v>-131129.88999999998</v>
      </c>
      <c r="R52" s="7"/>
      <c r="S52" s="7">
        <f>S17+S29+S39</f>
        <v>-19390.61</v>
      </c>
      <c r="T52" s="7"/>
      <c r="U52" s="7">
        <f>U17+U29+U39</f>
        <v>-1475751109.24</v>
      </c>
      <c r="V52" s="7"/>
    </row>
    <row r="53" spans="1:22" x14ac:dyDescent="0.2">
      <c r="A53" s="10"/>
      <c r="B53" s="3" t="s">
        <v>25</v>
      </c>
      <c r="C53" s="7">
        <f>C18</f>
        <v>-12201634.380000001</v>
      </c>
      <c r="D53" s="7"/>
      <c r="E53" s="7">
        <f>E18</f>
        <v>-18644843.390000001</v>
      </c>
      <c r="F53" s="7"/>
      <c r="G53" s="7">
        <f>G18</f>
        <v>165312.14000000001</v>
      </c>
      <c r="H53" s="7"/>
      <c r="I53" s="7">
        <f>I18</f>
        <v>0</v>
      </c>
      <c r="J53" s="7"/>
      <c r="K53" s="7">
        <f>K18</f>
        <v>0</v>
      </c>
      <c r="L53" s="7"/>
      <c r="M53" s="7">
        <f>M18</f>
        <v>0</v>
      </c>
      <c r="N53" s="7"/>
      <c r="O53" s="7">
        <f>O18</f>
        <v>0</v>
      </c>
      <c r="P53" s="7"/>
      <c r="Q53" s="7">
        <f>Q18</f>
        <v>0</v>
      </c>
      <c r="R53" s="7"/>
      <c r="S53" s="7">
        <f>S18</f>
        <v>0</v>
      </c>
      <c r="T53" s="7"/>
      <c r="U53" s="7">
        <f>U18</f>
        <v>-30681165.630000003</v>
      </c>
      <c r="V53" s="7"/>
    </row>
    <row r="54" spans="1:22" x14ac:dyDescent="0.2">
      <c r="A54" s="10"/>
      <c r="B54" s="3" t="s">
        <v>26</v>
      </c>
      <c r="C54" s="7">
        <f>C19+C30+C40</f>
        <v>-338378599.78000003</v>
      </c>
      <c r="D54" s="7"/>
      <c r="E54" s="7">
        <f>E19+E30+E40</f>
        <v>-13616092.059999999</v>
      </c>
      <c r="F54" s="7"/>
      <c r="G54" s="7">
        <f>G19+G30+G40</f>
        <v>4109294.14</v>
      </c>
      <c r="H54" s="7"/>
      <c r="I54" s="7">
        <f>I19+I30+I40</f>
        <v>-101588.69</v>
      </c>
      <c r="J54" s="7"/>
      <c r="K54" s="7">
        <f>K19+K30+K40</f>
        <v>0</v>
      </c>
      <c r="L54" s="7"/>
      <c r="M54" s="7">
        <f>M19+M30+M40</f>
        <v>0</v>
      </c>
      <c r="N54" s="7"/>
      <c r="O54" s="7">
        <f>O19+O30+O40</f>
        <v>5366400.16</v>
      </c>
      <c r="P54" s="7"/>
      <c r="Q54" s="7">
        <f>Q19+Q30+Q40</f>
        <v>-168698.90000000002</v>
      </c>
      <c r="R54" s="7"/>
      <c r="S54" s="7">
        <f>S19+S30+S40</f>
        <v>-259863.5</v>
      </c>
      <c r="T54" s="7"/>
      <c r="U54" s="7">
        <f>U19+U30+U40</f>
        <v>-343049148.63</v>
      </c>
      <c r="V54" s="7"/>
    </row>
    <row r="55" spans="1:22" x14ac:dyDescent="0.2">
      <c r="A55" s="10"/>
      <c r="B55" s="3" t="s">
        <v>27</v>
      </c>
      <c r="C55" s="7">
        <f>C20</f>
        <v>-26914.339999999997</v>
      </c>
      <c r="D55" s="7"/>
      <c r="E55" s="7">
        <f>E20</f>
        <v>-8393.369999999999</v>
      </c>
      <c r="F55" s="7"/>
      <c r="G55" s="7">
        <f>G20</f>
        <v>0</v>
      </c>
      <c r="H55" s="7"/>
      <c r="I55" s="7">
        <f>I20</f>
        <v>0</v>
      </c>
      <c r="J55" s="7"/>
      <c r="K55" s="7">
        <f>K20</f>
        <v>0</v>
      </c>
      <c r="L55" s="7"/>
      <c r="M55" s="7">
        <f>M20</f>
        <v>0</v>
      </c>
      <c r="N55" s="7"/>
      <c r="O55" s="7">
        <f>O20</f>
        <v>0</v>
      </c>
      <c r="P55" s="7"/>
      <c r="Q55" s="7">
        <f>Q20</f>
        <v>0</v>
      </c>
      <c r="R55" s="7"/>
      <c r="S55" s="7">
        <f>S20</f>
        <v>0</v>
      </c>
      <c r="T55" s="7"/>
      <c r="U55" s="23">
        <f>U20</f>
        <v>-35307.709999999992</v>
      </c>
      <c r="V55" s="7"/>
    </row>
    <row r="56" spans="1:22" x14ac:dyDescent="0.2">
      <c r="A56" s="10"/>
      <c r="B56" s="3" t="s">
        <v>28</v>
      </c>
      <c r="C56" s="16">
        <v>0</v>
      </c>
      <c r="D56" s="7"/>
      <c r="E56" s="16">
        <v>0</v>
      </c>
      <c r="F56" s="7"/>
      <c r="G56" s="16">
        <v>0</v>
      </c>
      <c r="H56" s="7"/>
      <c r="I56" s="16">
        <v>0</v>
      </c>
      <c r="J56" s="15"/>
      <c r="K56" s="16">
        <v>0</v>
      </c>
      <c r="L56" s="7"/>
      <c r="M56" s="16">
        <v>0</v>
      </c>
      <c r="N56" s="7"/>
      <c r="O56" s="16">
        <v>0</v>
      </c>
      <c r="P56" s="7"/>
      <c r="Q56" s="16">
        <v>0</v>
      </c>
      <c r="R56" s="7"/>
      <c r="S56" s="16">
        <v>0</v>
      </c>
      <c r="T56" s="7"/>
      <c r="U56" s="16">
        <v>0</v>
      </c>
      <c r="V56" s="15"/>
    </row>
    <row r="57" spans="1:22" x14ac:dyDescent="0.2">
      <c r="B57" s="17"/>
      <c r="C57" s="15">
        <f>SUM(C45:C56)</f>
        <v>-2638589938.3700004</v>
      </c>
      <c r="D57" s="15"/>
      <c r="E57" s="15">
        <f>SUM(E45:E56)</f>
        <v>-206592779.41999996</v>
      </c>
      <c r="F57" s="15"/>
      <c r="G57" s="15">
        <f>SUM(G45:G56)</f>
        <v>47928420.079999998</v>
      </c>
      <c r="H57" s="15"/>
      <c r="I57" s="15">
        <f>SUM(I45:I56)</f>
        <v>-2961.0000000000146</v>
      </c>
      <c r="J57" s="15"/>
      <c r="K57" s="15">
        <f>SUM(K45:K56)</f>
        <v>0</v>
      </c>
      <c r="L57" s="15"/>
      <c r="M57" s="15">
        <f>SUM(M45:M56)</f>
        <v>0</v>
      </c>
      <c r="N57" s="15"/>
      <c r="O57" s="15">
        <f>SUM(O45:O56)</f>
        <v>15919317.610000001</v>
      </c>
      <c r="P57" s="15"/>
      <c r="Q57" s="15">
        <f>SUM(Q45:Q56)</f>
        <v>-1287834.0499999998</v>
      </c>
      <c r="R57" s="15"/>
      <c r="S57" s="15">
        <f>SUM(S45:S56)</f>
        <v>-441249.74000000005</v>
      </c>
      <c r="T57" s="15"/>
      <c r="U57" s="15">
        <f>SUM(U45:U56)</f>
        <v>-2783067024.8900003</v>
      </c>
      <c r="V57" s="15"/>
    </row>
    <row r="58" spans="1:22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3.5" customHeight="1" x14ac:dyDescent="0.2">
      <c r="A59" s="10" t="s">
        <v>32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2">
      <c r="B60" s="3" t="s">
        <v>33</v>
      </c>
      <c r="C60" s="7">
        <v>18850921.820000011</v>
      </c>
      <c r="D60" s="7"/>
      <c r="E60" s="7">
        <v>0</v>
      </c>
      <c r="F60" s="7"/>
      <c r="G60" s="7">
        <v>0</v>
      </c>
      <c r="H60" s="7"/>
      <c r="I60" s="7">
        <f>-163.7+6483.61</f>
        <v>6319.91</v>
      </c>
      <c r="J60" s="7"/>
      <c r="K60" s="7">
        <f>-40549.54-22796.61-422581.97-3531.58-100863.16-52824.7</f>
        <v>-643147.55999999994</v>
      </c>
      <c r="L60" s="7"/>
      <c r="M60" s="7">
        <f>-1069943.86+121806.58-1922294.63+112133.9+40549.54-523138.46+43563.51-730375.68+5928.9-1193814.37+176587.36-1820327.51+358645.23+22796.61-666726.36-4189410.37+217492.13+422581.97-237933.91+9389.82+3531.58-1281560.26+143315.08+100863.16-877628.64+40574.19-936170.52+35810.26+52824.7-6319.91+163.7</f>
        <v>-13547086.26</v>
      </c>
      <c r="N60" s="7"/>
      <c r="O60" s="7">
        <f>363884.91-15188.27+905246.32+11963.34+1023787.33+578.35+3035327.77+35348.45+1284449.59+58193.36+1301811.75+3531+893078.6+2013.04+5329.89+1488735.21+1122601.57+31502.55+2443165.97+25673.89+2259287.1+7867.76+1316878.44+107249.71</f>
        <v>17712317.630000003</v>
      </c>
      <c r="P60" s="7"/>
      <c r="Q60" s="7">
        <f>-76420.57-49834.67-17073.1-33461.93-72120.12-40024.6-89912.02-40290.13-62855.87-91345.86-72196.65-293986.21</f>
        <v>-939521.73</v>
      </c>
      <c r="R60" s="7"/>
      <c r="S60" s="7">
        <f>-61519.23-174010.18-89009.44-39859.88-132241.87-191924.95-1372.18-15611.18-72670.98-62284.35-14143.25-115431.7</f>
        <v>-970079.19000000006</v>
      </c>
      <c r="T60" s="7"/>
      <c r="U60" s="7">
        <f>S60+Q60+O60+M60+I60+G60+E60+C60+K60</f>
        <v>20469724.620000016</v>
      </c>
      <c r="V60" s="7"/>
    </row>
    <row r="61" spans="1:22" x14ac:dyDescent="0.2">
      <c r="B61" s="17"/>
      <c r="C61" s="20">
        <f>SUM(C60:C60)</f>
        <v>18850921.820000011</v>
      </c>
      <c r="D61" s="7"/>
      <c r="E61" s="20">
        <f>SUM(E60:E60)</f>
        <v>0</v>
      </c>
      <c r="F61" s="7"/>
      <c r="G61" s="20">
        <f>SUM(G60:G60)</f>
        <v>0</v>
      </c>
      <c r="H61" s="7"/>
      <c r="I61" s="20">
        <f>SUM(I60:I60)</f>
        <v>6319.91</v>
      </c>
      <c r="J61" s="15"/>
      <c r="K61" s="20">
        <f>SUM(K60:K60)</f>
        <v>-643147.55999999994</v>
      </c>
      <c r="L61" s="7"/>
      <c r="M61" s="20">
        <f>SUM(M60:M60)</f>
        <v>-13547086.26</v>
      </c>
      <c r="N61" s="7"/>
      <c r="O61" s="20">
        <f>SUM(O60:O60)</f>
        <v>17712317.630000003</v>
      </c>
      <c r="P61" s="7"/>
      <c r="Q61" s="20">
        <f>SUM(Q60:Q60)</f>
        <v>-939521.73</v>
      </c>
      <c r="R61" s="7"/>
      <c r="S61" s="20">
        <f>SUM(S60:S60)</f>
        <v>-970079.19000000006</v>
      </c>
      <c r="T61" s="7"/>
      <c r="U61" s="20">
        <f>SUM(U60:U60)</f>
        <v>20469724.620000016</v>
      </c>
      <c r="V61" s="15"/>
    </row>
    <row r="62" spans="1:22" x14ac:dyDescent="0.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x14ac:dyDescent="0.2">
      <c r="B63" s="17" t="s">
        <v>34</v>
      </c>
      <c r="C63" s="16">
        <f>C57+C61</f>
        <v>-2619739016.5500002</v>
      </c>
      <c r="D63" s="7"/>
      <c r="E63" s="16">
        <f>E57+E61</f>
        <v>-206592779.41999996</v>
      </c>
      <c r="F63" s="7"/>
      <c r="G63" s="16">
        <f>G57+G61</f>
        <v>47928420.079999998</v>
      </c>
      <c r="H63" s="7"/>
      <c r="I63" s="16">
        <f>I57+I61</f>
        <v>3358.9099999999853</v>
      </c>
      <c r="J63" s="15"/>
      <c r="K63" s="16">
        <f>K57+K61</f>
        <v>-643147.55999999994</v>
      </c>
      <c r="L63" s="7"/>
      <c r="M63" s="16">
        <f>M57+M61</f>
        <v>-13547086.26</v>
      </c>
      <c r="N63" s="7"/>
      <c r="O63" s="16">
        <f>O57+O61</f>
        <v>33631635.240000002</v>
      </c>
      <c r="P63" s="7"/>
      <c r="Q63" s="16">
        <f>Q57+Q61</f>
        <v>-2227355.7799999998</v>
      </c>
      <c r="R63" s="7"/>
      <c r="S63" s="16">
        <f>S57+S61</f>
        <v>-1411328.9300000002</v>
      </c>
      <c r="T63" s="7"/>
      <c r="U63" s="16">
        <f>U57+U61</f>
        <v>-2762597300.2700005</v>
      </c>
      <c r="V63" s="15"/>
    </row>
    <row r="64" spans="1:22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x14ac:dyDescent="0.2">
      <c r="A65" s="10" t="s">
        <v>35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2">
      <c r="B66" s="3" t="s">
        <v>33</v>
      </c>
      <c r="C66" s="16">
        <v>-27671896.239999995</v>
      </c>
      <c r="D66" s="15"/>
      <c r="E66" s="16">
        <f>-719549.02-734304.55-737586.04-737116.8-735982.83-770216.64-810366.71-825765.2-834950.29-838866.76-842389.11-849497.41</f>
        <v>-9436591.3599999994</v>
      </c>
      <c r="F66" s="15"/>
      <c r="G66" s="16">
        <f>24850.5+10383.92+500569.91+55957.82+77824.65+16683.34+50780.43</f>
        <v>737050.57</v>
      </c>
      <c r="H66" s="15"/>
      <c r="I66" s="16">
        <v>0</v>
      </c>
      <c r="J66" s="15"/>
      <c r="K66" s="16">
        <v>0</v>
      </c>
      <c r="L66" s="15"/>
      <c r="M66" s="16">
        <v>0</v>
      </c>
      <c r="N66" s="15"/>
      <c r="O66" s="16">
        <v>0</v>
      </c>
      <c r="P66" s="15"/>
      <c r="Q66" s="16">
        <v>0</v>
      </c>
      <c r="R66" s="15"/>
      <c r="S66" s="16">
        <v>0</v>
      </c>
      <c r="T66" s="15"/>
      <c r="U66" s="16">
        <f>S66+Q66+O66+M66+I66+G66+E66+C66</f>
        <v>-36371437.029999994</v>
      </c>
      <c r="V66" s="15"/>
    </row>
    <row r="67" spans="1:22" x14ac:dyDescent="0.2">
      <c r="B67" s="17"/>
      <c r="C67" s="15">
        <f>SUM(C66:C66)</f>
        <v>-27671896.239999995</v>
      </c>
      <c r="D67" s="15"/>
      <c r="E67" s="15">
        <f>SUM(E66:E66)</f>
        <v>-9436591.3599999994</v>
      </c>
      <c r="F67" s="15"/>
      <c r="G67" s="15">
        <f>SUM(G66:G66)</f>
        <v>737050.57</v>
      </c>
      <c r="H67" s="15"/>
      <c r="I67" s="15">
        <f>SUM(I66:I66)</f>
        <v>0</v>
      </c>
      <c r="J67" s="15"/>
      <c r="K67" s="15">
        <f>SUM(K66:K66)</f>
        <v>0</v>
      </c>
      <c r="L67" s="15"/>
      <c r="M67" s="15">
        <f>SUM(M66:M66)</f>
        <v>0</v>
      </c>
      <c r="N67" s="15"/>
      <c r="O67" s="15">
        <f>SUM(O66:O66)</f>
        <v>0</v>
      </c>
      <c r="P67" s="15"/>
      <c r="Q67" s="15">
        <f>SUM(Q66:Q66)</f>
        <v>0</v>
      </c>
      <c r="R67" s="15"/>
      <c r="S67" s="15">
        <f>SUM(S66:S66)</f>
        <v>0</v>
      </c>
      <c r="T67" s="15"/>
      <c r="U67" s="15">
        <f>SUM(U66:U66)</f>
        <v>-36371437.029999994</v>
      </c>
      <c r="V67" s="15"/>
    </row>
    <row r="68" spans="1:22" x14ac:dyDescent="0.2">
      <c r="B68" s="1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x14ac:dyDescent="0.2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3.5" thickBot="1" x14ac:dyDescent="0.25">
      <c r="B70" s="17" t="s">
        <v>36</v>
      </c>
      <c r="C70" s="21">
        <f>C63+C67</f>
        <v>-2647410912.79</v>
      </c>
      <c r="D70" s="7"/>
      <c r="E70" s="21">
        <f>E63+E67</f>
        <v>-216029370.77999997</v>
      </c>
      <c r="F70" s="7"/>
      <c r="G70" s="21">
        <f>G63+G67</f>
        <v>48665470.649999999</v>
      </c>
      <c r="H70" s="7"/>
      <c r="I70" s="21">
        <f>I63+I67</f>
        <v>3358.9099999999853</v>
      </c>
      <c r="J70" s="15"/>
      <c r="K70" s="21">
        <f>K63+K67</f>
        <v>-643147.55999999994</v>
      </c>
      <c r="L70" s="7"/>
      <c r="M70" s="21">
        <f>M63+M67</f>
        <v>-13547086.26</v>
      </c>
      <c r="N70" s="7"/>
      <c r="O70" s="21">
        <f>O63+O67</f>
        <v>33631635.240000002</v>
      </c>
      <c r="P70" s="7"/>
      <c r="Q70" s="21">
        <f>Q63+Q67</f>
        <v>-2227355.7799999998</v>
      </c>
      <c r="R70" s="7"/>
      <c r="S70" s="21">
        <f>S63+S67</f>
        <v>-1411328.9300000002</v>
      </c>
      <c r="T70" s="7"/>
      <c r="U70" s="21">
        <f>U63+U67</f>
        <v>-2798968737.3000007</v>
      </c>
      <c r="V70" s="15"/>
    </row>
    <row r="71" spans="1:22" ht="13.5" thickTop="1" x14ac:dyDescent="0.2">
      <c r="B71" s="17"/>
      <c r="C71" s="15"/>
      <c r="D71" s="7"/>
      <c r="E71" s="15"/>
      <c r="F71" s="7"/>
      <c r="G71" s="15"/>
      <c r="H71" s="7"/>
      <c r="I71" s="15"/>
      <c r="J71" s="15"/>
      <c r="K71" s="15"/>
      <c r="L71" s="7"/>
      <c r="M71" s="15"/>
      <c r="N71" s="7"/>
      <c r="O71" s="15"/>
      <c r="P71" s="7"/>
      <c r="Q71" s="15"/>
      <c r="R71" s="7"/>
      <c r="S71" s="15"/>
      <c r="T71" s="7"/>
      <c r="U71" s="15"/>
      <c r="V71" s="15"/>
    </row>
    <row r="72" spans="1:22" x14ac:dyDescent="0.2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2">
      <c r="A73" s="10" t="s">
        <v>37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3.5" thickBot="1" x14ac:dyDescent="0.25">
      <c r="A74" s="10" t="s">
        <v>38</v>
      </c>
      <c r="C74" s="21">
        <v>5461194571.493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">
        <v>5868739441.9429989</v>
      </c>
      <c r="V74" s="15"/>
    </row>
    <row r="75" spans="1:22" ht="13.5" thickTop="1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x14ac:dyDescent="0.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x14ac:dyDescent="0.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x14ac:dyDescent="0.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3:22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3:22" x14ac:dyDescent="0.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3:22" x14ac:dyDescent="0.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3:22" x14ac:dyDescent="0.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3:22" x14ac:dyDescent="0.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3:22" x14ac:dyDescent="0.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3:22" x14ac:dyDescent="0.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3:22" x14ac:dyDescent="0.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3:22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3:22" x14ac:dyDescent="0.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3:22" x14ac:dyDescent="0.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3:22" x14ac:dyDescent="0.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3:22" x14ac:dyDescent="0.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3:22" x14ac:dyDescent="0.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3:22" x14ac:dyDescent="0.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3:22" x14ac:dyDescent="0.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3:22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3:22" x14ac:dyDescent="0.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3:22" x14ac:dyDescent="0.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3:22" x14ac:dyDescent="0.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3:22" x14ac:dyDescent="0.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3:22" x14ac:dyDescent="0.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3:22" x14ac:dyDescent="0.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3:22" x14ac:dyDescent="0.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3:22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3:22" x14ac:dyDescent="0.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3:22" x14ac:dyDescent="0.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3:22" x14ac:dyDescent="0.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3:22" x14ac:dyDescent="0.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3:22" x14ac:dyDescent="0.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3:22" x14ac:dyDescent="0.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3:22" x14ac:dyDescent="0.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3:22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3:22" x14ac:dyDescent="0.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3:22" x14ac:dyDescent="0.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3:22" x14ac:dyDescent="0.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3:22" x14ac:dyDescent="0.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3:22" x14ac:dyDescent="0.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3:22" x14ac:dyDescent="0.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3:22" x14ac:dyDescent="0.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3:22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3:22" x14ac:dyDescent="0.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3:22" x14ac:dyDescent="0.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3:22" x14ac:dyDescent="0.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3:22" x14ac:dyDescent="0.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3:22" x14ac:dyDescent="0.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3:22" x14ac:dyDescent="0.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3:22" x14ac:dyDescent="0.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3:22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3:22" x14ac:dyDescent="0.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3:22" x14ac:dyDescent="0.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3:22" x14ac:dyDescent="0.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3:22" x14ac:dyDescent="0.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3:22" x14ac:dyDescent="0.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3:22" x14ac:dyDescent="0.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3:22" x14ac:dyDescent="0.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3:22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3:22" x14ac:dyDescent="0.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3:22" x14ac:dyDescent="0.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3:22" x14ac:dyDescent="0.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3:22" x14ac:dyDescent="0.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3:22" x14ac:dyDescent="0.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3:22" x14ac:dyDescent="0.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3:22" x14ac:dyDescent="0.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3:22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3:22" x14ac:dyDescent="0.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3:22" x14ac:dyDescent="0.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3:22" x14ac:dyDescent="0.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3:22" x14ac:dyDescent="0.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3:22" x14ac:dyDescent="0.2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3:22" x14ac:dyDescent="0.2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3:22" x14ac:dyDescent="0.2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3:22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3:22" x14ac:dyDescent="0.2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3:22" x14ac:dyDescent="0.2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3:22" x14ac:dyDescent="0.2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3:22" x14ac:dyDescent="0.2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3:22" x14ac:dyDescent="0.2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3:22" x14ac:dyDescent="0.2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3:22" x14ac:dyDescent="0.2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3:22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3:22" x14ac:dyDescent="0.2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3:22" x14ac:dyDescent="0.2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3:22" x14ac:dyDescent="0.2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3:22" x14ac:dyDescent="0.2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3:22" x14ac:dyDescent="0.2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3:22" x14ac:dyDescent="0.2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3:22" x14ac:dyDescent="0.2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3:22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3:22" x14ac:dyDescent="0.2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3:22" x14ac:dyDescent="0.2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3:22" x14ac:dyDescent="0.2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3:22" x14ac:dyDescent="0.2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3:22" x14ac:dyDescent="0.2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3:22" x14ac:dyDescent="0.2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3:22" x14ac:dyDescent="0.2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3:22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3:22" x14ac:dyDescent="0.2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3:22" x14ac:dyDescent="0.2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3:22" x14ac:dyDescent="0.2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3:22" x14ac:dyDescent="0.2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3:22" x14ac:dyDescent="0.2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3:22" x14ac:dyDescent="0.2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3:22" x14ac:dyDescent="0.2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3:22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3:22" x14ac:dyDescent="0.2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3:22" x14ac:dyDescent="0.2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3:22" x14ac:dyDescent="0.2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3:22" x14ac:dyDescent="0.2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3:22" x14ac:dyDescent="0.2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3:22" x14ac:dyDescent="0.2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3:22" x14ac:dyDescent="0.2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3:22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3:22" x14ac:dyDescent="0.2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3:22" x14ac:dyDescent="0.2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3:22" x14ac:dyDescent="0.2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3:22" x14ac:dyDescent="0.2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3:22" x14ac:dyDescent="0.2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3:22" x14ac:dyDescent="0.2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3:22" x14ac:dyDescent="0.2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3:22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3:22" x14ac:dyDescent="0.2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3:22" x14ac:dyDescent="0.2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3:22" x14ac:dyDescent="0.2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3:22" x14ac:dyDescent="0.2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3:22" x14ac:dyDescent="0.2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3:22" x14ac:dyDescent="0.2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3:22" x14ac:dyDescent="0.2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3:22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3:22" x14ac:dyDescent="0.2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3:22" x14ac:dyDescent="0.2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3:22" x14ac:dyDescent="0.2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3:22" x14ac:dyDescent="0.2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3:22" x14ac:dyDescent="0.2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3:22" x14ac:dyDescent="0.2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3:22" x14ac:dyDescent="0.2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3:22" x14ac:dyDescent="0.2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3:22" x14ac:dyDescent="0.2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3:22" x14ac:dyDescent="0.2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3:22" x14ac:dyDescent="0.2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3:22" x14ac:dyDescent="0.2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3:22" x14ac:dyDescent="0.2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3:22" x14ac:dyDescent="0.2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3:22" x14ac:dyDescent="0.2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3:22" x14ac:dyDescent="0.2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3:22" x14ac:dyDescent="0.2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3:22" x14ac:dyDescent="0.2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3:22" x14ac:dyDescent="0.2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3:22" x14ac:dyDescent="0.2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3:22" x14ac:dyDescent="0.2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3:22" x14ac:dyDescent="0.2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3:22" x14ac:dyDescent="0.2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3:22" x14ac:dyDescent="0.2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3:22" x14ac:dyDescent="0.2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3:22" x14ac:dyDescent="0.2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3:22" x14ac:dyDescent="0.2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3:22" x14ac:dyDescent="0.2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3:22" x14ac:dyDescent="0.2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3:22" x14ac:dyDescent="0.2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3:22" x14ac:dyDescent="0.2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3:22" x14ac:dyDescent="0.2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3:22" x14ac:dyDescent="0.2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3:22" x14ac:dyDescent="0.2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3:22" x14ac:dyDescent="0.2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3:22" x14ac:dyDescent="0.2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3:22" x14ac:dyDescent="0.2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3:22" x14ac:dyDescent="0.2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3:22" x14ac:dyDescent="0.2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3:22" x14ac:dyDescent="0.2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3:22" x14ac:dyDescent="0.2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3:22" x14ac:dyDescent="0.2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3:22" x14ac:dyDescent="0.2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3:22" x14ac:dyDescent="0.2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3:22" x14ac:dyDescent="0.2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3:22" x14ac:dyDescent="0.2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3:22" x14ac:dyDescent="0.2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3:22" x14ac:dyDescent="0.2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3:22" x14ac:dyDescent="0.2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3:22" x14ac:dyDescent="0.2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3:22" x14ac:dyDescent="0.2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3:22" x14ac:dyDescent="0.2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3:22" x14ac:dyDescent="0.2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3:22" x14ac:dyDescent="0.2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3:22" x14ac:dyDescent="0.2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3:22" x14ac:dyDescent="0.2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3:22" x14ac:dyDescent="0.2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3:22" x14ac:dyDescent="0.2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3:22" x14ac:dyDescent="0.2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3:22" x14ac:dyDescent="0.2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3:22" x14ac:dyDescent="0.2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3:22" x14ac:dyDescent="0.2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3:22" x14ac:dyDescent="0.2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3:22" x14ac:dyDescent="0.2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3:22" x14ac:dyDescent="0.2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3:22" x14ac:dyDescent="0.2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3:22" x14ac:dyDescent="0.2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3:22" x14ac:dyDescent="0.2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3:22" x14ac:dyDescent="0.2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3:22" x14ac:dyDescent="0.2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3:22" x14ac:dyDescent="0.2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3:22" x14ac:dyDescent="0.2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3:22" x14ac:dyDescent="0.2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3:22" x14ac:dyDescent="0.2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3:22" x14ac:dyDescent="0.2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3:22" x14ac:dyDescent="0.2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3:22" x14ac:dyDescent="0.2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3:22" x14ac:dyDescent="0.2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3:22" x14ac:dyDescent="0.2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3:22" x14ac:dyDescent="0.2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3:22" x14ac:dyDescent="0.2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3:22" x14ac:dyDescent="0.2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3:22" x14ac:dyDescent="0.2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3:22" x14ac:dyDescent="0.2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3:22" x14ac:dyDescent="0.2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3:22" x14ac:dyDescent="0.2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3:22" x14ac:dyDescent="0.2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3:22" x14ac:dyDescent="0.2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3:22" x14ac:dyDescent="0.2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3:22" x14ac:dyDescent="0.2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3:22" x14ac:dyDescent="0.2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3:22" x14ac:dyDescent="0.2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3:22" x14ac:dyDescent="0.2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3:22" x14ac:dyDescent="0.2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3:22" x14ac:dyDescent="0.2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3:22" x14ac:dyDescent="0.2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3:22" x14ac:dyDescent="0.2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3:22" x14ac:dyDescent="0.2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3:22" x14ac:dyDescent="0.2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3:22" x14ac:dyDescent="0.2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3:22" x14ac:dyDescent="0.2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</sheetData>
  <mergeCells count="3">
    <mergeCell ref="A1:U1"/>
    <mergeCell ref="A2:U2"/>
    <mergeCell ref="A3:U3"/>
  </mergeCells>
  <pageMargins left="0.75" right="0.75" top="1" bottom="1" header="0.5" footer="0.5"/>
  <pageSetup scale="48" orientation="landscape" r:id="rId1"/>
  <headerFooter alignWithMargins="0">
    <oddFooter>&amp;L&amp;Z
&amp;F&amp;C&amp;A&amp;R2.&amp;P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KU_Summary - Reserve - P2 (REG)</vt:lpstr>
      <vt:lpstr>'KU_Summary - Reserve - P2 (REG)'!Print_Area</vt:lpstr>
      <vt:lpstr>'KU_Summary - Reserve - P2 (REG)'!Print_Titles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dcterms:created xsi:type="dcterms:W3CDTF">2015-05-14T18:19:43Z</dcterms:created>
  <dcterms:modified xsi:type="dcterms:W3CDTF">2015-05-14T18:21:49Z</dcterms:modified>
</cp:coreProperties>
</file>