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ranservfs\transerv-pub\LG&amp;E  KU Services\Administrative\Postings on LG&amp;E KU Oasis\Transmission Rates\612016\"/>
    </mc:Choice>
  </mc:AlternateContent>
  <bookViews>
    <workbookView xWindow="0" yWindow="0" windowWidth="4770" windowHeight="7740"/>
  </bookViews>
  <sheets>
    <sheet name="Summary" sheetId="22" r:id="rId1"/>
    <sheet name="OATT Input Data" sheetId="20" r:id="rId2"/>
    <sheet name="VA Transmission" sheetId="21" r:id="rId3"/>
    <sheet name="NITS Pg 1 of 5" sheetId="1" r:id="rId4"/>
    <sheet name="NITS Pg 2 of 5" sheetId="3" r:id="rId5"/>
    <sheet name="NITS Pg 3 of 5" sheetId="4" r:id="rId6"/>
    <sheet name="NITS Pg 4 of 5" sheetId="5" r:id="rId7"/>
    <sheet name="PTP Pg 1 of 5" sheetId="15" r:id="rId8"/>
    <sheet name="PTP Pg 2 of 5" sheetId="16" r:id="rId9"/>
    <sheet name="PTP Pg 3 of 5" sheetId="17" r:id="rId10"/>
    <sheet name="PTP Pg 4 of 5" sheetId="18" r:id="rId11"/>
    <sheet name="Pg 5 of 5 Notes for both" sheetId="6" r:id="rId12"/>
    <sheet name="Depreciation Rates" sheetId="14" r:id="rId13"/>
    <sheet name="Sch 1" sheetId="23" r:id="rId14"/>
  </sheets>
  <definedNames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11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11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11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11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11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11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11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3" hidden="1">'NITS Pg 1 of 5'!$E$10:$E$45</definedName>
    <definedName name="_xlnm._FilterDatabase" localSheetId="4" hidden="1">'NITS Pg 2 of 5'!#REF!</definedName>
    <definedName name="_xlnm._FilterDatabase" localSheetId="5" hidden="1">'NITS Pg 3 of 5'!#REF!</definedName>
    <definedName name="_xlnm._FilterDatabase" localSheetId="6" hidden="1">'NITS Pg 4 of 5'!#REF!</definedName>
    <definedName name="_xlnm._FilterDatabase" localSheetId="11" hidden="1">'Pg 5 of 5 Notes for both'!#REF!</definedName>
    <definedName name="_xlnm._FilterDatabase" localSheetId="7" hidden="1">'PTP Pg 1 of 5'!$E$10:$E$45</definedName>
    <definedName name="_xlnm._FilterDatabase" localSheetId="8" hidden="1">'PTP Pg 2 of 5'!#REF!</definedName>
    <definedName name="_xlnm._FilterDatabase" localSheetId="9" hidden="1">'PTP Pg 3 of 5'!#REF!</definedName>
    <definedName name="_xlnm._FilterDatabase" localSheetId="10" hidden="1">'PTP Pg 4 of 5'!#REF!</definedName>
    <definedName name="_xlnm._FilterDatabase" localSheetId="13" hidden="1">'Sch 1'!$E$22:$E$51</definedName>
    <definedName name="DEMVA">#REF!</definedName>
    <definedName name="_xlnm.Print_Area" localSheetId="3">'NITS Pg 1 of 5'!$A$1:$K$41</definedName>
    <definedName name="_xlnm.Print_Area" localSheetId="4">'NITS Pg 2 of 5'!$A$1:$J$57</definedName>
    <definedName name="_xlnm.Print_Area" localSheetId="5">'NITS Pg 3 of 5'!$A$1:$J$56</definedName>
    <definedName name="_xlnm.Print_Area" localSheetId="6">'NITS Pg 4 of 5'!$A$1:$K$68</definedName>
    <definedName name="_xlnm.Print_Area" localSheetId="11">'Pg 5 of 5 Notes for both'!$A$1:$L$66</definedName>
    <definedName name="_xlnm.Print_Area" localSheetId="7">'PTP Pg 1 of 5'!$A$1:$K$42</definedName>
    <definedName name="_xlnm.Print_Area" localSheetId="8">'PTP Pg 2 of 5'!$A$1:$J$57</definedName>
    <definedName name="_xlnm.Print_Area" localSheetId="9">'PTP Pg 3 of 5'!$A$1:$J$56</definedName>
    <definedName name="_xlnm.Print_Area" localSheetId="10">'PTP Pg 4 of 5'!$A$1:$K$68</definedName>
    <definedName name="_xlnm.Print_Area" localSheetId="13">'Sch 1'!$A$3:$D$33</definedName>
    <definedName name="_xlnm.Print_Area" localSheetId="2">'VA Transmission'!$A$1:$J$63</definedName>
    <definedName name="_xlnm.Print_Titles" localSheetId="3">'NITS Pg 1 of 5'!$1:$7</definedName>
    <definedName name="_xlnm.Print_Titles" localSheetId="4">'NITS Pg 2 of 5'!#REF!</definedName>
    <definedName name="_xlnm.Print_Titles" localSheetId="6">'NITS Pg 4 of 5'!#REF!</definedName>
    <definedName name="_xlnm.Print_Titles" localSheetId="11">'Pg 5 of 5 Notes for both'!#REF!</definedName>
    <definedName name="_xlnm.Print_Titles" localSheetId="7">'PTP Pg 1 of 5'!$1:$7</definedName>
    <definedName name="_xlnm.Print_Titles" localSheetId="8">'PTP Pg 2 of 5'!#REF!</definedName>
    <definedName name="_xlnm.Print_Titles" localSheetId="10">'PTP Pg 4 of 5'!#REF!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211" i="20" l="1"/>
  <c r="D212" i="20" s="1"/>
  <c r="L5" i="6" l="1"/>
  <c r="K4" i="18"/>
  <c r="J4" i="17"/>
  <c r="J4" i="16"/>
  <c r="J4" i="15"/>
  <c r="K4" i="5"/>
  <c r="J4" i="4"/>
  <c r="J4" i="3"/>
  <c r="J4" i="1"/>
  <c r="E104" i="20" l="1"/>
  <c r="D227" i="20" l="1"/>
  <c r="D225" i="20"/>
  <c r="D175" i="20" l="1"/>
  <c r="E12" i="20" l="1"/>
  <c r="N127" i="20" l="1"/>
  <c r="D127" i="20" s="1"/>
  <c r="A4" i="21" l="1"/>
  <c r="B59" i="21" l="1"/>
  <c r="B58" i="21"/>
  <c r="B57" i="21"/>
  <c r="B56" i="21"/>
  <c r="B55" i="21"/>
  <c r="B54" i="21"/>
  <c r="B53" i="21"/>
  <c r="B52" i="21"/>
  <c r="B51" i="2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20" i="21"/>
  <c r="F19" i="21"/>
  <c r="F18" i="21"/>
  <c r="F17" i="21"/>
  <c r="F16" i="21"/>
  <c r="F15" i="21"/>
  <c r="F14" i="21"/>
  <c r="F13" i="21"/>
  <c r="F12" i="21"/>
  <c r="E307" i="20"/>
  <c r="E308" i="20"/>
  <c r="E309" i="20"/>
  <c r="E310" i="20"/>
  <c r="E311" i="20"/>
  <c r="E312" i="20"/>
  <c r="E313" i="20"/>
  <c r="E283" i="20"/>
  <c r="E282" i="20"/>
  <c r="E281" i="20"/>
  <c r="E271" i="20"/>
  <c r="E270" i="20"/>
  <c r="E258" i="20"/>
  <c r="E259" i="20"/>
  <c r="E260" i="20"/>
  <c r="E261" i="20"/>
  <c r="E262" i="20"/>
  <c r="E263" i="20"/>
  <c r="E264" i="20"/>
  <c r="E134" i="20"/>
  <c r="E133" i="20"/>
  <c r="E111" i="20"/>
  <c r="E112" i="20"/>
  <c r="E113" i="20"/>
  <c r="E114" i="20"/>
  <c r="E85" i="20"/>
  <c r="E86" i="20"/>
  <c r="E87" i="20"/>
  <c r="E88" i="20"/>
  <c r="E89" i="20"/>
  <c r="E90" i="20"/>
  <c r="E91" i="20"/>
  <c r="E92" i="20"/>
  <c r="E93" i="20"/>
  <c r="E94" i="20"/>
  <c r="E95" i="20"/>
  <c r="E67" i="20"/>
  <c r="E68" i="20"/>
  <c r="E69" i="20"/>
  <c r="E70" i="20"/>
  <c r="E71" i="20"/>
  <c r="E72" i="20"/>
  <c r="E73" i="20"/>
  <c r="E74" i="20"/>
  <c r="E75" i="20"/>
  <c r="E76" i="20"/>
  <c r="E77" i="20"/>
  <c r="D79" i="20"/>
  <c r="C79" i="20"/>
  <c r="F49" i="20"/>
  <c r="F50" i="20"/>
  <c r="F51" i="20"/>
  <c r="F52" i="20"/>
  <c r="F53" i="20"/>
  <c r="F54" i="20"/>
  <c r="F55" i="20"/>
  <c r="F56" i="20"/>
  <c r="F57" i="20"/>
  <c r="F58" i="20"/>
  <c r="F59" i="20"/>
  <c r="E31" i="20"/>
  <c r="E32" i="20"/>
  <c r="E33" i="20"/>
  <c r="E34" i="20"/>
  <c r="E35" i="20"/>
  <c r="E36" i="20"/>
  <c r="E37" i="20"/>
  <c r="E38" i="20"/>
  <c r="E39" i="20"/>
  <c r="E40" i="20"/>
  <c r="E41" i="20"/>
  <c r="E13" i="20"/>
  <c r="E14" i="20"/>
  <c r="E15" i="20"/>
  <c r="E16" i="20"/>
  <c r="E17" i="20"/>
  <c r="E18" i="20"/>
  <c r="E19" i="20"/>
  <c r="E20" i="20"/>
  <c r="E21" i="20"/>
  <c r="E22" i="20"/>
  <c r="E23" i="20"/>
  <c r="E25" i="20" l="1"/>
  <c r="B60" i="21"/>
  <c r="F21" i="21"/>
  <c r="D1" i="22"/>
  <c r="C1" i="22"/>
  <c r="J61" i="18" l="1"/>
  <c r="J62" i="18" s="1"/>
  <c r="E48" i="18"/>
  <c r="E42" i="17"/>
  <c r="E47" i="17" s="1"/>
  <c r="E51" i="17" s="1"/>
  <c r="J29" i="15"/>
  <c r="D105" i="20" s="1"/>
  <c r="J29" i="1" l="1"/>
  <c r="E306" i="20" l="1"/>
  <c r="H54" i="18" l="1"/>
  <c r="C450" i="20"/>
  <c r="H54" i="5"/>
  <c r="E304" i="20"/>
  <c r="E42" i="4"/>
  <c r="E47" i="4" s="1"/>
  <c r="E51" i="4" s="1"/>
  <c r="J28" i="15" l="1"/>
  <c r="D104" i="20" s="1"/>
  <c r="C43" i="20"/>
  <c r="E59" i="21" l="1"/>
  <c r="D59" i="21"/>
  <c r="C59" i="21"/>
  <c r="E58" i="21"/>
  <c r="D58" i="21"/>
  <c r="C58" i="21"/>
  <c r="E57" i="21"/>
  <c r="D57" i="21"/>
  <c r="C57" i="21"/>
  <c r="E56" i="21"/>
  <c r="D56" i="21"/>
  <c r="C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42" i="21"/>
  <c r="D42" i="21"/>
  <c r="C42" i="21"/>
  <c r="B42" i="21"/>
  <c r="E21" i="21"/>
  <c r="D21" i="21"/>
  <c r="C21" i="21"/>
  <c r="B21" i="21"/>
  <c r="G19" i="21"/>
  <c r="J19" i="21" s="1"/>
  <c r="G17" i="21"/>
  <c r="J17" i="21" s="1"/>
  <c r="G15" i="21"/>
  <c r="J15" i="21" s="1"/>
  <c r="F53" i="21"/>
  <c r="G53" i="21" s="1"/>
  <c r="G13" i="21"/>
  <c r="J13" i="21" s="1"/>
  <c r="D462" i="20"/>
  <c r="C462" i="20"/>
  <c r="E460" i="20"/>
  <c r="D24" i="23" s="1"/>
  <c r="E459" i="20"/>
  <c r="D23" i="23" s="1"/>
  <c r="D450" i="20"/>
  <c r="D451" i="20" s="1"/>
  <c r="E341" i="20"/>
  <c r="D333" i="20"/>
  <c r="C333" i="20"/>
  <c r="D324" i="20"/>
  <c r="C324" i="20"/>
  <c r="D323" i="20"/>
  <c r="C323" i="20"/>
  <c r="D322" i="20"/>
  <c r="C322" i="20"/>
  <c r="D319" i="20"/>
  <c r="C319" i="20"/>
  <c r="D318" i="20"/>
  <c r="C318" i="20"/>
  <c r="D314" i="20"/>
  <c r="C314" i="20"/>
  <c r="E302" i="20"/>
  <c r="D298" i="20"/>
  <c r="C298" i="20"/>
  <c r="D276" i="20"/>
  <c r="C276" i="20"/>
  <c r="E269" i="20"/>
  <c r="D265" i="20"/>
  <c r="C265" i="20"/>
  <c r="D19" i="23"/>
  <c r="D18" i="23"/>
  <c r="D17" i="23"/>
  <c r="D16" i="23"/>
  <c r="D15" i="23"/>
  <c r="D14" i="23"/>
  <c r="D13" i="23"/>
  <c r="E257" i="20"/>
  <c r="D12" i="23" s="1"/>
  <c r="E250" i="20"/>
  <c r="D235" i="20"/>
  <c r="C235" i="20"/>
  <c r="B231" i="20"/>
  <c r="E229" i="20"/>
  <c r="E227" i="20"/>
  <c r="D226" i="20"/>
  <c r="C226" i="20"/>
  <c r="E215" i="20"/>
  <c r="E214" i="20"/>
  <c r="E212" i="20"/>
  <c r="D210" i="20"/>
  <c r="C210" i="20"/>
  <c r="D209" i="20"/>
  <c r="C209" i="20"/>
  <c r="D208" i="20"/>
  <c r="C208" i="20"/>
  <c r="M160" i="20" s="1"/>
  <c r="E203" i="20"/>
  <c r="E202" i="20"/>
  <c r="E201" i="20"/>
  <c r="D195" i="20"/>
  <c r="D200" i="20" s="1"/>
  <c r="C195" i="20"/>
  <c r="C200" i="20" s="1"/>
  <c r="E194" i="20"/>
  <c r="E192" i="20"/>
  <c r="E190" i="20"/>
  <c r="D189" i="20"/>
  <c r="C189" i="20"/>
  <c r="E178" i="20"/>
  <c r="D176" i="20"/>
  <c r="D171" i="20" s="1"/>
  <c r="D172" i="20" s="1"/>
  <c r="C176" i="20"/>
  <c r="C171" i="20" s="1"/>
  <c r="C172" i="20" s="1"/>
  <c r="E175" i="20"/>
  <c r="E165" i="20"/>
  <c r="E149" i="20"/>
  <c r="E148" i="20"/>
  <c r="E146" i="20"/>
  <c r="E145" i="20"/>
  <c r="E143" i="20"/>
  <c r="D142" i="20"/>
  <c r="C142" i="20"/>
  <c r="D138" i="20"/>
  <c r="C138" i="20"/>
  <c r="E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20" i="20"/>
  <c r="C120" i="20"/>
  <c r="I115" i="20"/>
  <c r="D115" i="20" s="1"/>
  <c r="E110" i="20"/>
  <c r="D97" i="20"/>
  <c r="C97" i="20"/>
  <c r="E84" i="20"/>
  <c r="E66" i="20"/>
  <c r="E61" i="20"/>
  <c r="D61" i="20"/>
  <c r="C61" i="20"/>
  <c r="F48" i="20"/>
  <c r="D43" i="20"/>
  <c r="E30" i="20"/>
  <c r="D25" i="20"/>
  <c r="C25" i="20"/>
  <c r="E8" i="20"/>
  <c r="E7" i="20"/>
  <c r="E125" i="20" l="1"/>
  <c r="E123" i="20"/>
  <c r="E121" i="20"/>
  <c r="E98" i="20"/>
  <c r="E122" i="20"/>
  <c r="M159" i="20"/>
  <c r="E124" i="20"/>
  <c r="E126" i="20"/>
  <c r="E265" i="20"/>
  <c r="D60" i="21"/>
  <c r="C60" i="21"/>
  <c r="E284" i="20"/>
  <c r="F57" i="21"/>
  <c r="G57" i="21" s="1"/>
  <c r="D26" i="23"/>
  <c r="E150" i="20"/>
  <c r="E46" i="3" s="1"/>
  <c r="E17" i="17"/>
  <c r="E17" i="4"/>
  <c r="E20" i="17"/>
  <c r="E20" i="4"/>
  <c r="E33" i="17"/>
  <c r="E33" i="4"/>
  <c r="E29" i="18"/>
  <c r="E29" i="5"/>
  <c r="J66" i="18"/>
  <c r="E344" i="20" s="1"/>
  <c r="J66" i="5"/>
  <c r="E343" i="20" s="1"/>
  <c r="E27" i="17"/>
  <c r="E27" i="4"/>
  <c r="D21" i="23"/>
  <c r="E39" i="18"/>
  <c r="E39" i="5"/>
  <c r="E21" i="17"/>
  <c r="J21" i="17" s="1"/>
  <c r="E21" i="4"/>
  <c r="J21" i="4" s="1"/>
  <c r="E42" i="16"/>
  <c r="E42" i="3"/>
  <c r="E15" i="17"/>
  <c r="J15" i="17" s="1"/>
  <c r="E15" i="4"/>
  <c r="J15" i="4" s="1"/>
  <c r="E35" i="4"/>
  <c r="E35" i="17"/>
  <c r="E30" i="18"/>
  <c r="E30" i="5"/>
  <c r="E37" i="5"/>
  <c r="E37" i="18"/>
  <c r="E26" i="16"/>
  <c r="E26" i="3"/>
  <c r="E49" i="16"/>
  <c r="E49" i="3"/>
  <c r="E54" i="16"/>
  <c r="E180" i="20" s="1"/>
  <c r="E54" i="3"/>
  <c r="E179" i="20" s="1"/>
  <c r="E16" i="17"/>
  <c r="E16" i="4"/>
  <c r="E19" i="17"/>
  <c r="E19" i="4"/>
  <c r="C247" i="20"/>
  <c r="E31" i="18"/>
  <c r="H31" i="18" s="1"/>
  <c r="E31" i="5"/>
  <c r="H31" i="5" s="1"/>
  <c r="E38" i="5"/>
  <c r="E38" i="18"/>
  <c r="E17" i="16"/>
  <c r="E17" i="3"/>
  <c r="E15" i="16"/>
  <c r="E15" i="3"/>
  <c r="E38" i="16"/>
  <c r="E38" i="3"/>
  <c r="E16" i="16"/>
  <c r="E16" i="3"/>
  <c r="E39" i="16"/>
  <c r="E39" i="3"/>
  <c r="E14" i="16"/>
  <c r="E14" i="3"/>
  <c r="E314" i="20"/>
  <c r="D247" i="20"/>
  <c r="E147" i="20"/>
  <c r="E142" i="20"/>
  <c r="E115" i="20"/>
  <c r="E116" i="20" s="1"/>
  <c r="E189" i="20"/>
  <c r="F51" i="21"/>
  <c r="G51" i="21" s="1"/>
  <c r="F55" i="21"/>
  <c r="G55" i="21" s="1"/>
  <c r="F59" i="21"/>
  <c r="G59" i="21" s="1"/>
  <c r="F61" i="20"/>
  <c r="E172" i="20"/>
  <c r="E60" i="21"/>
  <c r="G16" i="21"/>
  <c r="J16" i="21" s="1"/>
  <c r="G14" i="21"/>
  <c r="J14" i="21" s="1"/>
  <c r="G12" i="21"/>
  <c r="J12" i="21" s="1"/>
  <c r="G20" i="21"/>
  <c r="J20" i="21" s="1"/>
  <c r="G18" i="21"/>
  <c r="J18" i="21" s="1"/>
  <c r="N159" i="20"/>
  <c r="E43" i="20"/>
  <c r="E208" i="20"/>
  <c r="E450" i="20"/>
  <c r="E138" i="20"/>
  <c r="E79" i="20"/>
  <c r="E235" i="20"/>
  <c r="E298" i="20"/>
  <c r="E333" i="20"/>
  <c r="E462" i="20"/>
  <c r="E276" i="20"/>
  <c r="E277" i="20" s="1"/>
  <c r="E120" i="20"/>
  <c r="D211" i="20"/>
  <c r="C211" i="20"/>
  <c r="E200" i="20"/>
  <c r="G42" i="21"/>
  <c r="J42" i="21" s="1"/>
  <c r="N160" i="20"/>
  <c r="O160" i="20" s="1"/>
  <c r="F42" i="21"/>
  <c r="F52" i="21"/>
  <c r="G52" i="21" s="1"/>
  <c r="F54" i="21"/>
  <c r="G54" i="21" s="1"/>
  <c r="F56" i="21"/>
  <c r="G56" i="21" s="1"/>
  <c r="F58" i="21"/>
  <c r="G58" i="21" s="1"/>
  <c r="E226" i="20"/>
  <c r="E236" i="20" s="1"/>
  <c r="C451" i="20"/>
  <c r="E451" i="20" s="1"/>
  <c r="C321" i="20"/>
  <c r="C325" i="20" s="1"/>
  <c r="D321" i="20"/>
  <c r="D325" i="20" s="1"/>
  <c r="O159" i="20" l="1"/>
  <c r="I161" i="20" s="1"/>
  <c r="E160" i="20" s="1"/>
  <c r="G60" i="21"/>
  <c r="E128" i="20"/>
  <c r="D28" i="23"/>
  <c r="J20" i="18"/>
  <c r="E267" i="20" s="1"/>
  <c r="E46" i="16"/>
  <c r="E40" i="5"/>
  <c r="E285" i="20" s="1"/>
  <c r="E32" i="4"/>
  <c r="E32" i="17"/>
  <c r="E32" i="18"/>
  <c r="H32" i="18" s="1"/>
  <c r="E32" i="5"/>
  <c r="H32" i="5" s="1"/>
  <c r="E18" i="17"/>
  <c r="E18" i="4"/>
  <c r="E53" i="18"/>
  <c r="E335" i="20" s="1"/>
  <c r="E53" i="5"/>
  <c r="E334" i="20" s="1"/>
  <c r="J67" i="18"/>
  <c r="J67" i="5"/>
  <c r="E44" i="18"/>
  <c r="E300" i="20" s="1"/>
  <c r="E44" i="5"/>
  <c r="E299" i="20" s="1"/>
  <c r="E40" i="16"/>
  <c r="E40" i="3"/>
  <c r="E53" i="16"/>
  <c r="E53" i="3"/>
  <c r="E204" i="20"/>
  <c r="E14" i="17"/>
  <c r="E14" i="4"/>
  <c r="J20" i="5"/>
  <c r="E266" i="20" s="1"/>
  <c r="J27" i="15"/>
  <c r="E100" i="20" s="1"/>
  <c r="J27" i="1"/>
  <c r="E99" i="20" s="1"/>
  <c r="E18" i="16"/>
  <c r="E34" i="16" s="1"/>
  <c r="E18" i="3"/>
  <c r="E34" i="3" s="1"/>
  <c r="E47" i="5"/>
  <c r="E315" i="20" s="1"/>
  <c r="E47" i="18"/>
  <c r="E316" i="20" s="1"/>
  <c r="H29" i="5"/>
  <c r="E36" i="4"/>
  <c r="E36" i="17"/>
  <c r="E41" i="16"/>
  <c r="E41" i="3"/>
  <c r="E40" i="18"/>
  <c r="H29" i="18"/>
  <c r="E25" i="4"/>
  <c r="E25" i="17"/>
  <c r="J23" i="15"/>
  <c r="E27" i="20" s="1"/>
  <c r="J23" i="1"/>
  <c r="E26" i="20" s="1"/>
  <c r="E25" i="16"/>
  <c r="E33" i="16" s="1"/>
  <c r="E25" i="3"/>
  <c r="E33" i="3" s="1"/>
  <c r="J24" i="15"/>
  <c r="E45" i="20" s="1"/>
  <c r="J24" i="1"/>
  <c r="E44" i="20" s="1"/>
  <c r="E45" i="16"/>
  <c r="E45" i="3"/>
  <c r="E22" i="16"/>
  <c r="E30" i="16" s="1"/>
  <c r="E22" i="3"/>
  <c r="E23" i="16"/>
  <c r="E31" i="16" s="1"/>
  <c r="E23" i="3"/>
  <c r="E31" i="3" s="1"/>
  <c r="J26" i="15"/>
  <c r="E81" i="20" s="1"/>
  <c r="J26" i="1"/>
  <c r="E80" i="20" s="1"/>
  <c r="J25" i="15"/>
  <c r="F63" i="20" s="1"/>
  <c r="J25" i="1"/>
  <c r="F62" i="20" s="1"/>
  <c r="E24" i="16"/>
  <c r="E32" i="16" s="1"/>
  <c r="E24" i="3"/>
  <c r="E32" i="3" s="1"/>
  <c r="E211" i="20"/>
  <c r="E217" i="20" s="1"/>
  <c r="G21" i="21"/>
  <c r="J21" i="21" s="1"/>
  <c r="F60" i="21"/>
  <c r="E325" i="20"/>
  <c r="E33" i="5" l="1"/>
  <c r="E278" i="20" s="1"/>
  <c r="J12" i="5"/>
  <c r="G61" i="21" s="1"/>
  <c r="J12" i="18"/>
  <c r="G62" i="21" s="1"/>
  <c r="J68" i="18"/>
  <c r="E15" i="15" s="1"/>
  <c r="E453" i="20"/>
  <c r="J68" i="5"/>
  <c r="E452" i="20"/>
  <c r="F41" i="18"/>
  <c r="E286" i="20"/>
  <c r="E174" i="20"/>
  <c r="E173" i="20"/>
  <c r="E19" i="16"/>
  <c r="E118" i="20" s="1"/>
  <c r="E33" i="18"/>
  <c r="E279" i="20" s="1"/>
  <c r="E22" i="4"/>
  <c r="E52" i="16" s="1"/>
  <c r="E55" i="16" s="1"/>
  <c r="H53" i="18"/>
  <c r="E22" i="17"/>
  <c r="E206" i="20" s="1"/>
  <c r="J19" i="18"/>
  <c r="J21" i="18" s="1"/>
  <c r="J23" i="18" s="1"/>
  <c r="E38" i="17"/>
  <c r="E238" i="20" s="1"/>
  <c r="E49" i="5"/>
  <c r="E326" i="20" s="1"/>
  <c r="E49" i="18"/>
  <c r="E19" i="3"/>
  <c r="E117" i="20" s="1"/>
  <c r="E38" i="4"/>
  <c r="E237" i="20" s="1"/>
  <c r="E26" i="17"/>
  <c r="E28" i="17" s="1"/>
  <c r="E219" i="20" s="1"/>
  <c r="E26" i="4"/>
  <c r="E28" i="4" s="1"/>
  <c r="E218" i="20" s="1"/>
  <c r="H161" i="20"/>
  <c r="E153" i="20"/>
  <c r="E154" i="20" s="1"/>
  <c r="E156" i="20" s="1"/>
  <c r="E27" i="3"/>
  <c r="E129" i="20" s="1"/>
  <c r="E30" i="3"/>
  <c r="E35" i="3" s="1"/>
  <c r="E35" i="16"/>
  <c r="E27" i="16"/>
  <c r="E130" i="20" s="1"/>
  <c r="J30" i="1"/>
  <c r="D30" i="23" s="1"/>
  <c r="D32" i="23" s="1"/>
  <c r="J30" i="15"/>
  <c r="E161" i="20"/>
  <c r="E163" i="20" s="1"/>
  <c r="H53" i="5"/>
  <c r="E50" i="18" l="1"/>
  <c r="E55" i="18" s="1"/>
  <c r="E56" i="18" s="1"/>
  <c r="F55" i="18" s="1"/>
  <c r="J55" i="18" s="1"/>
  <c r="E327" i="20"/>
  <c r="E166" i="20"/>
  <c r="E205" i="20"/>
  <c r="E52" i="3"/>
  <c r="E55" i="3" s="1"/>
  <c r="E43" i="3"/>
  <c r="E43" i="16"/>
  <c r="E44" i="16"/>
  <c r="E44" i="3"/>
  <c r="C8" i="22"/>
  <c r="D8" i="22" s="1"/>
  <c r="D33" i="23"/>
  <c r="F54" i="18" l="1"/>
  <c r="J54" i="18" s="1"/>
  <c r="F53" i="18"/>
  <c r="J53" i="18" s="1"/>
  <c r="J44" i="3"/>
  <c r="E47" i="3"/>
  <c r="E57" i="3" s="1"/>
  <c r="J44" i="16"/>
  <c r="E47" i="16"/>
  <c r="E57" i="16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E167" i="20" l="1"/>
  <c r="E168" i="20"/>
  <c r="J56" i="18"/>
  <c r="E44" i="17"/>
  <c r="G46" i="16"/>
  <c r="G45" i="16"/>
  <c r="E45" i="17" l="1"/>
  <c r="E43" i="17"/>
  <c r="E54" i="17"/>
  <c r="G46" i="3"/>
  <c r="G45" i="3"/>
  <c r="E50" i="17" l="1"/>
  <c r="E52" i="17" s="1"/>
  <c r="E56" i="17" s="1"/>
  <c r="E14" i="15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G15" i="15"/>
  <c r="G16" i="15" s="1"/>
  <c r="G17" i="15" s="1"/>
  <c r="D55" i="16" l="1"/>
  <c r="E14" i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J24" i="5" l="1"/>
  <c r="J25" i="5" s="1"/>
  <c r="H15" i="1"/>
  <c r="J15" i="1" s="1"/>
  <c r="H16" i="1"/>
  <c r="J16" i="1" s="1"/>
  <c r="H17" i="1"/>
  <c r="J17" i="1" s="1"/>
  <c r="H30" i="18"/>
  <c r="H33" i="18" s="1"/>
  <c r="J33" i="18" s="1"/>
  <c r="H41" i="18" s="1"/>
  <c r="J41" i="18" s="1"/>
  <c r="H45" i="16"/>
  <c r="J45" i="16" s="1"/>
  <c r="J18" i="15"/>
  <c r="J56" i="5"/>
  <c r="E43" i="4" s="1"/>
  <c r="E44" i="4"/>
  <c r="H25" i="17"/>
  <c r="J25" i="17" s="1"/>
  <c r="H15" i="3"/>
  <c r="J15" i="3" s="1"/>
  <c r="H14" i="1"/>
  <c r="J14" i="1" s="1"/>
  <c r="F30" i="5"/>
  <c r="H30" i="5" l="1"/>
  <c r="H33" i="5" s="1"/>
  <c r="J33" i="5" s="1"/>
  <c r="E54" i="4"/>
  <c r="E50" i="4" s="1"/>
  <c r="H45" i="3"/>
  <c r="J45" i="3" s="1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31" i="3" s="1"/>
  <c r="J28" i="17" l="1"/>
  <c r="J22" i="17"/>
  <c r="J19" i="16"/>
  <c r="H19" i="16" s="1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51" i="17" s="1"/>
  <c r="J38" i="4" l="1"/>
  <c r="H35" i="3"/>
  <c r="H40" i="16"/>
  <c r="J40" i="16" s="1"/>
  <c r="H42" i="16" l="1"/>
  <c r="J42" i="16" s="1"/>
  <c r="H51" i="4"/>
  <c r="J51" i="4" s="1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J11" i="1"/>
  <c r="J20" i="1" s="1"/>
  <c r="E32" i="1" l="1"/>
  <c r="E33" i="1" s="1"/>
  <c r="D7" i="22" s="1"/>
  <c r="E32" i="15"/>
  <c r="E33" i="15" l="1"/>
  <c r="C7" i="22" s="1"/>
  <c r="E36" i="15"/>
  <c r="C6" i="22" s="1"/>
  <c r="J36" i="15"/>
  <c r="J37" i="15" s="1"/>
  <c r="E37" i="15" l="1"/>
  <c r="E38" i="15" s="1"/>
  <c r="J38" i="15"/>
  <c r="C5" i="22"/>
  <c r="C4" i="22" l="1"/>
  <c r="C2" i="22"/>
  <c r="C3" i="22"/>
</calcChain>
</file>

<file path=xl/sharedStrings.xml><?xml version="1.0" encoding="utf-8"?>
<sst xmlns="http://schemas.openxmlformats.org/spreadsheetml/2006/main" count="1846" uniqueCount="1016">
  <si>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</si>
  <si>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</si>
  <si>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</si>
  <si>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</si>
  <si>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</si>
  <si>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</si>
  <si>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</si>
  <si>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</si>
  <si>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</si>
  <si>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</si>
  <si>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</si>
  <si>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</si>
  <si>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</si>
  <si>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</si>
  <si>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</si>
  <si>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</si>
  <si>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</si>
  <si>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</si>
  <si>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</si>
  <si>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</si>
  <si>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</si>
  <si>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</si>
  <si>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</si>
  <si>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</si>
  <si>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</si>
  <si>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</si>
  <si>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</si>
  <si>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</si>
  <si>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</si>
  <si>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</si>
  <si>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</si>
  <si>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</si>
  <si>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</si>
  <si>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</si>
  <si>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</si>
  <si>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</si>
  <si>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</si>
  <si>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</si>
  <si>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</si>
  <si>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</si>
  <si>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</si>
  <si>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</si>
  <si>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</si>
  <si>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</si>
  <si>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</si>
  <si>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</si>
  <si>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</si>
  <si>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</si>
  <si>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</si>
  <si>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</si>
  <si>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</si>
  <si>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</si>
  <si>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</si>
  <si>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</si>
  <si>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</si>
  <si>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</si>
  <si>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</si>
  <si>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</si>
  <si>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</si>
  <si>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</si>
  <si>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</si>
  <si>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</si>
  <si>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</si>
  <si>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</si>
  <si>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</si>
  <si>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</si>
  <si>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</si>
  <si>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</si>
  <si>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</si>
  <si>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</si>
  <si>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</si>
  <si>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</si>
  <si>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</si>
  <si>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</si>
  <si>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</si>
  <si>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</si>
  <si>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</si>
  <si>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</si>
  <si>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</si>
  <si>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</si>
  <si>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</si>
  <si>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</si>
  <si>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</si>
  <si>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</si>
  <si>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</si>
  <si>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</si>
  <si>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</si>
  <si>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</si>
  <si>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</si>
  <si>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</si>
  <si>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</si>
  <si>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</si>
  <si>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</si>
  <si>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</si>
  <si>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</si>
  <si>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</si>
  <si>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</si>
  <si>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</si>
  <si>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</si>
  <si>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</si>
  <si>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</si>
  <si>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</si>
  <si>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</si>
  <si>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</si>
  <si>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</si>
  <si>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</si>
  <si>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</si>
  <si>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</si>
  <si>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</si>
  <si>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</si>
  <si>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</si>
  <si>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</si>
  <si>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</si>
  <si>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</si>
  <si>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</si>
  <si>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</si>
  <si>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</si>
  <si>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</si>
  <si>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</si>
  <si>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</si>
  <si>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</si>
  <si>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</si>
  <si>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</si>
  <si>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</si>
  <si>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</si>
  <si>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</si>
  <si>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</si>
  <si>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</si>
  <si>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</si>
  <si>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</si>
  <si>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</si>
  <si>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</si>
  <si>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</si>
  <si>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</si>
  <si>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</si>
  <si>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</si>
  <si>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</si>
  <si>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</si>
  <si>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</si>
  <si>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</si>
  <si>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</si>
  <si>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</si>
  <si>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</si>
  <si>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</si>
  <si>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</si>
  <si>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</si>
  <si>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</si>
  <si>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</si>
  <si>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</si>
  <si>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</si>
  <si>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</si>
  <si>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</si>
  <si>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</si>
  <si>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</si>
  <si>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</si>
  <si>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</si>
  <si>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</si>
  <si>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</si>
  <si>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</si>
  <si>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</si>
  <si>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</si>
  <si>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</si>
  <si>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</si>
  <si>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</si>
  <si>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</si>
  <si>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</si>
  <si>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</si>
  <si>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</si>
  <si>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</si>
  <si>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</si>
  <si>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</si>
  <si>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</si>
  <si>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</si>
  <si>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</si>
  <si>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</si>
  <si>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</si>
  <si>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</si>
  <si>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</si>
  <si>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</si>
  <si>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</si>
  <si>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</si>
  <si>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</si>
  <si>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</si>
  <si>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</si>
  <si>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</si>
  <si>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</si>
  <si>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</si>
  <si>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</si>
  <si>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</si>
  <si>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</si>
  <si>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</si>
  <si>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</si>
  <si>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</si>
  <si>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</si>
  <si>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</si>
  <si>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</si>
  <si>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</si>
  <si>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</si>
  <si>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</si>
  <si>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</si>
  <si>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</si>
  <si>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</si>
  <si>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</si>
  <si>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</si>
  <si>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</si>
  <si>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</si>
  <si>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</si>
  <si>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</si>
  <si>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</si>
  <si>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</si>
  <si>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</si>
  <si>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</si>
  <si>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</si>
  <si>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</si>
  <si>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</si>
  <si>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</si>
  <si>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</si>
  <si>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</si>
  <si>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</si>
  <si>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</si>
  <si>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</si>
  <si>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</si>
  <si>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</si>
  <si>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</si>
  <si>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</si>
  <si>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</si>
  <si>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</si>
  <si>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</si>
  <si>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</si>
  <si>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</si>
  <si>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</si>
  <si>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</si>
  <si>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</si>
  <si>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</si>
  <si>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</si>
  <si>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</si>
  <si>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</si>
  <si>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</si>
  <si>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</si>
  <si>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</si>
  <si>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</si>
  <si>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</si>
  <si>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</si>
  <si>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</si>
  <si>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</si>
  <si>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</si>
  <si>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</si>
  <si>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</si>
  <si>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</si>
  <si>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</si>
  <si>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</si>
  <si>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</si>
  <si>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</si>
  <si>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</si>
  <si>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</si>
  <si>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</si>
  <si>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</si>
  <si>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</si>
  <si>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</si>
  <si>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</si>
  <si>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</si>
  <si>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</si>
  <si>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</si>
  <si>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</si>
  <si>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</si>
  <si>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</si>
  <si>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</si>
  <si>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</si>
  <si>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</si>
  <si>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</si>
  <si>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</si>
  <si>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</si>
  <si>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</si>
  <si>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</si>
  <si>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</si>
  <si>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</si>
  <si>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</si>
  <si>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</si>
  <si>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</si>
  <si>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</si>
  <si>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</si>
  <si>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</si>
  <si>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</si>
  <si>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</si>
  <si>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</si>
  <si>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</si>
  <si>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</si>
  <si>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</si>
  <si>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</si>
  <si>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</si>
  <si>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</si>
  <si>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</si>
  <si>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</si>
  <si>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</si>
  <si>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</si>
  <si>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</si>
  <si>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</si>
  <si>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</si>
  <si>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</si>
  <si>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</si>
  <si>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</si>
  <si>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</si>
  <si>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</si>
  <si>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</si>
  <si>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</si>
  <si>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</si>
  <si>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</si>
  <si>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</si>
  <si>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</si>
  <si>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</si>
  <si>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</si>
  <si>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</si>
  <si>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</si>
  <si>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</si>
  <si>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</si>
  <si>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</si>
  <si>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</si>
  <si>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</si>
  <si>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</si>
  <si>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</si>
  <si>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</si>
  <si>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</si>
  <si>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</si>
  <si>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</si>
  <si>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</si>
  <si>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</si>
  <si>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</si>
  <si>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</si>
  <si>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</si>
  <si>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</si>
  <si>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</si>
  <si>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</si>
  <si>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</si>
  <si>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</si>
  <si>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</si>
  <si>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</si>
  <si>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</si>
  <si>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</si>
  <si>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</si>
  <si>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</si>
  <si>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</si>
  <si>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</si>
  <si>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</si>
  <si>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</si>
  <si>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</si>
  <si>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</si>
  <si>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</si>
  <si>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</si>
  <si>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</si>
  <si>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</si>
  <si>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</si>
  <si>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</si>
  <si>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</si>
  <si>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</si>
  <si>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</si>
  <si>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</si>
  <si>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</si>
  <si>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</si>
  <si>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</si>
  <si>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</si>
  <si>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</si>
  <si>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</si>
  <si>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</si>
  <si>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</si>
  <si>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</si>
  <si>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</si>
  <si>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</si>
  <si>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</si>
  <si>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</si>
  <si>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</si>
  <si>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</si>
  <si>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</si>
  <si>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</si>
  <si>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</si>
  <si>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</si>
  <si>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</si>
  <si>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</si>
  <si>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</si>
  <si>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</si>
  <si>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</si>
  <si>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</si>
  <si>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</si>
  <si>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</si>
  <si>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</si>
  <si>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</si>
  <si>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</si>
  <si>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</si>
  <si>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</si>
  <si>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</si>
  <si>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</si>
  <si>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</si>
  <si>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</si>
  <si>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</si>
  <si>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</si>
  <si>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</si>
  <si>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</si>
  <si>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</si>
  <si>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</si>
  <si>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</si>
  <si>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</si>
  <si>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</si>
  <si>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</si>
  <si>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</si>
  <si>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</si>
  <si>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</si>
  <si>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</si>
  <si>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</si>
  <si>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</si>
  <si>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</si>
  <si>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</si>
  <si>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</si>
  <si>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</si>
  <si>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</si>
  <si>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</si>
  <si>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</si>
  <si>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</si>
  <si>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</si>
  <si>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</si>
  <si>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</si>
  <si>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</si>
  <si>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</si>
  <si>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</si>
  <si>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</si>
  <si>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</si>
  <si>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</si>
  <si>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</si>
  <si>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</si>
  <si>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</si>
  <si>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</si>
  <si>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</si>
  <si>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</si>
  <si>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</si>
  <si>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</si>
  <si>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</si>
  <si>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</si>
  <si>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</si>
  <si>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</si>
  <si>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</si>
  <si>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</si>
  <si>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</si>
  <si>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</si>
  <si>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</si>
  <si>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</si>
  <si>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</si>
  <si>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</si>
  <si>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</si>
  <si>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</si>
  <si>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</si>
  <si>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</si>
  <si>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</si>
  <si>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</si>
  <si>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</si>
  <si>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</si>
  <si>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</si>
  <si>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</si>
  <si>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</si>
  <si>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</si>
  <si>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</si>
  <si>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</si>
  <si>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</si>
  <si>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</si>
  <si>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</si>
  <si>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</si>
  <si>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</si>
  <si>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Form 1, p. 311, col. (g)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</si>
  <si>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</si>
  <si>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</si>
  <si>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</si>
  <si>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</si>
  <si>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</si>
  <si>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</si>
  <si>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</si>
  <si>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</si>
  <si>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</si>
  <si>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</si>
  <si>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</si>
  <si>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</si>
  <si>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</si>
  <si>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</si>
  <si>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</si>
  <si>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</si>
  <si>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</si>
  <si>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</si>
  <si>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</si>
  <si>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</si>
  <si>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</si>
  <si>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</si>
  <si>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</si>
  <si>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</si>
  <si>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</si>
  <si>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</si>
  <si>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</si>
  <si>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</si>
  <si>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</si>
  <si>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</si>
  <si>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</si>
  <si>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</si>
  <si>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</si>
  <si>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</si>
  <si>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</si>
  <si>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</si>
  <si>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</si>
  <si>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</si>
  <si>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</si>
  <si>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</si>
  <si>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</si>
  <si>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</si>
  <si>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</si>
  <si>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</si>
  <si>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</si>
  <si>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</si>
  <si>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</si>
  <si>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</si>
  <si>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</si>
  <si>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</si>
  <si>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</si>
  <si>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</si>
  <si>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</si>
  <si>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</si>
  <si>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</si>
  <si>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</si>
  <si>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</si>
  <si>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</si>
  <si>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</si>
  <si>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</si>
  <si>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</si>
  <si>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</si>
  <si>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</si>
  <si>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</si>
  <si>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</si>
  <si>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</si>
  <si>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</si>
  <si>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</si>
  <si>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</si>
  <si>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</si>
  <si>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</si>
  <si>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</si>
  <si>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</si>
  <si>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</si>
  <si>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</si>
  <si>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</si>
  <si>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</si>
  <si>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</si>
  <si>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</si>
  <si>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</si>
  <si>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</si>
  <si>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</si>
  <si>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</si>
  <si>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</si>
  <si>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</si>
  <si>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</si>
  <si>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</si>
  <si>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</si>
  <si>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</si>
  <si>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</si>
  <si>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</si>
  <si>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</si>
  <si>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</si>
  <si>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</si>
  <si>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</si>
  <si>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to Page 2 of 5, L. 26, col.3 (enter negative)</t>
  </si>
  <si>
    <t>multiply the total balance in account 399 times the electric only allocation ratio</t>
  </si>
  <si>
    <t>Common Reserve</t>
  </si>
  <si>
    <t>Provided by Transmission if applicable.  Represents costs for required network upgrades required in response to a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</si>
  <si>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</si>
  <si>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</si>
  <si>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</si>
  <si>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</si>
  <si>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</si>
  <si>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</si>
  <si>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</si>
  <si>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</si>
  <si>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</si>
  <si>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</si>
  <si>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</si>
  <si>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</si>
  <si>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</si>
  <si>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P.227, L.8, Col.(c)</t>
  </si>
  <si>
    <t>Stores Expense Undistributed</t>
  </si>
  <si>
    <t>P.227, L.16, Col.(c)</t>
  </si>
  <si>
    <t>Total Account 154</t>
  </si>
  <si>
    <t>P.227, L.12, Col.(c)</t>
  </si>
  <si>
    <t>Transmission Ratio</t>
  </si>
  <si>
    <t>Prepayments (acct. 165)</t>
  </si>
  <si>
    <t>P.111, L.57, Col.(c)</t>
  </si>
  <si>
    <t>to Page 2 of 5, L. 28, col.3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</si>
  <si>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</si>
  <si>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</si>
  <si>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</si>
  <si>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</si>
  <si>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</si>
  <si>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</si>
  <si>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</si>
  <si>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</si>
  <si>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</si>
  <si>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2009 Ice storm amortized to retail only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</si>
  <si>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</si>
  <si>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</si>
  <si>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</si>
  <si>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</si>
  <si>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</si>
  <si>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</si>
  <si>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</si>
  <si>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</si>
  <si>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</si>
  <si>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</si>
  <si>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</si>
  <si>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</si>
  <si>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</si>
  <si>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</si>
  <si>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</si>
  <si>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</si>
  <si>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</si>
  <si>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</si>
  <si>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</si>
  <si>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</si>
  <si>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</si>
  <si>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</si>
  <si>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</si>
  <si>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</si>
  <si>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</si>
  <si>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</si>
  <si>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</si>
  <si>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</si>
  <si>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</si>
  <si>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</si>
  <si>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</si>
  <si>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</si>
  <si>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</t>
  </si>
  <si>
    <t>Page 336, L.7, Col.(f)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</si>
  <si>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</si>
  <si>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</si>
  <si>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</si>
  <si>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</si>
  <si>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</si>
  <si>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</si>
  <si>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</si>
  <si>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Common ARO</t>
  </si>
  <si>
    <t>Page 336, L.11, Col.(c)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</si>
  <si>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</si>
  <si>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</si>
  <si>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</si>
  <si>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</si>
  <si>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</si>
  <si>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</si>
  <si>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</si>
  <si>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</si>
  <si>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</si>
  <si>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</si>
  <si>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</si>
  <si>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</si>
  <si>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 xml:space="preserve">          Highway and vehicle</t>
  </si>
  <si>
    <t>Page 262-3, Col.(i)</t>
  </si>
  <si>
    <t>to Page 3 of 5, L. 14, col.3</t>
  </si>
  <si>
    <t>See note above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</si>
  <si>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</si>
  <si>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</si>
  <si>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</si>
  <si>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</si>
  <si>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</si>
  <si>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</si>
  <si>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</si>
  <si>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</si>
  <si>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</si>
  <si>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</si>
  <si>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</si>
  <si>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</si>
  <si>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</si>
  <si>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</si>
  <si>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agrees to total on page 263, column i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</si>
  <si>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</si>
  <si>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</si>
  <si>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</si>
  <si>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</si>
  <si>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</si>
  <si>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</si>
  <si>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</si>
  <si>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</si>
  <si>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</si>
  <si>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</si>
  <si>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</si>
  <si>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</si>
  <si>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</si>
  <si>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</si>
  <si>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</si>
  <si>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</si>
  <si>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</si>
  <si>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</si>
  <si>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</si>
  <si>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</si>
  <si>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</si>
  <si>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</si>
  <si>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</si>
  <si>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</si>
  <si>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</si>
  <si>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</si>
  <si>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</si>
  <si>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</si>
  <si>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</si>
  <si>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</si>
  <si>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</si>
  <si>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</si>
  <si>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</si>
  <si>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</si>
  <si>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</si>
  <si>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</si>
  <si>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</si>
  <si>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</si>
  <si>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</si>
  <si>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</si>
  <si>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</si>
  <si>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</si>
  <si>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</si>
  <si>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</si>
  <si>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</si>
  <si>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</si>
  <si>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</si>
  <si>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</si>
  <si>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</si>
  <si>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</si>
  <si>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</si>
  <si>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</si>
  <si>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</si>
  <si>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</si>
  <si>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</si>
  <si>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</si>
  <si>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</si>
  <si>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</si>
  <si>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</si>
  <si>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</si>
  <si>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</si>
  <si>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</si>
  <si>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</si>
  <si>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</si>
  <si>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</si>
  <si>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</si>
  <si>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</si>
  <si>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</si>
  <si>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</si>
  <si>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</si>
  <si>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to page 4 of 5, L. 21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</si>
  <si>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</si>
  <si>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</si>
  <si>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</si>
  <si>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</si>
  <si>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</si>
  <si>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</si>
  <si>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</si>
  <si>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</si>
  <si>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</si>
  <si>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</si>
  <si>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</si>
  <si>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</si>
  <si>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</si>
  <si>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</si>
  <si>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</si>
  <si>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</si>
  <si>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</si>
  <si>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</si>
  <si>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</si>
  <si>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</si>
  <si>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</si>
  <si>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</si>
  <si>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</si>
  <si>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</si>
  <si>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</si>
  <si>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</si>
  <si>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</si>
  <si>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</si>
  <si>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</si>
  <si>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</si>
  <si>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</si>
  <si>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</si>
  <si>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</si>
  <si>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to page 4 of 5, L. 27</t>
  </si>
  <si>
    <t>Return on Equity</t>
  </si>
  <si>
    <t>Set by FERC Order; only change with authorization to do so.</t>
  </si>
  <si>
    <t>Account 456 -- Other Electric Revenues</t>
  </si>
  <si>
    <t>Total Transmission Charges</t>
  </si>
  <si>
    <t>Page 330, Col.(n)</t>
  </si>
  <si>
    <t>to page 4 of 5, L. 35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</si>
  <si>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</si>
  <si>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</si>
  <si>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</si>
  <si>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</si>
  <si>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</si>
  <si>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</si>
  <si>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</si>
  <si>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</si>
  <si>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L.22,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</si>
  <si>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</si>
  <si>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</si>
  <si>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</si>
  <si>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</si>
  <si>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</si>
  <si>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</si>
  <si>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</si>
  <si>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330.1, L.2, Col.(n)</t>
  </si>
  <si>
    <t>Page 330.1, L.3,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</si>
  <si>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</si>
  <si>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</si>
  <si>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</si>
  <si>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</si>
  <si>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</si>
  <si>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L.2, Col.(n)</t>
  </si>
  <si>
    <t>Page 330, L.10, Col.(n)</t>
  </si>
  <si>
    <t>Page 330, L.12, Col.(n)</t>
  </si>
  <si>
    <t>Page 330, L.14, Col.(n)</t>
  </si>
  <si>
    <t>Page 330, L.18,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</si>
  <si>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</si>
  <si>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</si>
  <si>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</si>
  <si>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</si>
  <si>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</si>
  <si>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</si>
  <si>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agree to page 4 of 5, L. 37</t>
  </si>
  <si>
    <t>to Page 4 of 5, L. 36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</si>
  <si>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</si>
  <si>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</si>
  <si>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</si>
  <si>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</si>
  <si>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</si>
  <si>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</si>
  <si>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</si>
  <si>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</si>
  <si>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</si>
  <si>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</si>
  <si>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</si>
  <si>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</si>
  <si>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</si>
  <si>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</si>
  <si>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</si>
  <si>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</si>
  <si>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</si>
  <si>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</si>
  <si>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</si>
  <si>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</si>
  <si>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</si>
  <si>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</si>
  <si>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</si>
  <si>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</si>
  <si>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</si>
  <si>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</si>
  <si>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</si>
  <si>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</si>
  <si>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</si>
  <si>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</si>
  <si>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</si>
  <si>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</si>
  <si>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Electric Transmission -- 500kV Transmission Line Located in Virginia, serving Kentucky</t>
  </si>
  <si>
    <t>Electric Transmission -- Virginia Balances excluded from OATT formula rate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</si>
  <si>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</si>
  <si>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</si>
  <si>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</si>
  <si>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</si>
  <si>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</si>
  <si>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</si>
  <si>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</si>
  <si>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</si>
  <si>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</si>
  <si>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</si>
  <si>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</si>
  <si>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</si>
  <si>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</si>
  <si>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</si>
  <si>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</si>
  <si>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Electric Allocation Ratio</t>
  </si>
  <si>
    <t>LGE balance, per Form 1 page 356.1 (excludes all 107)</t>
  </si>
  <si>
    <t>101 &amp; 106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</si>
  <si>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</si>
  <si>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</si>
  <si>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</si>
  <si>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</si>
  <si>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</si>
  <si>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</si>
  <si>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</si>
  <si>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</si>
  <si>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Reg Comm Expenses</t>
  </si>
  <si>
    <t>Page 262-3, L.8, Col.(i)</t>
  </si>
  <si>
    <t>T = L. 21</t>
  </si>
  <si>
    <t>Page 330, L.19, Col.(n)</t>
  </si>
  <si>
    <t>Page 330, L.23, Col.(n)</t>
  </si>
  <si>
    <t>Page 330, L.25, Col.(n)</t>
  </si>
  <si>
    <t>Page 330, L.8, Col.(n)</t>
  </si>
  <si>
    <t>Page 330, L.24, Col.(n)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</si>
  <si>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</si>
  <si>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</si>
  <si>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</si>
  <si>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</si>
  <si>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</si>
  <si>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</si>
  <si>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</si>
  <si>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</si>
  <si>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</si>
  <si>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</si>
  <si>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</si>
  <si>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</si>
  <si>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</si>
  <si>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</si>
  <si>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</si>
  <si>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</si>
  <si>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</si>
  <si>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</si>
  <si>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</si>
  <si>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</si>
  <si>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</si>
  <si>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</si>
  <si>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</si>
  <si>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</si>
  <si>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</si>
  <si>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</si>
  <si>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</si>
  <si>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</si>
  <si>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</si>
  <si>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</si>
  <si>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</si>
  <si>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</si>
  <si>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Monthly rate</t>
  </si>
  <si>
    <t>line 16 / 12</t>
  </si>
  <si>
    <t>to page 4 of 5, L. 30</t>
  </si>
  <si>
    <t>to Page 2 of 5, L. 31, col.3</t>
  </si>
  <si>
    <t>Total Includable O&amp;M</t>
  </si>
  <si>
    <t>Net Includable Depreciation Expense</t>
  </si>
  <si>
    <t>Total Adjustments</t>
  </si>
  <si>
    <t>LSE Direct Assign assets-rate base adjustment</t>
  </si>
  <si>
    <t>Network Upgrade assets-rate base adjustment</t>
  </si>
  <si>
    <t>check total-NITS</t>
  </si>
  <si>
    <t>check total-PTP</t>
  </si>
  <si>
    <t>total Gross Plant</t>
  </si>
  <si>
    <t>Total Accumulated Reserve</t>
  </si>
  <si>
    <t>Total Wages and Salaries</t>
  </si>
  <si>
    <t>Input Data for Annual Update of the LG&amp;E/KU Attachment O Formula Rate</t>
  </si>
  <si>
    <t>12 CP Data, firm Point to Point:</t>
  </si>
  <si>
    <t>Provided by Transmission Policy &amp; Tariffs; see workpapers from F Rubio -- OMU reservations included in PTP on page 400</t>
  </si>
  <si>
    <t>Error checks</t>
  </si>
  <si>
    <t>Line 35a-Transmission Charges for all transmission transactions:</t>
  </si>
  <si>
    <t>year, include dollar amounts on appropriate acct row in the Additions column; otherwise, check for change in balance due to retirements.  Previous</t>
  </si>
  <si>
    <t>year ending balance is transferred to current year beginning balance, additions and retirements are entered as appropriate in columns, and ending</t>
  </si>
  <si>
    <t>balance is updated automatically.</t>
  </si>
  <si>
    <t>remove from all formula rate components any costs related to VA transmission facilities from total transmission on Page 2 of 5, line 8.</t>
  </si>
  <si>
    <t>Kentucky Utilities Company</t>
  </si>
  <si>
    <t>Per Plant Report</t>
  </si>
  <si>
    <t>Ending Balance</t>
  </si>
  <si>
    <t>Check</t>
  </si>
  <si>
    <t>Notes: Source spreadsheet provided by Property Accounting for the annual cost separation study.  If any entries in the Date column are for current</t>
  </si>
  <si>
    <t>Source:  VA 500 KV Line - Dec 2015.xlsx provided by Property Accounting</t>
  </si>
  <si>
    <t>Source:  December 2015 Kentucky Utilities Company Monthly Plant Report provided by Property Accounting</t>
  </si>
  <si>
    <t xml:space="preserve">Notes:  VA transmission plant total from row 59 below is linked to Page 4 of 5, line 2, and a transmission plant allocator is calculated to appropriately </t>
  </si>
  <si>
    <t>Tab:  VA_PIS NBV P9 (REG) -- Electric Transmission only starting on row 46 of support file</t>
  </si>
  <si>
    <t>If any, see "Power Transaction Schedule(s)" in applicable Form B</t>
  </si>
  <si>
    <r>
      <t xml:space="preserve">LG&amp;E col (h) = </t>
    </r>
    <r>
      <rPr>
        <sz val="10"/>
        <color rgb="FF0070C0"/>
        <rFont val="Calibri"/>
        <family val="2"/>
        <scheme val="minor"/>
      </rPr>
      <t>0 for 2015</t>
    </r>
  </si>
  <si>
    <t>Plant reports, P2 REG (KU), P11 (LGE)</t>
  </si>
  <si>
    <t>Plant reports, P5 REG (LGE only)</t>
  </si>
  <si>
    <t>confirm links to transmission plant and book depreciation expense in O159:O160</t>
  </si>
  <si>
    <t>copy prev yr end bal to beg, multiply by calculated depreciation rate in I153</t>
  </si>
  <si>
    <t>Depreciation Expense Adjustment</t>
  </si>
  <si>
    <t>Page 351, L.46, Col.(h)</t>
  </si>
  <si>
    <t>Page 262-3, L.14 (K), L.17 (L), Col.(i)</t>
  </si>
  <si>
    <t>Page 330.1, L.13, Col.(n)</t>
  </si>
  <si>
    <t>Page 330.1, L.15, Col.(n)</t>
  </si>
  <si>
    <t>Page 330.1, L.17, Col.(n)</t>
  </si>
  <si>
    <t>Page 330.1, L.19, Col.(n)</t>
  </si>
  <si>
    <t>Page 330.1, L.21, Col.(n)</t>
  </si>
  <si>
    <t>Page 330.1, L.23, Col.(n)</t>
  </si>
  <si>
    <t>Page 330.1, L.25, Col.(n)</t>
  </si>
  <si>
    <t>Page 330.1, L.26, Col.(n)</t>
  </si>
  <si>
    <t>Page 330.1, L.28, Col.(n)</t>
  </si>
  <si>
    <t>Page 330.1, L.30, Col.(n)</t>
  </si>
  <si>
    <t>Page 330.1, L.32, Col.(n)</t>
  </si>
  <si>
    <t>Page 330.1, L.34, Col.(n)</t>
  </si>
  <si>
    <t>Page 330.2, L.2, Col.(n)</t>
  </si>
  <si>
    <t>Page 330, L.3, Col.(n)</t>
  </si>
  <si>
    <t>Page 330, L.9, Col.(n)</t>
  </si>
  <si>
    <t>Page 330, L.20, Col.(n)</t>
  </si>
  <si>
    <t>Page 330.1, L.5, Col.(n)</t>
  </si>
  <si>
    <t>Page 330.1, L.6, Col.(n)</t>
  </si>
  <si>
    <t>Page 330.1, L.8, Col.(n)</t>
  </si>
  <si>
    <t>Page 330.1, L.10, Col.(n)</t>
  </si>
  <si>
    <t>Page 330.1, L.11, Col.(n)</t>
  </si>
  <si>
    <t>Page 330.1, L.12, Col.(n)</t>
  </si>
  <si>
    <t>Page 330.1, L.14, Col.(n)</t>
  </si>
  <si>
    <t>Page 330.1, L.16, Col.(n)</t>
  </si>
  <si>
    <t>Page 330.1, L.18, Col.(n)</t>
  </si>
  <si>
    <t>Page 330.1, L.20, Col.(n)</t>
  </si>
  <si>
    <t>Page 330.1, L.22, Col.(n)</t>
  </si>
  <si>
    <t>Page 330.1, L.24, Col.(n)</t>
  </si>
  <si>
    <t>Page 330.1, L.27, Col.(n)</t>
  </si>
  <si>
    <t>Page 330.1, L.29, Col.(n)</t>
  </si>
  <si>
    <t>Page 330.1, L.31, Col.(n)</t>
  </si>
  <si>
    <t>Page 330.1, L.33, Col.(n)</t>
  </si>
  <si>
    <t>Page 330.2, L.1, Col.(n)</t>
  </si>
  <si>
    <t>Page 330.2, L.3, Col.(n)</t>
  </si>
  <si>
    <t>Page 330, L.21, Col.(n)</t>
  </si>
  <si>
    <t>Page 330.1, L.9, Col.(n)</t>
  </si>
  <si>
    <t>Page 330.2, L.5, Col.(n)</t>
  </si>
  <si>
    <t>Page 330.2, L.6, Col.(n)</t>
  </si>
  <si>
    <t>Page 330.1, L.4, Col.(n)</t>
  </si>
  <si>
    <t>Page 330.2, L.4, Col.(n)</t>
  </si>
  <si>
    <t>request for transmission service that are deemed beneficial to entire network system.</t>
  </si>
  <si>
    <t>reviewing Plant Report Pg 26 REG (LGE) and Pg 13 REG (KU)</t>
  </si>
  <si>
    <t>Page 262-3, L.14 (L), Col.(i)</t>
  </si>
  <si>
    <t>Page 262-3, L.15 (K), L.14 (L), Col.(i)</t>
  </si>
  <si>
    <t>Page 262-3, L.11 (K), L.12 (L), Col.(i)</t>
  </si>
  <si>
    <t>to Page 5 of 5, Note K</t>
  </si>
  <si>
    <t>copy prev yr end bal to beg, multiply by calculated depreciation rate in I161</t>
  </si>
  <si>
    <t>Net Book Network Upgrade Assets</t>
  </si>
  <si>
    <t>to Page 3 of 5, L. 8, col.3</t>
  </si>
  <si>
    <t>to Page 3 of 5, L. 12, col.3</t>
  </si>
  <si>
    <t>to Page 3 of 5, L. 15, col.3</t>
  </si>
  <si>
    <t>Page 351, L.13 KU,L.12 LGE, Col.(h)</t>
  </si>
  <si>
    <t>Page 351, L.3, Col.(h) LGE only</t>
  </si>
  <si>
    <t>Reference: Depreciation Expense per Form 1, Page 336, Col.(f)</t>
  </si>
  <si>
    <t>Accumulated Reserve per Form 1, Pages 200 col. (c), 219 col. (c), &amp; 356.1</t>
  </si>
  <si>
    <t>All Sch. 1 charges except the cost of depancaking for OMU and KMPA; provided by F. Rubio, Transmission</t>
  </si>
  <si>
    <t>Page 262-3, L.15 (K), Col.(i)</t>
  </si>
  <si>
    <t>* Asset retirement obligations do not have specific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</si>
</sst>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8" formatCode="0.00000%"/>
    <numFmt numFmtId="189" formatCode="#,##0.0000_);\(#,##0.0000\)"/>
    <numFmt numFmtId="190" formatCode="mmmm\ d\,\ yyyy\ &quot;Rate&quot;"/>
    <numFmt numFmtId="191" formatCode="&quot;$&quot;#,##0.000_);[Red]\(&quot;$&quot;#,##0.000\)"/>
    <numFmt numFmtId="192" formatCode="_(&quot;$&quot;* #,##0_)"/>
    <numFmt numFmtId="193" formatCode="_(* #,##0_)"/>
    <numFmt numFmtId="194" formatCode="_(&quot;$&quot;* #,##0.000_)"/>
    <numFmt numFmtId="195" formatCode="_(&quot;$&quot;* #,##0_);_(&quot;$&quot;* \(#,##0\)_)"/>
    <numFmt numFmtId="196" formatCode="_(* #,##0_);_(* \(#,##0\)_)"/>
  </numFmts>
  <fonts count="87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37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10" fillId="18" borderId="5" applyNumberFormat="0" applyAlignment="0" applyProtection="0"/>
    <xf numFmtId="177" fontId="11" fillId="0" borderId="2" applyBorder="0">
      <alignment horizontal="center" vertical="center"/>
    </xf>
    <xf numFmtId="178" fontId="12" fillId="19" borderId="0">
      <alignment horizontal="left"/>
    </xf>
    <xf numFmtId="178" fontId="13" fillId="19" borderId="0">
      <alignment horizontal="right"/>
    </xf>
    <xf numFmtId="178" fontId="14" fillId="17" borderId="0">
      <alignment horizontal="center"/>
    </xf>
    <xf numFmtId="178" fontId="13" fillId="19" borderId="0">
      <alignment horizontal="right"/>
    </xf>
    <xf numFmtId="178" fontId="15" fillId="17" borderId="0">
      <alignment horizontal="left"/>
    </xf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20" borderId="6" applyNumberFormat="0" applyFont="0" applyAlignment="0">
      <protection locked="0"/>
    </xf>
    <xf numFmtId="176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20" fillId="0" borderId="0" applyProtection="0"/>
    <xf numFmtId="176" fontId="2" fillId="0" borderId="0" applyProtection="0"/>
    <xf numFmtId="176" fontId="21" fillId="0" borderId="0" applyProtection="0"/>
    <xf numFmtId="176" fontId="22" fillId="0" borderId="0" applyProtection="0"/>
    <xf numFmtId="176" fontId="4" fillId="0" borderId="0" applyProtection="0"/>
    <xf numFmtId="176" fontId="20" fillId="0" borderId="0" applyProtection="0"/>
    <xf numFmtId="176" fontId="23" fillId="0" borderId="0" applyProtection="0"/>
    <xf numFmtId="2" fontId="4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178" fontId="12" fillId="19" borderId="0">
      <alignment horizontal="left"/>
    </xf>
    <xf numFmtId="178" fontId="29" fillId="17" borderId="0">
      <alignment horizontal="left"/>
    </xf>
    <xf numFmtId="0" fontId="30" fillId="0" borderId="10" applyNumberFormat="0" applyFill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5" borderId="11" applyNumberFormat="0" applyFont="0" applyAlignment="0" applyProtection="0"/>
    <xf numFmtId="0" fontId="33" fillId="17" borderId="12" applyNumberFormat="0" applyAlignment="0" applyProtection="0"/>
    <xf numFmtId="180" fontId="34" fillId="17" borderId="0">
      <alignment horizontal="right"/>
    </xf>
    <xf numFmtId="40" fontId="35" fillId="21" borderId="0">
      <alignment horizontal="right"/>
    </xf>
    <xf numFmtId="178" fontId="36" fillId="22" borderId="0">
      <alignment horizontal="center"/>
    </xf>
    <xf numFmtId="178" fontId="12" fillId="23" borderId="0"/>
    <xf numFmtId="178" fontId="37" fillId="17" borderId="0" applyBorder="0">
      <alignment horizontal="centerContinuous"/>
    </xf>
    <xf numFmtId="178" fontId="38" fillId="23" borderId="0" applyBorder="0">
      <alignment horizontal="centerContinuous"/>
    </xf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24" borderId="13">
      <alignment horizontal="left"/>
    </xf>
    <xf numFmtId="176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6" fontId="40" fillId="0" borderId="1">
      <alignment horizontal="center"/>
    </xf>
    <xf numFmtId="3" fontId="39" fillId="0" borderId="0" applyFont="0" applyFill="0" applyBorder="0" applyAlignment="0" applyProtection="0"/>
    <xf numFmtId="176" fontId="39" fillId="25" borderId="0" applyNumberFormat="0" applyFont="0" applyBorder="0" applyAlignment="0" applyProtection="0"/>
    <xf numFmtId="178" fontId="29" fillId="8" borderId="0">
      <alignment horizontal="center"/>
    </xf>
    <xf numFmtId="49" fontId="41" fillId="17" borderId="0">
      <alignment horizontal="center"/>
    </xf>
    <xf numFmtId="178" fontId="13" fillId="19" borderId="0">
      <alignment horizontal="center"/>
    </xf>
    <xf numFmtId="178" fontId="13" fillId="19" borderId="0">
      <alignment horizontal="centerContinuous"/>
    </xf>
    <xf numFmtId="178" fontId="42" fillId="17" borderId="0">
      <alignment horizontal="left"/>
    </xf>
    <xf numFmtId="49" fontId="42" fillId="17" borderId="0">
      <alignment horizontal="center"/>
    </xf>
    <xf numFmtId="178" fontId="12" fillId="19" borderId="0">
      <alignment horizontal="left"/>
    </xf>
    <xf numFmtId="49" fontId="42" fillId="17" borderId="0">
      <alignment horizontal="left"/>
    </xf>
    <xf numFmtId="178" fontId="12" fillId="19" borderId="0">
      <alignment horizontal="centerContinuous"/>
    </xf>
    <xf numFmtId="178" fontId="12" fillId="19" borderId="0">
      <alignment horizontal="right"/>
    </xf>
    <xf numFmtId="49" fontId="29" fillId="17" borderId="0">
      <alignment horizontal="left"/>
    </xf>
    <xf numFmtId="178" fontId="13" fillId="19" borderId="0">
      <alignment horizontal="right"/>
    </xf>
    <xf numFmtId="178" fontId="42" fillId="6" borderId="0">
      <alignment horizontal="center"/>
    </xf>
    <xf numFmtId="178" fontId="43" fillId="6" borderId="0">
      <alignment horizontal="center"/>
    </xf>
    <xf numFmtId="4" fontId="20" fillId="26" borderId="14" applyNumberFormat="0" applyProtection="0">
      <alignment vertical="center"/>
    </xf>
    <xf numFmtId="4" fontId="44" fillId="26" borderId="15" applyNumberFormat="0" applyProtection="0">
      <alignment vertical="center"/>
    </xf>
    <xf numFmtId="4" fontId="20" fillId="26" borderId="14" applyNumberFormat="0" applyProtection="0">
      <alignment horizontal="left" vertical="center" indent="1"/>
    </xf>
    <xf numFmtId="176" fontId="20" fillId="27" borderId="15" applyNumberFormat="0" applyProtection="0">
      <alignment horizontal="left" vertical="top" indent="1"/>
    </xf>
    <xf numFmtId="4" fontId="20" fillId="23" borderId="0" applyNumberFormat="0" applyProtection="0">
      <alignment horizontal="left" vertical="center" indent="1"/>
    </xf>
    <xf numFmtId="4" fontId="4" fillId="26" borderId="15" applyNumberFormat="0" applyProtection="0">
      <alignment horizontal="right" vertical="center"/>
    </xf>
    <xf numFmtId="4" fontId="45" fillId="28" borderId="15" applyNumberFormat="0" applyProtection="0">
      <alignment horizontal="right" vertical="center"/>
    </xf>
    <xf numFmtId="4" fontId="45" fillId="29" borderId="15" applyNumberFormat="0" applyProtection="0">
      <alignment horizontal="right" vertical="center"/>
    </xf>
    <xf numFmtId="4" fontId="4" fillId="8" borderId="15" applyNumberFormat="0" applyProtection="0">
      <alignment horizontal="right" vertical="center"/>
    </xf>
    <xf numFmtId="4" fontId="4" fillId="3" borderId="15" applyNumberFormat="0" applyProtection="0">
      <alignment horizontal="right" vertical="center"/>
    </xf>
    <xf numFmtId="4" fontId="4" fillId="9" borderId="15" applyNumberFormat="0" applyProtection="0">
      <alignment horizontal="right" vertical="center"/>
    </xf>
    <xf numFmtId="4" fontId="45" fillId="15" borderId="15" applyNumberFormat="0" applyProtection="0">
      <alignment horizontal="right" vertical="center"/>
    </xf>
    <xf numFmtId="4" fontId="45" fillId="30" borderId="15" applyNumberFormat="0" applyProtection="0">
      <alignment horizontal="right" vertical="center"/>
    </xf>
    <xf numFmtId="4" fontId="4" fillId="14" borderId="15" applyNumberFormat="0" applyProtection="0">
      <alignment horizontal="right" vertical="center"/>
    </xf>
    <xf numFmtId="4" fontId="20" fillId="31" borderId="0" applyNumberFormat="0" applyProtection="0">
      <alignment horizontal="left" vertical="center" indent="1"/>
    </xf>
    <xf numFmtId="4" fontId="4" fillId="10" borderId="0" applyNumberFormat="0" applyProtection="0">
      <alignment horizontal="left" vertical="center" indent="1"/>
    </xf>
    <xf numFmtId="4" fontId="41" fillId="32" borderId="0" applyNumberFormat="0" applyProtection="0">
      <alignment horizontal="left" vertical="center" indent="1"/>
    </xf>
    <xf numFmtId="4" fontId="4" fillId="10" borderId="14" applyNumberFormat="0" applyProtection="0">
      <alignment horizontal="right" vertical="center"/>
    </xf>
    <xf numFmtId="4" fontId="4" fillId="10" borderId="0" applyNumberFormat="0" applyProtection="0">
      <alignment horizontal="left" vertical="center" indent="1"/>
    </xf>
    <xf numFmtId="4" fontId="4" fillId="27" borderId="0" applyNumberFormat="0" applyProtection="0">
      <alignment horizontal="left" vertical="center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34" fillId="33" borderId="15" applyNumberFormat="0" applyProtection="0">
      <alignment vertical="center"/>
    </xf>
    <xf numFmtId="4" fontId="46" fillId="33" borderId="15" applyNumberFormat="0" applyProtection="0">
      <alignment vertical="center"/>
    </xf>
    <xf numFmtId="4" fontId="4" fillId="10" borderId="15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4" fillId="34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4" fillId="10" borderId="14" applyNumberFormat="0" applyProtection="0">
      <alignment horizontal="left" vertical="center" indent="1"/>
    </xf>
    <xf numFmtId="176" fontId="4" fillId="10" borderId="14" applyNumberFormat="0" applyProtection="0">
      <alignment horizontal="left" vertical="top" indent="1"/>
    </xf>
    <xf numFmtId="4" fontId="47" fillId="0" borderId="0" applyNumberFormat="0" applyProtection="0">
      <alignment horizontal="left" vertical="center" indent="1"/>
    </xf>
    <xf numFmtId="4" fontId="4" fillId="0" borderId="15" applyNumberFormat="0" applyProtection="0">
      <alignment horizontal="right" vertical="center"/>
    </xf>
    <xf numFmtId="176" fontId="4" fillId="0" borderId="16" applyNumberFormat="0" applyFont="0" applyFill="0" applyBorder="0" applyAlignment="0" applyProtection="0"/>
    <xf numFmtId="176" fontId="4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176" fontId="32" fillId="0" borderId="0"/>
    <xf numFmtId="178" fontId="50" fillId="17" borderId="0">
      <alignment horizontal="center"/>
    </xf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37" fontId="2" fillId="0" borderId="0"/>
  </cellStyleXfs>
  <cellXfs count="566">
    <xf numFmtId="37" fontId="0" fillId="0" borderId="0" xfId="0"/>
    <xf numFmtId="164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left"/>
    </xf>
    <xf numFmtId="0" fontId="51" fillId="0" borderId="0" xfId="0" applyNumberFormat="1" applyFont="1" applyFill="1" applyProtection="1"/>
    <xf numFmtId="0" fontId="51" fillId="0" borderId="0" xfId="0" applyNumberFormat="1" applyFont="1" applyFill="1" applyAlignment="1" applyProtection="1">
      <alignment horizontal="center"/>
    </xf>
    <xf numFmtId="0" fontId="52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left"/>
    </xf>
    <xf numFmtId="3" fontId="51" fillId="0" borderId="0" xfId="0" applyNumberFormat="1" applyFont="1" applyFill="1" applyAlignment="1" applyProtection="1"/>
    <xf numFmtId="49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"/>
    </xf>
    <xf numFmtId="3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Continuous"/>
    </xf>
    <xf numFmtId="165" fontId="51" fillId="0" borderId="0" xfId="0" applyNumberFormat="1" applyFont="1" applyFill="1" applyAlignment="1" applyProtection="1"/>
    <xf numFmtId="3" fontId="51" fillId="0" borderId="0" xfId="0" applyNumberFormat="1" applyFont="1" applyFill="1" applyBorder="1" applyProtection="1"/>
    <xf numFmtId="0" fontId="53" fillId="0" borderId="0" xfId="0" applyNumberFormat="1" applyFont="1" applyFill="1" applyProtection="1"/>
    <xf numFmtId="37" fontId="55" fillId="0" borderId="0" xfId="0" applyFont="1" applyProtection="1"/>
    <xf numFmtId="3" fontId="51" fillId="0" borderId="0" xfId="0" applyNumberFormat="1" applyFont="1" applyFill="1" applyAlignment="1" applyProtection="1">
      <alignment horizontal="fill"/>
    </xf>
    <xf numFmtId="164" fontId="53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/>
    <xf numFmtId="0" fontId="51" fillId="0" borderId="0" xfId="0" applyNumberFormat="1" applyFont="1" applyFill="1" applyBorder="1" applyProtection="1"/>
    <xf numFmtId="166" fontId="51" fillId="0" borderId="0" xfId="0" applyNumberFormat="1" applyFont="1" applyFill="1" applyBorder="1" applyProtection="1"/>
    <xf numFmtId="166" fontId="56" fillId="0" borderId="0" xfId="0" applyNumberFormat="1" applyFont="1" applyFill="1" applyProtection="1"/>
    <xf numFmtId="10" fontId="51" fillId="0" borderId="0" xfId="0" applyNumberFormat="1" applyFont="1" applyFill="1" applyProtection="1"/>
    <xf numFmtId="166" fontId="51" fillId="0" borderId="0" xfId="0" applyNumberFormat="1" applyFont="1" applyFill="1" applyProtection="1"/>
    <xf numFmtId="166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left"/>
    </xf>
    <xf numFmtId="184" fontId="51" fillId="0" borderId="0" xfId="1" applyNumberFormat="1" applyFont="1" applyFill="1" applyAlignment="1" applyProtection="1"/>
    <xf numFmtId="0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/>
    </xf>
    <xf numFmtId="170" fontId="51" fillId="0" borderId="0" xfId="2" applyNumberFormat="1" applyFont="1" applyFill="1" applyBorder="1" applyProtection="1"/>
    <xf numFmtId="175" fontId="51" fillId="0" borderId="0" xfId="1" applyNumberFormat="1" applyFont="1" applyFill="1" applyBorder="1" applyProtection="1"/>
    <xf numFmtId="3" fontId="57" fillId="0" borderId="0" xfId="0" applyNumberFormat="1" applyFont="1" applyFill="1" applyProtection="1"/>
    <xf numFmtId="0" fontId="51" fillId="0" borderId="0" xfId="0" quotePrefix="1" applyNumberFormat="1" applyFont="1" applyFill="1" applyBorder="1" applyProtection="1"/>
    <xf numFmtId="3" fontId="57" fillId="0" borderId="0" xfId="0" applyNumberFormat="1" applyFont="1" applyFill="1" applyBorder="1" applyProtection="1"/>
    <xf numFmtId="3" fontId="58" fillId="0" borderId="0" xfId="0" applyNumberFormat="1" applyFont="1" applyFill="1" applyBorder="1" applyProtection="1"/>
    <xf numFmtId="175" fontId="51" fillId="0" borderId="0" xfId="0" applyNumberFormat="1" applyFont="1" applyFill="1" applyBorder="1" applyProtection="1"/>
    <xf numFmtId="10" fontId="51" fillId="0" borderId="0" xfId="3" applyNumberFormat="1" applyFont="1" applyFill="1" applyBorder="1" applyProtection="1"/>
    <xf numFmtId="170" fontId="51" fillId="0" borderId="0" xfId="0" applyNumberFormat="1" applyFont="1" applyFill="1" applyBorder="1" applyProtection="1"/>
    <xf numFmtId="166" fontId="56" fillId="0" borderId="0" xfId="0" applyNumberFormat="1" applyFont="1" applyFill="1" applyBorder="1" applyProtection="1"/>
    <xf numFmtId="10" fontId="51" fillId="0" borderId="0" xfId="0" applyNumberFormat="1" applyFont="1" applyFill="1" applyBorder="1" applyProtection="1"/>
    <xf numFmtId="3" fontId="51" fillId="0" borderId="0" xfId="0" quotePrefix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/>
    <xf numFmtId="164" fontId="51" fillId="0" borderId="0" xfId="0" applyNumberFormat="1" applyFont="1" applyFill="1" applyBorder="1" applyAlignment="1" applyProtection="1">
      <alignment horizontal="center"/>
    </xf>
    <xf numFmtId="175" fontId="51" fillId="0" borderId="0" xfId="1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Alignment="1" applyProtection="1"/>
    <xf numFmtId="175" fontId="59" fillId="0" borderId="0" xfId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center"/>
    </xf>
    <xf numFmtId="172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Protection="1"/>
    <xf numFmtId="164" fontId="60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>
      <alignment horizontal="center"/>
    </xf>
    <xf numFmtId="38" fontId="51" fillId="0" borderId="0" xfId="0" applyNumberFormat="1" applyFont="1" applyFill="1" applyBorder="1" applyProtection="1"/>
    <xf numFmtId="38" fontId="51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Protection="1"/>
    <xf numFmtId="172" fontId="51" fillId="0" borderId="0" xfId="0" applyNumberFormat="1" applyFont="1" applyFill="1" applyBorder="1" applyProtection="1"/>
    <xf numFmtId="1" fontId="51" fillId="0" borderId="0" xfId="0" applyNumberFormat="1" applyFont="1" applyFill="1" applyBorder="1" applyProtection="1"/>
    <xf numFmtId="3" fontId="53" fillId="0" borderId="0" xfId="0" applyNumberFormat="1" applyFont="1" applyFill="1" applyBorder="1" applyAlignment="1" applyProtection="1">
      <alignment horizontal="left"/>
    </xf>
    <xf numFmtId="1" fontId="51" fillId="0" borderId="0" xfId="0" applyNumberFormat="1" applyFont="1" applyFill="1" applyBorder="1" applyAlignment="1" applyProtection="1"/>
    <xf numFmtId="172" fontId="51" fillId="0" borderId="0" xfId="0" applyNumberFormat="1" applyFont="1" applyFill="1" applyBorder="1" applyAlignment="1" applyProtection="1"/>
    <xf numFmtId="164" fontId="59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right"/>
    </xf>
    <xf numFmtId="0" fontId="61" fillId="0" borderId="0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Protection="1"/>
    <xf numFmtId="0" fontId="61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>
      <alignment horizontal="center"/>
    </xf>
    <xf numFmtId="164" fontId="61" fillId="0" borderId="0" xfId="0" applyNumberFormat="1" applyFont="1" applyFill="1" applyBorder="1" applyAlignment="1" applyProtection="1"/>
    <xf numFmtId="0" fontId="53" fillId="0" borderId="0" xfId="0" applyNumberFormat="1" applyFont="1" applyFill="1" applyBorder="1" applyProtection="1"/>
    <xf numFmtId="10" fontId="61" fillId="0" borderId="0" xfId="0" applyNumberFormat="1" applyFont="1" applyFill="1" applyBorder="1" applyProtection="1"/>
    <xf numFmtId="0" fontId="53" fillId="0" borderId="0" xfId="0" applyNumberFormat="1" applyFont="1" applyFill="1" applyBorder="1" applyAlignment="1" applyProtection="1">
      <alignment horizontal="left"/>
    </xf>
    <xf numFmtId="164" fontId="61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Protection="1"/>
    <xf numFmtId="10" fontId="55" fillId="0" borderId="0" xfId="0" applyNumberFormat="1" applyFont="1" applyFill="1" applyBorder="1" applyProtection="1"/>
    <xf numFmtId="164" fontId="55" fillId="0" borderId="0" xfId="0" applyNumberFormat="1" applyFont="1" applyFill="1" applyBorder="1" applyAlignment="1" applyProtection="1"/>
    <xf numFmtId="164" fontId="55" fillId="0" borderId="0" xfId="0" applyNumberFormat="1" applyFont="1" applyFill="1" applyAlignment="1" applyProtection="1"/>
    <xf numFmtId="3" fontId="51" fillId="0" borderId="0" xfId="0" quotePrefix="1" applyNumberFormat="1" applyFont="1" applyFill="1" applyBorder="1" applyAlignment="1" applyProtection="1">
      <alignment horizontal="left"/>
    </xf>
    <xf numFmtId="164" fontId="51" fillId="0" borderId="0" xfId="0" applyNumberFormat="1" applyFont="1" applyAlignment="1"/>
    <xf numFmtId="0" fontId="51" fillId="0" borderId="0" xfId="0" applyNumberFormat="1" applyFont="1" applyProtection="1">
      <protection locked="0"/>
    </xf>
    <xf numFmtId="0" fontId="5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right"/>
      <protection locked="0"/>
    </xf>
    <xf numFmtId="0" fontId="51" fillId="0" borderId="0" xfId="0" applyNumberFormat="1" applyFont="1"/>
    <xf numFmtId="0" fontId="51" fillId="0" borderId="0" xfId="0" applyNumberFormat="1" applyFont="1" applyAlignment="1"/>
    <xf numFmtId="164" fontId="51" fillId="0" borderId="0" xfId="0" applyNumberFormat="1" applyFont="1" applyFill="1" applyAlignment="1"/>
    <xf numFmtId="3" fontId="51" fillId="0" borderId="0" xfId="0" applyNumberFormat="1" applyFont="1" applyAlignment="1"/>
    <xf numFmtId="164" fontId="51" fillId="0" borderId="0" xfId="0" applyNumberFormat="1" applyFont="1" applyAlignment="1" applyProtection="1">
      <protection locked="0"/>
    </xf>
    <xf numFmtId="172" fontId="5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alignment horizontal="center"/>
      <protection locked="0"/>
    </xf>
    <xf numFmtId="0" fontId="6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protection locked="0"/>
    </xf>
    <xf numFmtId="3" fontId="61" fillId="0" borderId="0" xfId="0" applyNumberFormat="1" applyFont="1" applyAlignment="1"/>
    <xf numFmtId="0" fontId="56" fillId="0" borderId="0" xfId="0" applyNumberFormat="1" applyFont="1" applyProtection="1">
      <protection locked="0"/>
    </xf>
    <xf numFmtId="3" fontId="56" fillId="0" borderId="0" xfId="0" applyNumberFormat="1" applyFont="1" applyAlignment="1"/>
    <xf numFmtId="0" fontId="61" fillId="0" borderId="1" xfId="0" applyNumberFormat="1" applyFont="1" applyBorder="1" applyAlignment="1" applyProtection="1">
      <alignment horizontal="center"/>
      <protection locked="0"/>
    </xf>
    <xf numFmtId="0" fontId="61" fillId="0" borderId="0" xfId="0" quotePrefix="1" applyNumberFormat="1" applyFont="1" applyFill="1" applyAlignment="1" applyProtection="1">
      <alignment horizontal="left"/>
      <protection locked="0"/>
    </xf>
    <xf numFmtId="0" fontId="61" fillId="0" borderId="0" xfId="0" applyNumberFormat="1" applyFont="1" applyFill="1" applyProtection="1">
      <protection locked="0"/>
    </xf>
    <xf numFmtId="3" fontId="61" fillId="0" borderId="0" xfId="0" applyNumberFormat="1" applyFont="1" applyFill="1" applyAlignment="1"/>
    <xf numFmtId="0" fontId="56" fillId="0" borderId="0" xfId="0" applyNumberFormat="1" applyFont="1" applyFill="1" applyProtection="1">
      <protection locked="0"/>
    </xf>
    <xf numFmtId="3" fontId="56" fillId="0" borderId="0" xfId="0" applyNumberFormat="1" applyFont="1" applyFill="1" applyAlignment="1"/>
    <xf numFmtId="0" fontId="6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Fill="1"/>
    <xf numFmtId="3" fontId="61" fillId="0" borderId="0" xfId="0" applyNumberFormat="1" applyFont="1" applyFill="1" applyAlignment="1">
      <alignment horizontal="center"/>
    </xf>
    <xf numFmtId="164" fontId="61" fillId="0" borderId="0" xfId="0" applyNumberFormat="1" applyFont="1" applyFill="1" applyAlignment="1"/>
    <xf numFmtId="10" fontId="61" fillId="0" borderId="0" xfId="0" applyNumberFormat="1" applyFont="1" applyFill="1" applyProtection="1">
      <protection locked="0"/>
    </xf>
    <xf numFmtId="0" fontId="51" fillId="0" borderId="0" xfId="0" applyNumberFormat="1" applyFont="1" applyFill="1" applyProtection="1">
      <protection locked="0"/>
    </xf>
    <xf numFmtId="164" fontId="61" fillId="0" borderId="0" xfId="0" applyNumberFormat="1" applyFont="1" applyAlignment="1">
      <alignment horizontal="center"/>
    </xf>
    <xf numFmtId="164" fontId="61" fillId="0" borderId="0" xfId="0" applyNumberFormat="1" applyFont="1" applyAlignment="1"/>
    <xf numFmtId="0" fontId="61" fillId="0" borderId="0" xfId="0" quotePrefix="1" applyNumberFormat="1" applyFont="1" applyFill="1" applyAlignment="1">
      <alignment horizontal="left"/>
    </xf>
    <xf numFmtId="10" fontId="51" fillId="0" borderId="0" xfId="0" applyNumberFormat="1" applyFont="1" applyFill="1"/>
    <xf numFmtId="0" fontId="61" fillId="0" borderId="0" xfId="0" applyNumberFormat="1" applyFont="1" applyFill="1"/>
    <xf numFmtId="0" fontId="55" fillId="0" borderId="0" xfId="0" applyNumberFormat="1" applyFont="1" applyFill="1"/>
    <xf numFmtId="10" fontId="55" fillId="0" borderId="0" xfId="0" applyNumberFormat="1" applyFont="1" applyFill="1"/>
    <xf numFmtId="0" fontId="55" fillId="0" borderId="0" xfId="0" applyNumberFormat="1" applyFont="1"/>
    <xf numFmtId="164" fontId="55" fillId="0" borderId="0" xfId="0" applyNumberFormat="1" applyFont="1" applyAlignment="1"/>
    <xf numFmtId="164" fontId="61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/>
    <xf numFmtId="37" fontId="55" fillId="0" borderId="0" xfId="0" applyFont="1"/>
    <xf numFmtId="164" fontId="51" fillId="0" borderId="0" xfId="0" applyNumberFormat="1" applyFont="1" applyFill="1" applyBorder="1" applyAlignment="1" applyProtection="1">
      <alignment horizontal="centerContinuous"/>
    </xf>
    <xf numFmtId="164" fontId="51" fillId="0" borderId="0" xfId="0" applyNumberFormat="1" applyFont="1" applyFill="1" applyBorder="1" applyAlignment="1" applyProtection="1">
      <alignment wrapText="1"/>
    </xf>
    <xf numFmtId="164" fontId="51" fillId="0" borderId="0" xfId="0" quotePrefix="1" applyNumberFormat="1" applyFont="1" applyFill="1" applyBorder="1" applyAlignment="1" applyProtection="1">
      <alignment horizontal="left" wrapText="1"/>
    </xf>
    <xf numFmtId="164" fontId="51" fillId="0" borderId="0" xfId="0" quotePrefix="1" applyNumberFormat="1" applyFont="1" applyFill="1" applyBorder="1" applyAlignment="1" applyProtection="1">
      <alignment horizontal="left"/>
    </xf>
    <xf numFmtId="170" fontId="59" fillId="0" borderId="0" xfId="2" applyNumberFormat="1" applyFont="1" applyFill="1" applyBorder="1" applyAlignment="1" applyProtection="1"/>
    <xf numFmtId="170" fontId="51" fillId="0" borderId="0" xfId="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fill"/>
    </xf>
    <xf numFmtId="9" fontId="51" fillId="0" borderId="0" xfId="3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fill"/>
    </xf>
    <xf numFmtId="171" fontId="51" fillId="0" borderId="0" xfId="0" applyNumberFormat="1" applyFont="1" applyFill="1" applyBorder="1" applyAlignment="1" applyProtection="1">
      <alignment horizontal="center"/>
    </xf>
    <xf numFmtId="171" fontId="51" fillId="0" borderId="0" xfId="0" applyNumberFormat="1" applyFont="1" applyFill="1" applyBorder="1" applyAlignment="1" applyProtection="1">
      <alignment horizontal="left"/>
    </xf>
    <xf numFmtId="172" fontId="59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left"/>
    </xf>
    <xf numFmtId="164" fontId="61" fillId="0" borderId="0" xfId="0" quotePrefix="1" applyNumberFormat="1" applyFont="1" applyFill="1" applyAlignment="1">
      <alignment horizontal="left"/>
    </xf>
    <xf numFmtId="0" fontId="51" fillId="0" borderId="0" xfId="0" quotePrefix="1" applyNumberFormat="1" applyFont="1" applyFill="1" applyAlignment="1" applyProtection="1">
      <alignment horizontal="fill"/>
    </xf>
    <xf numFmtId="183" fontId="51" fillId="0" borderId="0" xfId="0" applyNumberFormat="1" applyFont="1" applyFill="1" applyProtection="1"/>
    <xf numFmtId="169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left"/>
      <protection locked="0"/>
    </xf>
    <xf numFmtId="3" fontId="51" fillId="0" borderId="0" xfId="0" applyNumberFormat="1" applyFont="1" applyFill="1" applyAlignment="1"/>
    <xf numFmtId="175" fontId="51" fillId="0" borderId="0" xfId="1" applyNumberFormat="1" applyFont="1" applyFill="1" applyBorder="1" applyAlignment="1"/>
    <xf numFmtId="0" fontId="51" fillId="0" borderId="1" xfId="0" applyNumberFormat="1" applyFont="1" applyFill="1" applyBorder="1"/>
    <xf numFmtId="3" fontId="51" fillId="0" borderId="1" xfId="0" applyNumberFormat="1" applyFont="1" applyFill="1" applyBorder="1" applyAlignment="1"/>
    <xf numFmtId="3" fontId="51" fillId="0" borderId="0" xfId="0" applyNumberFormat="1" applyFont="1" applyFill="1" applyAlignment="1">
      <alignment horizontal="center"/>
    </xf>
    <xf numFmtId="49" fontId="51" fillId="0" borderId="0" xfId="0" applyNumberFormat="1" applyFont="1" applyFill="1"/>
    <xf numFmtId="49" fontId="51" fillId="0" borderId="0" xfId="0" applyNumberFormat="1" applyFont="1" applyFill="1" applyAlignment="1"/>
    <xf numFmtId="49" fontId="51" fillId="0" borderId="0" xfId="0" applyNumberFormat="1" applyFont="1" applyFill="1" applyAlignment="1">
      <alignment horizontal="center"/>
    </xf>
    <xf numFmtId="164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0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164" fontId="53" fillId="0" borderId="0" xfId="0" applyNumberFormat="1" applyFont="1" applyFill="1" applyBorder="1"/>
    <xf numFmtId="164" fontId="53" fillId="0" borderId="0" xfId="0" applyNumberFormat="1" applyFont="1" applyFill="1" applyBorder="1" applyAlignment="1">
      <alignment horizontal="left" wrapText="1"/>
    </xf>
    <xf numFmtId="175" fontId="51" fillId="0" borderId="0" xfId="1" applyNumberFormat="1" applyFont="1" applyFill="1" applyAlignment="1"/>
    <xf numFmtId="3" fontId="53" fillId="0" borderId="0" xfId="0" applyNumberFormat="1" applyFont="1" applyFill="1" applyBorder="1" applyAlignment="1"/>
    <xf numFmtId="175" fontId="59" fillId="0" borderId="0" xfId="1" applyNumberFormat="1" applyFont="1" applyFill="1" applyAlignment="1"/>
    <xf numFmtId="164" fontId="51" fillId="0" borderId="0" xfId="0" applyNumberFormat="1" applyFont="1" applyFill="1" applyAlignment="1">
      <alignment horizontal="center"/>
    </xf>
    <xf numFmtId="3" fontId="51" fillId="0" borderId="0" xfId="0" quotePrefix="1" applyNumberFormat="1" applyFont="1" applyFill="1" applyAlignment="1"/>
    <xf numFmtId="3" fontId="59" fillId="0" borderId="0" xfId="0" applyNumberFormat="1" applyFont="1" applyFill="1" applyAlignment="1"/>
    <xf numFmtId="164" fontId="51" fillId="0" borderId="0" xfId="0" quotePrefix="1" applyNumberFormat="1" applyFont="1" applyFill="1" applyAlignment="1">
      <alignment horizontal="left"/>
    </xf>
    <xf numFmtId="3" fontId="52" fillId="0" borderId="0" xfId="0" applyNumberFormat="1" applyFont="1" applyFill="1" applyAlignment="1">
      <alignment horizontal="center"/>
    </xf>
    <xf numFmtId="172" fontId="59" fillId="0" borderId="0" xfId="0" applyNumberFormat="1" applyFont="1" applyFill="1" applyAlignment="1"/>
    <xf numFmtId="1" fontId="51" fillId="0" borderId="0" xfId="0" applyNumberFormat="1" applyFont="1" applyFill="1" applyProtection="1"/>
    <xf numFmtId="1" fontId="51" fillId="0" borderId="0" xfId="0" applyNumberFormat="1" applyFont="1" applyFill="1" applyAlignment="1" applyProtection="1"/>
    <xf numFmtId="3" fontId="51" fillId="0" borderId="0" xfId="0" applyNumberFormat="1" applyFont="1" applyFill="1" applyAlignment="1" applyProtection="1">
      <alignment horizontal="right"/>
      <protection locked="0"/>
    </xf>
    <xf numFmtId="8" fontId="51" fillId="0" borderId="0" xfId="0" applyNumberFormat="1" applyFont="1" applyFill="1" applyAlignment="1"/>
    <xf numFmtId="164" fontId="51" fillId="0" borderId="0" xfId="0" applyNumberFormat="1" applyFont="1" applyFill="1" applyAlignment="1">
      <alignment horizontal="left"/>
    </xf>
    <xf numFmtId="3" fontId="55" fillId="0" borderId="0" xfId="0" quotePrefix="1" applyNumberFormat="1" applyFont="1" applyAlignment="1" applyProtection="1">
      <alignment horizontal="left"/>
    </xf>
    <xf numFmtId="173" fontId="51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right"/>
    </xf>
    <xf numFmtId="0" fontId="63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right"/>
      <protection locked="0"/>
    </xf>
    <xf numFmtId="3" fontId="55" fillId="0" borderId="0" xfId="0" applyNumberFormat="1" applyFont="1" applyAlignment="1" applyProtection="1"/>
    <xf numFmtId="164" fontId="55" fillId="0" borderId="0" xfId="0" quotePrefix="1" applyNumberFormat="1" applyFont="1" applyAlignment="1" applyProtection="1">
      <alignment horizontal="left"/>
    </xf>
    <xf numFmtId="164" fontId="55" fillId="0" borderId="0" xfId="0" applyNumberFormat="1" applyFont="1" applyAlignment="1" applyProtection="1"/>
    <xf numFmtId="3" fontId="55" fillId="0" borderId="0" xfId="0" quotePrefix="1" applyNumberFormat="1" applyFont="1" applyFill="1" applyAlignment="1" applyProtection="1">
      <alignment horizontal="left"/>
    </xf>
    <xf numFmtId="0" fontId="55" fillId="0" borderId="0" xfId="0" applyNumberFormat="1" applyFont="1" applyFill="1" applyProtection="1"/>
    <xf numFmtId="0" fontId="55" fillId="0" borderId="0" xfId="0" quotePrefix="1" applyNumberFormat="1" applyFont="1" applyFill="1" applyAlignment="1" applyProtection="1">
      <alignment horizontal="left"/>
    </xf>
    <xf numFmtId="3" fontId="55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right"/>
    </xf>
    <xf numFmtId="0" fontId="51" fillId="0" borderId="0" xfId="0" applyNumberFormat="1" applyFont="1" applyAlignment="1">
      <alignment horizontal="right"/>
    </xf>
    <xf numFmtId="164" fontId="52" fillId="0" borderId="0" xfId="0" applyNumberFormat="1" applyFont="1" applyFill="1" applyAlignment="1" applyProtection="1">
      <alignment horizontal="centerContinuous"/>
    </xf>
    <xf numFmtId="164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Fill="1" applyAlignment="1" applyProtection="1">
      <alignment horizontal="centerContinuous"/>
    </xf>
    <xf numFmtId="0" fontId="51" fillId="0" borderId="0" xfId="0" quotePrefix="1" applyNumberFormat="1" applyFont="1" applyFill="1" applyAlignment="1">
      <alignment horizontal="left"/>
    </xf>
    <xf numFmtId="0" fontId="51" fillId="0" borderId="1" xfId="0" quotePrefix="1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Alignment="1" applyProtection="1">
      <alignment horizontal="left"/>
      <protection locked="0"/>
    </xf>
    <xf numFmtId="0" fontId="61" fillId="0" borderId="0" xfId="0" quotePrefix="1" applyNumberFormat="1" applyFont="1" applyAlignment="1">
      <alignment horizontal="left"/>
    </xf>
    <xf numFmtId="3" fontId="58" fillId="0" borderId="0" xfId="0" applyNumberFormat="1" applyFont="1" applyFill="1" applyProtection="1"/>
    <xf numFmtId="0" fontId="51" fillId="0" borderId="0" xfId="0" quotePrefix="1" applyNumberFormat="1" applyFont="1" applyFill="1" applyAlignment="1">
      <alignment horizontal="left" wrapText="1"/>
    </xf>
    <xf numFmtId="10" fontId="69" fillId="0" borderId="0" xfId="3" applyNumberFormat="1" applyFont="1" applyFill="1" applyBorder="1"/>
    <xf numFmtId="10" fontId="69" fillId="0" borderId="0" xfId="3" applyNumberFormat="1" applyFont="1" applyFill="1" applyBorder="1" applyAlignment="1">
      <alignment horizontal="right"/>
    </xf>
    <xf numFmtId="10" fontId="57" fillId="0" borderId="0" xfId="3" applyNumberFormat="1" applyFont="1"/>
    <xf numFmtId="0" fontId="55" fillId="0" borderId="0" xfId="0" quotePrefix="1" applyNumberFormat="1" applyFont="1" applyFill="1" applyBorder="1" applyAlignment="1" applyProtection="1">
      <alignment horizontal="left"/>
    </xf>
    <xf numFmtId="185" fontId="51" fillId="0" borderId="0" xfId="2" applyNumberFormat="1" applyFont="1" applyFill="1" applyBorder="1" applyProtection="1"/>
    <xf numFmtId="3" fontId="51" fillId="0" borderId="0" xfId="0" quotePrefix="1" applyNumberFormat="1" applyFont="1" applyFill="1" applyAlignment="1">
      <alignment horizontal="left" wrapText="1" indent="2"/>
    </xf>
    <xf numFmtId="0" fontId="51" fillId="0" borderId="0" xfId="0" quotePrefix="1" applyNumberFormat="1" applyFont="1" applyFill="1" applyAlignment="1" applyProtection="1">
      <alignment horizontal="right"/>
      <protection locked="0"/>
    </xf>
    <xf numFmtId="3" fontId="51" fillId="0" borderId="0" xfId="0" quotePrefix="1" applyNumberFormat="1" applyFont="1" applyFill="1" applyAlignment="1" applyProtection="1"/>
    <xf numFmtId="167" fontId="51" fillId="0" borderId="0" xfId="0" applyNumberFormat="1" applyFont="1" applyFill="1" applyAlignment="1" applyProtection="1">
      <alignment horizontal="centerContinuous"/>
    </xf>
    <xf numFmtId="49" fontId="52" fillId="0" borderId="0" xfId="0" quotePrefix="1" applyNumberFormat="1" applyFont="1" applyFill="1" applyAlignment="1" applyProtection="1">
      <alignment horizontal="centerContinuous"/>
    </xf>
    <xf numFmtId="0" fontId="52" fillId="0" borderId="0" xfId="0" applyNumberFormat="1" applyFont="1" applyFill="1" applyAlignment="1" applyProtection="1">
      <alignment horizontal="centerContinuous"/>
    </xf>
    <xf numFmtId="164" fontId="61" fillId="0" borderId="0" xfId="0" quotePrefix="1" applyNumberFormat="1" applyFont="1" applyAlignment="1">
      <alignment horizontal="left"/>
    </xf>
    <xf numFmtId="43" fontId="51" fillId="0" borderId="0" xfId="1" applyFont="1" applyFill="1" applyAlignment="1"/>
    <xf numFmtId="37" fontId="65" fillId="0" borderId="0" xfId="0" applyFont="1"/>
    <xf numFmtId="37" fontId="51" fillId="0" borderId="0" xfId="0" applyFont="1"/>
    <xf numFmtId="37" fontId="51" fillId="0" borderId="0" xfId="0" applyFont="1" applyFill="1"/>
    <xf numFmtId="37" fontId="52" fillId="0" borderId="0" xfId="0" applyFont="1" applyFill="1" applyAlignment="1">
      <alignment horizontal="center"/>
    </xf>
    <xf numFmtId="15" fontId="52" fillId="0" borderId="3" xfId="3" applyNumberFormat="1" applyFont="1" applyFill="1" applyBorder="1" applyAlignment="1">
      <alignment horizontal="center"/>
    </xf>
    <xf numFmtId="37" fontId="51" fillId="0" borderId="0" xfId="0" quotePrefix="1" applyFont="1" applyFill="1" applyBorder="1" applyAlignment="1">
      <alignment horizontal="center"/>
    </xf>
    <xf numFmtId="15" fontId="52" fillId="0" borderId="0" xfId="3" applyNumberFormat="1" applyFont="1" applyFill="1" applyBorder="1" applyAlignment="1">
      <alignment horizontal="center"/>
    </xf>
    <xf numFmtId="37" fontId="52" fillId="0" borderId="0" xfId="0" applyFont="1" applyFill="1"/>
    <xf numFmtId="10" fontId="51" fillId="0" borderId="0" xfId="3" applyNumberFormat="1" applyFont="1" applyFill="1"/>
    <xf numFmtId="37" fontId="51" fillId="0" borderId="0" xfId="0" quotePrefix="1" applyFont="1" applyFill="1" applyAlignment="1">
      <alignment horizontal="left"/>
    </xf>
    <xf numFmtId="10" fontId="51" fillId="0" borderId="0" xfId="3" applyNumberFormat="1" applyFont="1" applyFill="1" applyBorder="1"/>
    <xf numFmtId="43" fontId="51" fillId="0" borderId="0" xfId="1" applyFont="1" applyFill="1" applyAlignment="1">
      <alignment horizontal="left" indent="2"/>
    </xf>
    <xf numFmtId="43" fontId="52" fillId="0" borderId="0" xfId="1" quotePrefix="1" applyFont="1" applyFill="1" applyBorder="1" applyAlignment="1">
      <alignment horizontal="left"/>
    </xf>
    <xf numFmtId="37" fontId="52" fillId="0" borderId="0" xfId="0" applyFont="1" applyFill="1" applyBorder="1" applyAlignment="1">
      <alignment horizontal="center"/>
    </xf>
    <xf numFmtId="37" fontId="52" fillId="0" borderId="0" xfId="0" quotePrefix="1" applyFont="1" applyFill="1" applyAlignment="1">
      <alignment horizontal="left"/>
    </xf>
    <xf numFmtId="43" fontId="52" fillId="0" borderId="0" xfId="1" applyFont="1" applyFill="1" applyAlignment="1">
      <alignment horizontal="left" indent="2"/>
    </xf>
    <xf numFmtId="10" fontId="51" fillId="0" borderId="0" xfId="1" applyNumberFormat="1" applyFont="1" applyFill="1" applyAlignment="1" applyProtection="1">
      <alignment horizontal="left" indent="2"/>
    </xf>
    <xf numFmtId="43" fontId="51" fillId="0" borderId="0" xfId="1" quotePrefix="1" applyFont="1" applyFill="1" applyAlignment="1">
      <alignment horizontal="left"/>
    </xf>
    <xf numFmtId="10" fontId="51" fillId="0" borderId="0" xfId="1" applyNumberFormat="1" applyFont="1" applyFill="1" applyAlignment="1">
      <alignment horizontal="center"/>
    </xf>
    <xf numFmtId="10" fontId="51" fillId="0" borderId="0" xfId="1" applyNumberFormat="1" applyFont="1" applyFill="1" applyAlignment="1" applyProtection="1">
      <alignment horizontal="center"/>
    </xf>
    <xf numFmtId="37" fontId="55" fillId="0" borderId="0" xfId="0" quotePrefix="1" applyFont="1" applyAlignment="1">
      <alignment horizontal="left"/>
    </xf>
    <xf numFmtId="0" fontId="61" fillId="0" borderId="0" xfId="0" quotePrefix="1" applyNumberFormat="1" applyFont="1" applyAlignment="1" applyProtection="1">
      <alignment horizontal="left"/>
      <protection locked="0"/>
    </xf>
    <xf numFmtId="37" fontId="55" fillId="0" borderId="0" xfId="0" quotePrefix="1" applyFont="1" applyAlignment="1" applyProtection="1">
      <alignment horizontal="left" wrapText="1"/>
    </xf>
    <xf numFmtId="37" fontId="55" fillId="35" borderId="0" xfId="0" applyFont="1" applyFill="1" applyProtection="1"/>
    <xf numFmtId="37" fontId="55" fillId="37" borderId="0" xfId="0" applyFont="1" applyFill="1" applyProtection="1">
      <protection locked="0"/>
    </xf>
    <xf numFmtId="37" fontId="55" fillId="0" borderId="0" xfId="0" quotePrefix="1" applyFont="1" applyAlignment="1" applyProtection="1">
      <alignment horizontal="left"/>
    </xf>
    <xf numFmtId="37" fontId="55" fillId="0" borderId="0" xfId="0" applyFont="1" applyFill="1" applyProtection="1">
      <protection locked="0"/>
    </xf>
    <xf numFmtId="37" fontId="55" fillId="36" borderId="0" xfId="0" applyFont="1" applyFill="1" applyProtection="1">
      <protection locked="0"/>
    </xf>
    <xf numFmtId="37" fontId="55" fillId="0" borderId="0" xfId="0" applyFont="1" applyAlignment="1" applyProtection="1">
      <alignment horizontal="left"/>
    </xf>
    <xf numFmtId="37" fontId="55" fillId="0" borderId="0" xfId="0" quotePrefix="1" applyFont="1" applyFill="1" applyAlignment="1" applyProtection="1">
      <alignment horizontal="left"/>
    </xf>
    <xf numFmtId="37" fontId="55" fillId="0" borderId="0" xfId="0" applyFont="1" applyFill="1" applyProtection="1"/>
    <xf numFmtId="37" fontId="71" fillId="0" borderId="0" xfId="0" applyFont="1" applyProtection="1"/>
    <xf numFmtId="0" fontId="55" fillId="0" borderId="0" xfId="0" applyNumberFormat="1" applyFont="1" applyAlignment="1" applyProtection="1"/>
    <xf numFmtId="0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1"/>
    </xf>
    <xf numFmtId="9" fontId="55" fillId="0" borderId="0" xfId="3" applyFont="1" applyProtection="1"/>
    <xf numFmtId="3" fontId="55" fillId="0" borderId="0" xfId="0" applyNumberFormat="1" applyFont="1" applyAlignment="1" applyProtection="1">
      <alignment horizontal="left"/>
    </xf>
    <xf numFmtId="0" fontId="55" fillId="0" borderId="0" xfId="0" quotePrefix="1" applyNumberFormat="1" applyFont="1" applyAlignment="1" applyProtection="1">
      <alignment horizontal="left"/>
    </xf>
    <xf numFmtId="37" fontId="55" fillId="0" borderId="0" xfId="0" applyFont="1" applyAlignment="1" applyProtection="1">
      <alignment horizontal="left" indent="1"/>
    </xf>
    <xf numFmtId="171" fontId="55" fillId="0" borderId="0" xfId="3" applyNumberFormat="1" applyFont="1" applyProtection="1"/>
    <xf numFmtId="188" fontId="55" fillId="0" borderId="0" xfId="3" applyNumberFormat="1" applyFont="1" applyProtection="1"/>
    <xf numFmtId="37" fontId="55" fillId="0" borderId="0" xfId="0" quotePrefix="1" applyFont="1" applyAlignment="1" applyProtection="1">
      <alignment horizontal="left" indent="1"/>
    </xf>
    <xf numFmtId="175" fontId="55" fillId="0" borderId="0" xfId="1" quotePrefix="1" applyNumberFormat="1" applyFont="1" applyAlignment="1" applyProtection="1">
      <alignment horizontal="left"/>
    </xf>
    <xf numFmtId="37" fontId="55" fillId="0" borderId="0" xfId="0" quotePrefix="1" applyFont="1" applyAlignment="1" applyProtection="1">
      <alignment horizontal="right"/>
    </xf>
    <xf numFmtId="9" fontId="55" fillId="0" borderId="0" xfId="3" quotePrefix="1" applyFont="1" applyAlignment="1" applyProtection="1">
      <alignment horizontal="right"/>
    </xf>
    <xf numFmtId="37" fontId="71" fillId="0" borderId="0" xfId="0" quotePrefix="1" applyFont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/>
    </xf>
    <xf numFmtId="164" fontId="55" fillId="0" borderId="0" xfId="0" quotePrefix="1" applyNumberFormat="1" applyFont="1" applyFill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 indent="1"/>
    </xf>
    <xf numFmtId="3" fontId="55" fillId="0" borderId="0" xfId="0" quotePrefix="1" applyNumberFormat="1" applyFont="1" applyFill="1" applyAlignment="1" applyProtection="1">
      <alignment horizontal="left" wrapText="1"/>
    </xf>
    <xf numFmtId="3" fontId="55" fillId="0" borderId="0" xfId="0" applyNumberFormat="1" applyFont="1" applyAlignment="1" applyProtection="1">
      <alignment horizontal="left" indent="2"/>
    </xf>
    <xf numFmtId="3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2"/>
    </xf>
    <xf numFmtId="0" fontId="55" fillId="0" borderId="0" xfId="0" applyNumberFormat="1" applyFont="1" applyAlignment="1" applyProtection="1">
      <alignment horizontal="left" indent="3"/>
    </xf>
    <xf numFmtId="37" fontId="55" fillId="0" borderId="0" xfId="0" applyFont="1" applyAlignment="1" applyProtection="1">
      <alignment horizontal="left" indent="3"/>
    </xf>
    <xf numFmtId="37" fontId="55" fillId="0" borderId="0" xfId="0" quotePrefix="1" applyFont="1" applyAlignment="1" applyProtection="1">
      <alignment horizontal="left" indent="2"/>
    </xf>
    <xf numFmtId="10" fontId="55" fillId="0" borderId="0" xfId="0" applyNumberFormat="1" applyFont="1" applyFill="1" applyProtection="1">
      <protection locked="0"/>
    </xf>
    <xf numFmtId="164" fontId="55" fillId="0" borderId="0" xfId="0" applyNumberFormat="1" applyFont="1" applyAlignment="1" applyProtection="1">
      <alignment horizontal="left"/>
    </xf>
    <xf numFmtId="3" fontId="55" fillId="0" borderId="0" xfId="0" applyNumberFormat="1" applyFont="1" applyAlignment="1" applyProtection="1">
      <alignment horizontal="right"/>
    </xf>
    <xf numFmtId="3" fontId="53" fillId="0" borderId="0" xfId="0" applyNumberFormat="1" applyFont="1" applyAlignment="1" applyProtection="1">
      <alignment horizontal="center"/>
    </xf>
    <xf numFmtId="3" fontId="55" fillId="0" borderId="0" xfId="0" quotePrefix="1" applyNumberFormat="1" applyFont="1" applyFill="1" applyBorder="1" applyAlignment="1" applyProtection="1">
      <alignment horizontal="left"/>
    </xf>
    <xf numFmtId="175" fontId="55" fillId="0" borderId="0" xfId="1" applyNumberFormat="1" applyFont="1" applyAlignment="1" applyProtection="1"/>
    <xf numFmtId="0" fontId="55" fillId="0" borderId="0" xfId="0" applyNumberFormat="1" applyFont="1" applyBorder="1" applyAlignment="1" applyProtection="1"/>
    <xf numFmtId="3" fontId="55" fillId="0" borderId="0" xfId="0" quotePrefix="1" applyNumberFormat="1" applyFont="1" applyAlignment="1" applyProtection="1">
      <alignment horizontal="left" indent="1"/>
    </xf>
    <xf numFmtId="37" fontId="55" fillId="0" borderId="0" xfId="0" applyFont="1" applyAlignment="1" applyProtection="1">
      <alignment horizontal="left" wrapText="1" indent="1"/>
    </xf>
    <xf numFmtId="175" fontId="55" fillId="0" borderId="0" xfId="1" applyNumberFormat="1" applyFont="1" applyFill="1" applyProtection="1"/>
    <xf numFmtId="37" fontId="72" fillId="39" borderId="23" xfId="0" applyFont="1" applyFill="1" applyBorder="1" applyAlignment="1">
      <alignment horizontal="left" vertical="center" readingOrder="1"/>
    </xf>
    <xf numFmtId="37" fontId="72" fillId="39" borderId="23" xfId="0" applyFont="1" applyFill="1" applyBorder="1" applyAlignment="1">
      <alignment horizontal="center" vertical="center" readingOrder="1"/>
    </xf>
    <xf numFmtId="37" fontId="74" fillId="0" borderId="23" xfId="0" applyFont="1" applyBorder="1" applyAlignment="1">
      <alignment horizontal="left" vertical="top" readingOrder="1"/>
    </xf>
    <xf numFmtId="37" fontId="74" fillId="0" borderId="23" xfId="0" applyFont="1" applyBorder="1" applyAlignment="1">
      <alignment horizontal="center" vertical="center" readingOrder="1"/>
    </xf>
    <xf numFmtId="8" fontId="75" fillId="0" borderId="23" xfId="0" applyNumberFormat="1" applyFont="1" applyBorder="1" applyAlignment="1">
      <alignment horizontal="center" vertical="center" readingOrder="1"/>
    </xf>
    <xf numFmtId="6" fontId="75" fillId="0" borderId="23" xfId="0" applyNumberFormat="1" applyFont="1" applyBorder="1" applyAlignment="1">
      <alignment horizontal="center" vertical="center" readingOrder="1"/>
    </xf>
    <xf numFmtId="191" fontId="75" fillId="0" borderId="23" xfId="0" applyNumberFormat="1" applyFont="1" applyBorder="1" applyAlignment="1">
      <alignment horizontal="center" vertical="center" readingOrder="1"/>
    </xf>
    <xf numFmtId="43" fontId="55" fillId="0" borderId="0" xfId="154" applyFont="1" applyProtection="1"/>
    <xf numFmtId="0" fontId="76" fillId="0" borderId="0" xfId="153" applyFont="1" applyProtection="1"/>
    <xf numFmtId="43" fontId="77" fillId="0" borderId="0" xfId="154" applyFont="1" applyAlignment="1" applyProtection="1">
      <alignment horizontal="center"/>
    </xf>
    <xf numFmtId="43" fontId="76" fillId="0" borderId="0" xfId="154" applyFont="1" applyProtection="1"/>
    <xf numFmtId="0" fontId="76" fillId="0" borderId="0" xfId="153" applyFont="1" applyFill="1" applyProtection="1"/>
    <xf numFmtId="43" fontId="77" fillId="0" borderId="0" xfId="154" applyFont="1" applyBorder="1" applyAlignment="1" applyProtection="1">
      <alignment horizontal="center"/>
    </xf>
    <xf numFmtId="43" fontId="55" fillId="0" borderId="0" xfId="154" applyFont="1" applyAlignment="1" applyProtection="1">
      <alignment horizontal="center"/>
    </xf>
    <xf numFmtId="43" fontId="55" fillId="0" borderId="0" xfId="154" quotePrefix="1" applyFont="1" applyAlignment="1" applyProtection="1">
      <alignment horizontal="left"/>
    </xf>
    <xf numFmtId="0" fontId="55" fillId="0" borderId="0" xfId="155" quotePrefix="1" applyFont="1" applyBorder="1" applyAlignment="1" applyProtection="1">
      <alignment horizontal="left"/>
    </xf>
    <xf numFmtId="0" fontId="77" fillId="0" borderId="0" xfId="155" applyFont="1" applyBorder="1" applyAlignment="1" applyProtection="1">
      <alignment horizontal="center"/>
    </xf>
    <xf numFmtId="0" fontId="76" fillId="0" borderId="0" xfId="153" applyFont="1" applyBorder="1" applyProtection="1"/>
    <xf numFmtId="0" fontId="77" fillId="0" borderId="0" xfId="155" quotePrefix="1" applyFont="1" applyBorder="1" applyAlignment="1" applyProtection="1">
      <alignment horizontal="center"/>
    </xf>
    <xf numFmtId="0" fontId="55" fillId="0" borderId="0" xfId="155" applyFont="1" applyBorder="1" applyAlignment="1" applyProtection="1">
      <alignment horizontal="left"/>
    </xf>
    <xf numFmtId="0" fontId="55" fillId="0" borderId="0" xfId="155" applyFont="1" applyBorder="1" applyProtection="1"/>
    <xf numFmtId="43" fontId="55" fillId="0" borderId="0" xfId="155" applyNumberFormat="1" applyFont="1" applyBorder="1" applyProtection="1"/>
    <xf numFmtId="43" fontId="78" fillId="0" borderId="0" xfId="155" applyNumberFormat="1" applyFont="1" applyBorder="1" applyAlignment="1" applyProtection="1">
      <alignment horizontal="center"/>
    </xf>
    <xf numFmtId="43" fontId="76" fillId="0" borderId="0" xfId="154" applyFont="1" applyBorder="1" applyProtection="1"/>
    <xf numFmtId="0" fontId="77" fillId="0" borderId="0" xfId="155" applyFont="1" applyBorder="1" applyProtection="1"/>
    <xf numFmtId="184" fontId="51" fillId="0" borderId="0" xfId="1" applyNumberFormat="1" applyFont="1" applyFill="1" applyBorder="1" applyAlignment="1" applyProtection="1">
      <alignment horizontal="center"/>
    </xf>
    <xf numFmtId="184" fontId="51" fillId="0" borderId="0" xfId="1" applyNumberFormat="1" applyFont="1" applyFill="1" applyBorder="1" applyAlignment="1" applyProtection="1">
      <alignment horizontal="left"/>
    </xf>
    <xf numFmtId="184" fontId="59" fillId="0" borderId="0" xfId="1" applyNumberFormat="1" applyFont="1" applyFill="1" applyBorder="1" applyAlignment="1" applyProtection="1">
      <alignment horizontal="right"/>
    </xf>
    <xf numFmtId="190" fontId="73" fillId="39" borderId="23" xfId="0" applyNumberFormat="1" applyFont="1" applyFill="1" applyBorder="1" applyAlignment="1">
      <alignment horizontal="center" vertical="center" wrapText="1" readingOrder="1"/>
    </xf>
    <xf numFmtId="37" fontId="58" fillId="0" borderId="0" xfId="0" applyFont="1" applyFill="1" applyAlignment="1">
      <alignment horizontal="center"/>
    </xf>
    <xf numFmtId="37" fontId="58" fillId="0" borderId="0" xfId="0" applyFont="1" applyFill="1"/>
    <xf numFmtId="37" fontId="58" fillId="0" borderId="0" xfId="0" applyFont="1" applyFill="1" applyAlignment="1">
      <alignment horizontal="left" wrapText="1" indent="1"/>
    </xf>
    <xf numFmtId="175" fontId="58" fillId="0" borderId="0" xfId="1" applyNumberFormat="1" applyFont="1" applyFill="1"/>
    <xf numFmtId="37" fontId="58" fillId="0" borderId="0" xfId="0" quotePrefix="1" applyFont="1" applyFill="1" applyAlignment="1">
      <alignment horizontal="left" wrapText="1" indent="1"/>
    </xf>
    <xf numFmtId="37" fontId="58" fillId="0" borderId="0" xfId="0" quotePrefix="1" applyFont="1" applyFill="1" applyAlignment="1">
      <alignment horizontal="center"/>
    </xf>
    <xf numFmtId="37" fontId="58" fillId="0" borderId="0" xfId="0" applyFont="1" applyFill="1" applyAlignment="1">
      <alignment horizontal="left"/>
    </xf>
    <xf numFmtId="37" fontId="58" fillId="0" borderId="0" xfId="0" applyFont="1" applyFill="1" applyBorder="1" applyAlignment="1">
      <alignment horizontal="left" wrapText="1" indent="1"/>
    </xf>
    <xf numFmtId="37" fontId="58" fillId="0" borderId="0" xfId="0" quotePrefix="1" applyFont="1" applyFill="1" applyBorder="1" applyAlignment="1">
      <alignment horizontal="center"/>
    </xf>
    <xf numFmtId="37" fontId="58" fillId="0" borderId="0" xfId="0" applyFont="1" applyFill="1" applyBorder="1"/>
    <xf numFmtId="175" fontId="58" fillId="0" borderId="0" xfId="1" applyNumberFormat="1" applyFont="1" applyFill="1" applyBorder="1"/>
    <xf numFmtId="37" fontId="58" fillId="0" borderId="0" xfId="0" quotePrefix="1" applyFont="1" applyFill="1" applyBorder="1" applyAlignment="1">
      <alignment horizontal="left" wrapText="1" indent="1"/>
    </xf>
    <xf numFmtId="37" fontId="58" fillId="0" borderId="0" xfId="0" applyFont="1" applyFill="1" applyBorder="1" applyAlignment="1">
      <alignment horizontal="left"/>
    </xf>
    <xf numFmtId="175" fontId="79" fillId="0" borderId="0" xfId="1" applyNumberFormat="1" applyFont="1" applyFill="1"/>
    <xf numFmtId="3" fontId="58" fillId="0" borderId="0" xfId="0" applyNumberFormat="1" applyFont="1" applyFill="1"/>
    <xf numFmtId="175" fontId="80" fillId="0" borderId="0" xfId="1" applyNumberFormat="1" applyFont="1" applyFill="1"/>
    <xf numFmtId="37" fontId="58" fillId="0" borderId="1" xfId="0" applyFont="1" applyFill="1" applyBorder="1" applyAlignment="1">
      <alignment wrapText="1"/>
    </xf>
    <xf numFmtId="37" fontId="58" fillId="0" borderId="1" xfId="0" applyFont="1" applyFill="1" applyBorder="1"/>
    <xf numFmtId="3" fontId="81" fillId="0" borderId="1" xfId="0" applyNumberFormat="1" applyFont="1" applyFill="1" applyBorder="1"/>
    <xf numFmtId="37" fontId="58" fillId="0" borderId="0" xfId="0" applyFont="1" applyFill="1" applyAlignment="1">
      <alignment wrapText="1"/>
    </xf>
    <xf numFmtId="3" fontId="79" fillId="0" borderId="0" xfId="0" applyNumberFormat="1" applyFont="1" applyFill="1"/>
    <xf numFmtId="37" fontId="58" fillId="0" borderId="0" xfId="0" quotePrefix="1" applyFont="1" applyFill="1" applyAlignment="1">
      <alignment horizontal="left"/>
    </xf>
    <xf numFmtId="195" fontId="51" fillId="0" borderId="0" xfId="2" applyNumberFormat="1" applyFont="1" applyFill="1" applyBorder="1" applyAlignment="1" applyProtection="1"/>
    <xf numFmtId="196" fontId="51" fillId="0" borderId="0" xfId="1" applyNumberFormat="1" applyFont="1" applyFill="1" applyBorder="1" applyAlignment="1"/>
    <xf numFmtId="37" fontId="55" fillId="40" borderId="0" xfId="0" quotePrefix="1" applyFont="1" applyFill="1" applyAlignment="1" applyProtection="1">
      <alignment horizontal="left"/>
    </xf>
    <xf numFmtId="37" fontId="55" fillId="40" borderId="0" xfId="0" applyFont="1" applyFill="1" applyProtection="1"/>
    <xf numFmtId="37" fontId="55" fillId="40" borderId="0" xfId="0" applyFont="1" applyFill="1" applyProtection="1">
      <protection locked="0"/>
    </xf>
    <xf numFmtId="3" fontId="55" fillId="40" borderId="0" xfId="0" applyNumberFormat="1" applyFont="1" applyFill="1" applyAlignment="1" applyProtection="1"/>
    <xf numFmtId="37" fontId="82" fillId="0" borderId="0" xfId="0" applyFont="1" applyProtection="1"/>
    <xf numFmtId="14" fontId="82" fillId="36" borderId="0" xfId="0" applyNumberFormat="1" applyFont="1" applyFill="1" applyProtection="1">
      <protection locked="0"/>
    </xf>
    <xf numFmtId="37" fontId="82" fillId="37" borderId="0" xfId="0" applyFont="1" applyFill="1" applyProtection="1">
      <protection locked="0"/>
    </xf>
    <xf numFmtId="37" fontId="82" fillId="0" borderId="0" xfId="0" quotePrefix="1" applyFont="1" applyAlignment="1" applyProtection="1">
      <alignment horizontal="left"/>
    </xf>
    <xf numFmtId="37" fontId="82" fillId="36" borderId="0" xfId="0" applyFont="1" applyFill="1" applyProtection="1">
      <protection locked="0"/>
    </xf>
    <xf numFmtId="37" fontId="82" fillId="36" borderId="0" xfId="0" applyFont="1" applyFill="1" applyProtection="1"/>
    <xf numFmtId="37" fontId="82" fillId="37" borderId="0" xfId="0" quotePrefix="1" applyFont="1" applyFill="1" applyAlignment="1" applyProtection="1">
      <alignment horizontal="left"/>
    </xf>
    <xf numFmtId="37" fontId="82" fillId="0" borderId="0" xfId="0" quotePrefix="1" applyFont="1" applyFill="1" applyAlignment="1" applyProtection="1">
      <alignment horizontal="left"/>
    </xf>
    <xf numFmtId="164" fontId="82" fillId="0" borderId="0" xfId="0" quotePrefix="1" applyNumberFormat="1" applyFont="1" applyAlignment="1" applyProtection="1">
      <alignment horizontal="left"/>
    </xf>
    <xf numFmtId="0" fontId="82" fillId="0" borderId="0" xfId="0" applyNumberFormat="1" applyFont="1" applyFill="1" applyProtection="1"/>
    <xf numFmtId="164" fontId="82" fillId="0" borderId="0" xfId="0" quotePrefix="1" applyNumberFormat="1" applyFont="1" applyFill="1" applyAlignment="1" applyProtection="1">
      <alignment horizontal="left"/>
    </xf>
    <xf numFmtId="0" fontId="82" fillId="0" borderId="0" xfId="0" quotePrefix="1" applyNumberFormat="1" applyFont="1" applyFill="1" applyAlignment="1" applyProtection="1">
      <alignment horizontal="left"/>
    </xf>
    <xf numFmtId="0" fontId="82" fillId="0" borderId="0" xfId="0" quotePrefix="1" applyNumberFormat="1" applyFont="1" applyFill="1" applyAlignment="1" applyProtection="1">
      <alignment horizontal="left" indent="1"/>
    </xf>
    <xf numFmtId="164" fontId="55" fillId="0" borderId="0" xfId="0" quotePrefix="1" applyNumberFormat="1" applyFont="1" applyAlignment="1" applyProtection="1">
      <alignment horizontal="left" indent="1"/>
    </xf>
    <xf numFmtId="3" fontId="55" fillId="0" borderId="0" xfId="0" applyNumberFormat="1" applyFont="1" applyFill="1" applyBorder="1" applyAlignment="1" applyProtection="1">
      <alignment horizontal="left" indent="1"/>
    </xf>
    <xf numFmtId="37" fontId="83" fillId="0" borderId="0" xfId="0" applyFont="1" applyProtection="1"/>
    <xf numFmtId="37" fontId="84" fillId="0" borderId="0" xfId="0" applyFont="1" applyAlignment="1" applyProtection="1">
      <alignment horizontal="center"/>
    </xf>
    <xf numFmtId="0" fontId="82" fillId="0" borderId="0" xfId="153" quotePrefix="1" applyFont="1" applyAlignment="1" applyProtection="1">
      <alignment horizontal="left"/>
    </xf>
    <xf numFmtId="43" fontId="82" fillId="36" borderId="0" xfId="154" applyFont="1" applyFill="1" applyProtection="1">
      <protection locked="0"/>
    </xf>
    <xf numFmtId="43" fontId="82" fillId="36" borderId="0" xfId="154" applyFont="1" applyFill="1" applyAlignment="1" applyProtection="1">
      <alignment horizontal="center"/>
      <protection locked="0"/>
    </xf>
    <xf numFmtId="43" fontId="82" fillId="36" borderId="0" xfId="154" quotePrefix="1" applyFont="1" applyFill="1" applyAlignment="1" applyProtection="1">
      <alignment horizontal="center"/>
      <protection locked="0"/>
    </xf>
    <xf numFmtId="43" fontId="82" fillId="36" borderId="0" xfId="154" quotePrefix="1" applyFont="1" applyFill="1" applyAlignment="1" applyProtection="1">
      <alignment horizontal="left"/>
      <protection locked="0"/>
    </xf>
    <xf numFmtId="0" fontId="82" fillId="0" borderId="0" xfId="154" quotePrefix="1" applyNumberFormat="1" applyFont="1" applyAlignment="1" applyProtection="1">
      <alignment horizontal="left"/>
    </xf>
    <xf numFmtId="43" fontId="84" fillId="0" borderId="0" xfId="154" applyFont="1" applyBorder="1" applyAlignment="1" applyProtection="1">
      <alignment horizontal="center"/>
    </xf>
    <xf numFmtId="0" fontId="85" fillId="0" borderId="0" xfId="153" quotePrefix="1" applyFont="1" applyAlignment="1" applyProtection="1">
      <alignment horizontal="left"/>
    </xf>
    <xf numFmtId="0" fontId="52" fillId="0" borderId="0" xfId="153" applyFont="1" applyFill="1" applyProtection="1"/>
    <xf numFmtId="0" fontId="52" fillId="0" borderId="0" xfId="153" applyFont="1" applyProtection="1"/>
    <xf numFmtId="43" fontId="55" fillId="0" borderId="24" xfId="154" quotePrefix="1" applyFont="1" applyBorder="1" applyAlignment="1" applyProtection="1">
      <alignment horizontal="left"/>
    </xf>
    <xf numFmtId="43" fontId="55" fillId="0" borderId="24" xfId="154" applyFont="1" applyBorder="1" applyProtection="1"/>
    <xf numFmtId="43" fontId="77" fillId="0" borderId="0" xfId="154" applyFont="1" applyAlignment="1" applyProtection="1">
      <alignment horizontal="center" wrapText="1"/>
    </xf>
    <xf numFmtId="43" fontId="55" fillId="0" borderId="0" xfId="154" applyFont="1" applyFill="1" applyAlignment="1" applyProtection="1">
      <alignment horizontal="center"/>
      <protection locked="0"/>
    </xf>
    <xf numFmtId="0" fontId="82" fillId="0" borderId="0" xfId="153" quotePrefix="1" applyFont="1" applyFill="1" applyAlignment="1" applyProtection="1">
      <alignment horizontal="left"/>
    </xf>
    <xf numFmtId="43" fontId="55" fillId="0" borderId="0" xfId="154" applyFont="1" applyFill="1" applyProtection="1"/>
    <xf numFmtId="0" fontId="82" fillId="0" borderId="0" xfId="153" applyFont="1" applyFill="1" applyProtection="1"/>
    <xf numFmtId="43" fontId="55" fillId="0" borderId="0" xfId="154" quotePrefix="1" applyFont="1" applyFill="1" applyAlignment="1" applyProtection="1">
      <alignment horizontal="left"/>
    </xf>
    <xf numFmtId="43" fontId="82" fillId="36" borderId="24" xfId="154" applyFont="1" applyFill="1" applyBorder="1" applyProtection="1">
      <protection locked="0"/>
    </xf>
    <xf numFmtId="43" fontId="55" fillId="0" borderId="24" xfId="154" applyFont="1" applyFill="1" applyBorder="1" applyAlignment="1" applyProtection="1">
      <alignment horizontal="center"/>
      <protection locked="0"/>
    </xf>
    <xf numFmtId="0" fontId="82" fillId="0" borderId="0" xfId="154" quotePrefix="1" applyNumberFormat="1" applyFont="1" applyAlignment="1" applyProtection="1">
      <alignment horizontal="left" indent="3"/>
    </xf>
    <xf numFmtId="0" fontId="82" fillId="0" borderId="0" xfId="154" applyNumberFormat="1" applyFont="1" applyAlignment="1" applyProtection="1">
      <alignment horizontal="left" indent="3"/>
    </xf>
    <xf numFmtId="0" fontId="82" fillId="0" borderId="0" xfId="155" quotePrefix="1" applyFont="1" applyBorder="1" applyAlignment="1" applyProtection="1">
      <alignment horizontal="left" indent="3"/>
    </xf>
    <xf numFmtId="0" fontId="76" fillId="0" borderId="0" xfId="153" applyFont="1" applyAlignment="1" applyProtection="1">
      <alignment horizontal="left" indent="2"/>
    </xf>
    <xf numFmtId="14" fontId="52" fillId="0" borderId="0" xfId="153" applyNumberFormat="1" applyFont="1" applyAlignment="1" applyProtection="1">
      <alignment horizontal="left"/>
    </xf>
    <xf numFmtId="37" fontId="86" fillId="0" borderId="0" xfId="0" applyFont="1" applyProtection="1"/>
    <xf numFmtId="37" fontId="86" fillId="37" borderId="0" xfId="0" applyFont="1" applyFill="1" applyProtection="1">
      <protection locked="0"/>
    </xf>
    <xf numFmtId="37" fontId="86" fillId="37" borderId="0" xfId="0" applyFont="1" applyFill="1" applyProtection="1"/>
    <xf numFmtId="3" fontId="86" fillId="38" borderId="0" xfId="0" applyNumberFormat="1" applyFont="1" applyFill="1" applyAlignment="1" applyProtection="1">
      <protection locked="0"/>
    </xf>
    <xf numFmtId="9" fontId="82" fillId="36" borderId="0" xfId="3" applyFont="1" applyFill="1" applyProtection="1">
      <protection locked="0"/>
    </xf>
    <xf numFmtId="49" fontId="51" fillId="0" borderId="0" xfId="0" applyNumberFormat="1" applyFont="1" applyFill="1" applyAlignment="1" applyProtection="1">
      <alignment horizontal="left"/>
    </xf>
    <xf numFmtId="49" fontId="51" fillId="0" borderId="0" xfId="0" applyNumberFormat="1" applyFont="1" applyFill="1" applyAlignment="1" applyProtection="1">
      <alignment horizontal="center"/>
    </xf>
    <xf numFmtId="3" fontId="52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>
      <alignment horizontal="center"/>
    </xf>
    <xf numFmtId="164" fontId="52" fillId="0" borderId="0" xfId="0" applyNumberFormat="1" applyFont="1" applyFill="1" applyAlignment="1" applyProtection="1">
      <alignment horizontal="center"/>
    </xf>
    <xf numFmtId="3" fontId="52" fillId="0" borderId="0" xfId="0" applyNumberFormat="1" applyFont="1" applyFill="1" applyAlignment="1" applyProtection="1"/>
    <xf numFmtId="0" fontId="58" fillId="0" borderId="0" xfId="0" applyNumberFormat="1" applyFont="1" applyFill="1" applyAlignment="1" applyProtection="1">
      <alignment horizontal="center"/>
    </xf>
    <xf numFmtId="0" fontId="52" fillId="0" borderId="0" xfId="0" applyNumberFormat="1" applyFont="1" applyFill="1" applyAlignment="1" applyProtection="1"/>
    <xf numFmtId="169" fontId="51" fillId="0" borderId="0" xfId="0" applyNumberFormat="1" applyFont="1" applyFill="1" applyAlignment="1" applyProtection="1"/>
    <xf numFmtId="175" fontId="51" fillId="0" borderId="0" xfId="1" quotePrefix="1" applyNumberFormat="1" applyFont="1" applyFill="1" applyBorder="1" applyAlignment="1" applyProtection="1">
      <alignment horizontal="left"/>
    </xf>
    <xf numFmtId="175" fontId="54" fillId="0" borderId="0" xfId="1" applyNumberFormat="1" applyFont="1" applyFill="1" applyBorder="1" applyAlignment="1" applyProtection="1"/>
    <xf numFmtId="165" fontId="51" fillId="0" borderId="0" xfId="0" applyNumberFormat="1" applyFont="1" applyFill="1" applyAlignment="1" applyProtection="1">
      <alignment horizontal="right"/>
    </xf>
    <xf numFmtId="171" fontId="51" fillId="0" borderId="0" xfId="0" applyNumberFormat="1" applyFont="1" applyFill="1" applyAlignment="1" applyProtection="1">
      <alignment horizontal="center"/>
    </xf>
    <xf numFmtId="196" fontId="51" fillId="0" borderId="0" xfId="1" applyNumberFormat="1" applyFont="1" applyFill="1" applyBorder="1" applyAlignment="1" applyProtection="1"/>
    <xf numFmtId="0" fontId="51" fillId="0" borderId="0" xfId="0" applyNumberFormat="1" applyFont="1" applyFill="1" applyAlignment="1" applyProtection="1">
      <alignment horizontal="left" indent="1"/>
    </xf>
    <xf numFmtId="169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Alignment="1" applyProtection="1">
      <alignment horizontal="left" indent="1"/>
    </xf>
    <xf numFmtId="196" fontId="54" fillId="0" borderId="0" xfId="1" applyNumberFormat="1" applyFont="1" applyFill="1" applyBorder="1" applyAlignment="1" applyProtection="1"/>
    <xf numFmtId="175" fontId="62" fillId="0" borderId="0" xfId="1" applyNumberFormat="1" applyFont="1" applyFill="1" applyBorder="1" applyAlignment="1" applyProtection="1"/>
    <xf numFmtId="170" fontId="62" fillId="0" borderId="0" xfId="2" applyNumberFormat="1" applyFont="1" applyFill="1" applyBorder="1" applyAlignment="1" applyProtection="1"/>
    <xf numFmtId="0" fontId="52" fillId="0" borderId="0" xfId="0" applyNumberFormat="1" applyFont="1" applyFill="1" applyAlignment="1">
      <alignment horizontal="centerContinuous"/>
    </xf>
    <xf numFmtId="164" fontId="51" fillId="0" borderId="0" xfId="0" applyNumberFormat="1" applyFont="1" applyFill="1" applyAlignment="1">
      <alignment horizontal="centerContinuous"/>
    </xf>
    <xf numFmtId="0" fontId="51" fillId="0" borderId="0" xfId="0" applyNumberFormat="1" applyFont="1" applyFill="1" applyAlignment="1">
      <alignment horizontal="centerContinuous"/>
    </xf>
    <xf numFmtId="3" fontId="51" fillId="0" borderId="0" xfId="0" applyNumberFormat="1" applyFont="1" applyFill="1" applyAlignment="1">
      <alignment horizontal="centerContinuous"/>
    </xf>
    <xf numFmtId="0" fontId="52" fillId="0" borderId="0" xfId="0" applyNumberFormat="1" applyFont="1" applyFill="1" applyAlignment="1"/>
    <xf numFmtId="0" fontId="51" fillId="0" borderId="1" xfId="0" applyNumberFormat="1" applyFont="1" applyFill="1" applyBorder="1" applyAlignment="1" applyProtection="1">
      <alignment horizontal="center"/>
      <protection locked="0"/>
    </xf>
    <xf numFmtId="3" fontId="55" fillId="0" borderId="0" xfId="0" quotePrefix="1" applyNumberFormat="1" applyFont="1" applyFill="1" applyAlignment="1">
      <alignment horizontal="left"/>
    </xf>
    <xf numFmtId="170" fontId="51" fillId="0" borderId="0" xfId="2" applyNumberFormat="1" applyFont="1" applyFill="1" applyBorder="1" applyAlignment="1"/>
    <xf numFmtId="0" fontId="64" fillId="0" borderId="0" xfId="0" applyNumberFormat="1" applyFont="1" applyFill="1"/>
    <xf numFmtId="164" fontId="55" fillId="0" borderId="0" xfId="0" quotePrefix="1" applyNumberFormat="1" applyFont="1" applyFill="1" applyAlignment="1">
      <alignment horizontal="left"/>
    </xf>
    <xf numFmtId="196" fontId="54" fillId="0" borderId="0" xfId="1" applyNumberFormat="1" applyFont="1" applyFill="1" applyBorder="1" applyAlignment="1"/>
    <xf numFmtId="3" fontId="55" fillId="0" borderId="0" xfId="0" applyNumberFormat="1" applyFont="1" applyFill="1" applyAlignment="1"/>
    <xf numFmtId="49" fontId="55" fillId="0" borderId="0" xfId="0" applyNumberFormat="1" applyFont="1" applyFill="1" applyAlignment="1"/>
    <xf numFmtId="182" fontId="51" fillId="0" borderId="0" xfId="1" applyNumberFormat="1" applyFont="1" applyFill="1" applyBorder="1" applyAlignment="1">
      <alignment horizontal="right"/>
    </xf>
    <xf numFmtId="175" fontId="54" fillId="0" borderId="0" xfId="1" applyNumberFormat="1" applyFont="1" applyFill="1" applyBorder="1" applyAlignment="1"/>
    <xf numFmtId="49" fontId="55" fillId="0" borderId="0" xfId="0" quotePrefix="1" applyNumberFormat="1" applyFont="1" applyFill="1" applyAlignment="1">
      <alignment horizontal="left"/>
    </xf>
    <xf numFmtId="169" fontId="51" fillId="0" borderId="0" xfId="0" applyNumberFormat="1" applyFont="1" applyFill="1" applyAlignment="1"/>
    <xf numFmtId="169" fontId="51" fillId="0" borderId="0" xfId="0" applyNumberFormat="1" applyFont="1" applyFill="1"/>
    <xf numFmtId="165" fontId="51" fillId="0" borderId="0" xfId="0" applyNumberFormat="1" applyFont="1" applyFill="1"/>
    <xf numFmtId="3" fontId="51" fillId="0" borderId="3" xfId="0" applyNumberFormat="1" applyFont="1" applyFill="1" applyBorder="1" applyAlignment="1"/>
    <xf numFmtId="3" fontId="51" fillId="0" borderId="3" xfId="0" applyNumberFormat="1" applyFont="1" applyFill="1" applyBorder="1" applyAlignment="1">
      <alignment horizontal="center"/>
    </xf>
    <xf numFmtId="170" fontId="51" fillId="0" borderId="0" xfId="2" applyNumberFormat="1" applyFont="1" applyFill="1" applyAlignment="1"/>
    <xf numFmtId="4" fontId="51" fillId="0" borderId="0" xfId="0" applyNumberFormat="1" applyFont="1" applyFill="1" applyAlignment="1"/>
    <xf numFmtId="195" fontId="51" fillId="0" borderId="0" xfId="2" applyNumberFormat="1" applyFont="1" applyFill="1" applyAlignment="1"/>
    <xf numFmtId="3" fontId="53" fillId="0" borderId="0" xfId="0" applyNumberFormat="1" applyFont="1" applyFill="1" applyAlignment="1"/>
    <xf numFmtId="196" fontId="51" fillId="0" borderId="0" xfId="1" applyNumberFormat="1" applyFont="1" applyFill="1" applyAlignment="1"/>
    <xf numFmtId="3" fontId="51" fillId="0" borderId="0" xfId="0" applyNumberFormat="1" applyFont="1" applyFill="1" applyBorder="1" applyAlignment="1">
      <alignment horizontal="center"/>
    </xf>
    <xf numFmtId="175" fontId="62" fillId="0" borderId="0" xfId="1" applyNumberFormat="1" applyFont="1" applyFill="1" applyBorder="1" applyAlignment="1"/>
    <xf numFmtId="0" fontId="51" fillId="0" borderId="0" xfId="0" quotePrefix="1" applyNumberFormat="1" applyFont="1" applyFill="1" applyBorder="1" applyAlignment="1" applyProtection="1">
      <alignment horizontal="center"/>
      <protection locked="0"/>
    </xf>
    <xf numFmtId="175" fontId="51" fillId="0" borderId="0" xfId="1" applyNumberFormat="1" applyFont="1" applyFill="1" applyAlignment="1">
      <alignment horizontal="center"/>
    </xf>
    <xf numFmtId="165" fontId="51" fillId="0" borderId="0" xfId="0" applyNumberFormat="1" applyFont="1" applyFill="1" applyAlignment="1">
      <alignment horizontal="center"/>
    </xf>
    <xf numFmtId="171" fontId="51" fillId="0" borderId="0" xfId="0" applyNumberFormat="1" applyFont="1" applyFill="1" applyAlignment="1">
      <alignment horizontal="center"/>
    </xf>
    <xf numFmtId="0" fontId="55" fillId="0" borderId="0" xfId="0" quotePrefix="1" applyNumberFormat="1" applyFont="1" applyFill="1" applyAlignment="1" applyProtection="1">
      <alignment horizontal="center"/>
      <protection locked="0"/>
    </xf>
    <xf numFmtId="165" fontId="51" fillId="0" borderId="0" xfId="0" applyNumberFormat="1" applyFont="1" applyFill="1" applyAlignment="1" applyProtection="1">
      <alignment horizontal="center"/>
      <protection locked="0"/>
    </xf>
    <xf numFmtId="3" fontId="55" fillId="0" borderId="0" xfId="0" applyNumberFormat="1" applyFont="1" applyFill="1" applyBorder="1" applyAlignment="1"/>
    <xf numFmtId="0" fontId="51" fillId="0" borderId="0" xfId="0" quotePrefix="1" applyNumberFormat="1" applyFont="1" applyFill="1" applyAlignment="1">
      <alignment horizontal="left" indent="3"/>
    </xf>
    <xf numFmtId="165" fontId="51" fillId="0" borderId="0" xfId="0" applyNumberFormat="1" applyFont="1" applyFill="1" applyAlignment="1"/>
    <xf numFmtId="3" fontId="55" fillId="0" borderId="0" xfId="0" quotePrefix="1" applyNumberFormat="1" applyFont="1" applyFill="1" applyAlignment="1">
      <alignment horizontal="center"/>
    </xf>
    <xf numFmtId="165" fontId="51" fillId="0" borderId="0" xfId="0" quotePrefix="1" applyNumberFormat="1" applyFont="1" applyFill="1" applyAlignment="1">
      <alignment horizontal="center"/>
    </xf>
    <xf numFmtId="3" fontId="55" fillId="0" borderId="0" xfId="0" applyNumberFormat="1" applyFont="1" applyFill="1" applyAlignment="1">
      <alignment horizontal="center"/>
    </xf>
    <xf numFmtId="3" fontId="51" fillId="0" borderId="3" xfId="0" quotePrefix="1" applyNumberFormat="1" applyFont="1" applyFill="1" applyBorder="1" applyAlignment="1">
      <alignment horizontal="center"/>
    </xf>
    <xf numFmtId="3" fontId="51" fillId="0" borderId="0" xfId="0" quotePrefix="1" applyNumberFormat="1" applyFont="1" applyFill="1" applyAlignment="1">
      <alignment horizontal="left" indent="2"/>
    </xf>
    <xf numFmtId="196" fontId="51" fillId="0" borderId="0" xfId="1" applyNumberFormat="1" applyFont="1" applyFill="1" applyAlignment="1" applyProtection="1">
      <protection locked="0"/>
    </xf>
    <xf numFmtId="3" fontId="51" fillId="0" borderId="0" xfId="0" quotePrefix="1" applyNumberFormat="1" applyFont="1" applyFill="1" applyAlignment="1">
      <alignment horizontal="left" indent="1"/>
    </xf>
    <xf numFmtId="0" fontId="55" fillId="0" borderId="0" xfId="0" quotePrefix="1" applyNumberFormat="1" applyFont="1" applyFill="1" applyAlignment="1" applyProtection="1">
      <alignment horizontal="left"/>
      <protection locked="0"/>
    </xf>
    <xf numFmtId="0" fontId="63" fillId="0" borderId="0" xfId="0" applyNumberFormat="1" applyFont="1" applyFill="1" applyAlignment="1" applyProtection="1">
      <alignment horizontal="center"/>
      <protection locked="0"/>
    </xf>
    <xf numFmtId="0" fontId="55" fillId="0" borderId="0" xfId="0" applyNumberFormat="1" applyFont="1" applyFill="1" applyProtection="1">
      <protection locked="0"/>
    </xf>
    <xf numFmtId="0" fontId="51" fillId="0" borderId="3" xfId="0" quotePrefix="1" applyNumberFormat="1" applyFont="1" applyFill="1" applyBorder="1" applyAlignment="1" applyProtection="1">
      <alignment horizontal="center"/>
      <protection locked="0"/>
    </xf>
    <xf numFmtId="0" fontId="51" fillId="0" borderId="3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Alignment="1"/>
    <xf numFmtId="168" fontId="51" fillId="0" borderId="0" xfId="0" applyNumberFormat="1" applyFont="1" applyFill="1" applyAlignment="1"/>
    <xf numFmtId="186" fontId="51" fillId="0" borderId="0" xfId="1" applyNumberFormat="1" applyFont="1" applyFill="1" applyAlignment="1"/>
    <xf numFmtId="175" fontId="51" fillId="0" borderId="3" xfId="1" applyNumberFormat="1" applyFont="1" applyFill="1" applyBorder="1" applyAlignment="1"/>
    <xf numFmtId="186" fontId="51" fillId="0" borderId="3" xfId="0" applyNumberFormat="1" applyFont="1" applyFill="1" applyBorder="1" applyAlignment="1"/>
    <xf numFmtId="0" fontId="51" fillId="0" borderId="0" xfId="0" applyNumberFormat="1" applyFont="1" applyFill="1" applyAlignment="1" applyProtection="1">
      <protection locked="0"/>
    </xf>
    <xf numFmtId="196" fontId="51" fillId="0" borderId="0" xfId="0" applyNumberFormat="1" applyFont="1" applyFill="1" applyBorder="1" applyProtection="1">
      <protection locked="0"/>
    </xf>
    <xf numFmtId="164" fontId="51" fillId="0" borderId="3" xfId="0" quotePrefix="1" applyNumberFormat="1" applyFont="1" applyFill="1" applyBorder="1" applyAlignment="1">
      <alignment horizontal="left"/>
    </xf>
    <xf numFmtId="0" fontId="51" fillId="0" borderId="3" xfId="0" applyNumberFormat="1" applyFont="1" applyFill="1" applyBorder="1"/>
    <xf numFmtId="164" fontId="51" fillId="0" borderId="3" xfId="0" applyNumberFormat="1" applyFont="1" applyFill="1" applyBorder="1" applyAlignment="1"/>
    <xf numFmtId="0" fontId="51" fillId="0" borderId="0" xfId="0" applyNumberFormat="1" applyFont="1" applyFill="1" applyBorder="1" applyProtection="1">
      <protection locked="0"/>
    </xf>
    <xf numFmtId="196" fontId="54" fillId="0" borderId="0" xfId="0" applyNumberFormat="1" applyFont="1" applyFill="1" applyBorder="1" applyProtection="1">
      <protection locked="0"/>
    </xf>
    <xf numFmtId="0" fontId="55" fillId="0" borderId="0" xfId="0" quotePrefix="1" applyNumberFormat="1" applyFont="1" applyFill="1" applyBorder="1" applyAlignment="1" applyProtection="1">
      <alignment horizontal="left"/>
      <protection locked="0"/>
    </xf>
    <xf numFmtId="196" fontId="51" fillId="0" borderId="0" xfId="0" applyNumberFormat="1" applyFont="1" applyFill="1" applyBorder="1" applyProtection="1"/>
    <xf numFmtId="167" fontId="51" fillId="0" borderId="0" xfId="0" applyNumberFormat="1" applyFont="1" applyFill="1" applyProtection="1">
      <protection locked="0"/>
    </xf>
    <xf numFmtId="166" fontId="51" fillId="0" borderId="0" xfId="0" applyNumberFormat="1" applyFont="1" applyFill="1" applyProtection="1">
      <protection locked="0"/>
    </xf>
    <xf numFmtId="195" fontId="51" fillId="0" borderId="0" xfId="2" applyNumberFormat="1" applyFont="1" applyFill="1" applyBorder="1" applyProtection="1"/>
    <xf numFmtId="170" fontId="51" fillId="0" borderId="0" xfId="2" applyNumberFormat="1" applyFont="1" applyFill="1" applyBorder="1" applyAlignment="1" applyProtection="1">
      <protection locked="0"/>
    </xf>
    <xf numFmtId="164" fontId="59" fillId="0" borderId="0" xfId="0" applyNumberFormat="1" applyFont="1" applyFill="1" applyAlignment="1"/>
    <xf numFmtId="0" fontId="51" fillId="0" borderId="3" xfId="0" applyNumberFormat="1" applyFont="1" applyFill="1" applyBorder="1" applyAlignment="1" applyProtection="1">
      <protection locked="0"/>
    </xf>
    <xf numFmtId="0" fontId="51" fillId="0" borderId="3" xfId="0" applyNumberFormat="1" applyFont="1" applyFill="1" applyBorder="1" applyProtection="1">
      <protection locked="0"/>
    </xf>
    <xf numFmtId="175" fontId="54" fillId="0" borderId="0" xfId="1" applyNumberFormat="1" applyFont="1" applyFill="1" applyBorder="1" applyAlignment="1" applyProtection="1">
      <protection locked="0"/>
    </xf>
    <xf numFmtId="3" fontId="53" fillId="0" borderId="0" xfId="0" applyNumberFormat="1" applyFont="1" applyFill="1" applyAlignment="1">
      <alignment horizontal="left"/>
    </xf>
    <xf numFmtId="3" fontId="82" fillId="38" borderId="0" xfId="0" applyNumberFormat="1" applyFont="1" applyFill="1" applyAlignment="1" applyProtection="1">
      <protection locked="0"/>
    </xf>
    <xf numFmtId="3" fontId="82" fillId="0" borderId="0" xfId="0" applyNumberFormat="1" applyFont="1" applyAlignment="1" applyProtection="1"/>
    <xf numFmtId="37" fontId="82" fillId="0" borderId="0" xfId="0" applyFont="1" applyFill="1" applyProtection="1"/>
    <xf numFmtId="37" fontId="82" fillId="36" borderId="20" xfId="0" applyFont="1" applyFill="1" applyBorder="1" applyProtection="1"/>
    <xf numFmtId="37" fontId="82" fillId="36" borderId="2" xfId="0" applyFont="1" applyFill="1" applyBorder="1" applyProtection="1"/>
    <xf numFmtId="37" fontId="82" fillId="36" borderId="21" xfId="0" applyFont="1" applyFill="1" applyBorder="1" applyProtection="1"/>
    <xf numFmtId="37" fontId="82" fillId="36" borderId="22" xfId="0" applyFont="1" applyFill="1" applyBorder="1" applyProtection="1"/>
    <xf numFmtId="189" fontId="82" fillId="36" borderId="0" xfId="0" applyNumberFormat="1" applyFont="1" applyFill="1" applyProtection="1">
      <protection locked="0"/>
    </xf>
    <xf numFmtId="164" fontId="82" fillId="0" borderId="0" xfId="0" applyNumberFormat="1" applyFont="1" applyFill="1" applyAlignment="1" applyProtection="1"/>
    <xf numFmtId="3" fontId="55" fillId="0" borderId="0" xfId="0" applyNumberFormat="1" applyFont="1" applyFill="1" applyAlignment="1" applyProtection="1">
      <alignment horizontal="right"/>
    </xf>
    <xf numFmtId="37" fontId="82" fillId="37" borderId="0" xfId="0" applyFont="1" applyFill="1" applyProtection="1"/>
    <xf numFmtId="42" fontId="51" fillId="0" borderId="0" xfId="0" applyNumberFormat="1" applyFont="1" applyFill="1" applyProtection="1"/>
    <xf numFmtId="170" fontId="51" fillId="0" borderId="0" xfId="2" applyNumberFormat="1" applyFont="1" applyFill="1" applyAlignment="1" applyProtection="1">
      <alignment horizontal="right"/>
    </xf>
    <xf numFmtId="192" fontId="51" fillId="0" borderId="0" xfId="2" applyNumberFormat="1" applyFont="1" applyFill="1" applyAlignment="1" applyProtection="1">
      <alignment horizontal="right"/>
    </xf>
    <xf numFmtId="193" fontId="51" fillId="0" borderId="0" xfId="1" applyNumberFormat="1" applyFont="1" applyFill="1" applyAlignment="1" applyProtection="1"/>
    <xf numFmtId="175" fontId="51" fillId="0" borderId="0" xfId="1" applyNumberFormat="1" applyFont="1" applyFill="1" applyAlignment="1" applyProtection="1"/>
    <xf numFmtId="193" fontId="54" fillId="0" borderId="0" xfId="1" applyNumberFormat="1" applyFont="1" applyFill="1" applyAlignment="1" applyProtection="1"/>
    <xf numFmtId="170" fontId="51" fillId="0" borderId="0" xfId="2" applyNumberFormat="1" applyFont="1" applyFill="1" applyAlignment="1" applyProtection="1"/>
    <xf numFmtId="175" fontId="51" fillId="0" borderId="0" xfId="1" applyNumberFormat="1" applyFont="1" applyFill="1" applyProtection="1"/>
    <xf numFmtId="175" fontId="54" fillId="0" borderId="0" xfId="1" applyNumberFormat="1" applyFont="1" applyFill="1" applyProtection="1"/>
    <xf numFmtId="194" fontId="51" fillId="0" borderId="0" xfId="2" applyNumberFormat="1" applyFont="1" applyFill="1" applyAlignment="1" applyProtection="1">
      <alignment horizontal="right"/>
    </xf>
    <xf numFmtId="3" fontId="55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169" fontId="51" fillId="0" borderId="0" xfId="0" applyNumberFormat="1" applyFont="1" applyFill="1" applyAlignment="1">
      <alignment vertical="center"/>
    </xf>
    <xf numFmtId="196" fontId="62" fillId="0" borderId="0" xfId="1" applyNumberFormat="1" applyFont="1" applyFill="1" applyBorder="1" applyAlignment="1"/>
    <xf numFmtId="10" fontId="51" fillId="0" borderId="0" xfId="3" applyNumberFormat="1" applyFont="1" applyFill="1" applyBorder="1" applyAlignment="1">
      <alignment horizontal="right"/>
    </xf>
    <xf numFmtId="10" fontId="51" fillId="0" borderId="0" xfId="3" applyNumberFormat="1" applyFont="1" applyFill="1" applyBorder="1" applyAlignment="1"/>
    <xf numFmtId="187" fontId="51" fillId="0" borderId="0" xfId="1" applyNumberFormat="1" applyFont="1" applyFill="1" applyBorder="1" applyAlignment="1">
      <alignment horizontal="right"/>
    </xf>
    <xf numFmtId="10" fontId="55" fillId="0" borderId="0" xfId="0" quotePrefix="1" applyNumberFormat="1" applyFont="1" applyFill="1" applyAlignment="1">
      <alignment horizontal="left"/>
    </xf>
    <xf numFmtId="170" fontId="51" fillId="0" borderId="0" xfId="2" applyNumberFormat="1" applyFont="1" applyFill="1" applyBorder="1" applyAlignment="1">
      <alignment horizontal="right"/>
    </xf>
    <xf numFmtId="174" fontId="51" fillId="0" borderId="0" xfId="0" applyNumberFormat="1" applyFont="1" applyFill="1" applyAlignment="1"/>
    <xf numFmtId="170" fontId="54" fillId="0" borderId="0" xfId="2" applyNumberFormat="1" applyFont="1" applyFill="1" applyBorder="1" applyAlignment="1"/>
    <xf numFmtId="170" fontId="66" fillId="0" borderId="0" xfId="2" applyNumberFormat="1" applyFont="1" applyFill="1" applyBorder="1" applyAlignment="1"/>
    <xf numFmtId="195" fontId="51" fillId="0" borderId="0" xfId="2" applyNumberFormat="1" applyFont="1" applyFill="1" applyAlignment="1" applyProtection="1">
      <alignment horizontal="right"/>
    </xf>
    <xf numFmtId="196" fontId="51" fillId="0" borderId="0" xfId="1" applyNumberFormat="1" applyFont="1" applyFill="1" applyAlignment="1" applyProtection="1"/>
    <xf numFmtId="196" fontId="54" fillId="0" borderId="0" xfId="1" applyNumberFormat="1" applyFont="1" applyFill="1" applyAlignment="1" applyProtection="1"/>
    <xf numFmtId="195" fontId="51" fillId="0" borderId="0" xfId="2" applyNumberFormat="1" applyFont="1" applyFill="1" applyAlignment="1" applyProtection="1"/>
    <xf numFmtId="196" fontId="51" fillId="0" borderId="0" xfId="1" applyNumberFormat="1" applyFont="1" applyFill="1" applyProtection="1"/>
    <xf numFmtId="196" fontId="54" fillId="0" borderId="0" xfId="1" applyNumberFormat="1" applyFont="1" applyFill="1" applyProtection="1"/>
    <xf numFmtId="0" fontId="55" fillId="0" borderId="0" xfId="0" applyNumberFormat="1" applyFont="1" applyFill="1" applyAlignment="1" applyProtection="1">
      <alignment horizontal="left"/>
    </xf>
    <xf numFmtId="194" fontId="51" fillId="0" borderId="0" xfId="2" applyNumberFormat="1" applyFont="1" applyFill="1" applyProtection="1"/>
    <xf numFmtId="10" fontId="51" fillId="0" borderId="0" xfId="3" applyNumberFormat="1" applyFont="1" applyFill="1" applyAlignment="1">
      <alignment horizontal="right"/>
    </xf>
    <xf numFmtId="10" fontId="51" fillId="0" borderId="0" xfId="1" quotePrefix="1" applyNumberFormat="1" applyFont="1" applyFill="1" applyAlignment="1" applyProtection="1">
      <alignment horizontal="center"/>
    </xf>
    <xf numFmtId="37" fontId="58" fillId="0" borderId="0" xfId="0" applyFont="1" applyFill="1" applyAlignment="1">
      <alignment horizontal="center" wrapText="1"/>
    </xf>
    <xf numFmtId="175" fontId="58" fillId="0" borderId="0" xfId="0" applyNumberFormat="1" applyFont="1" applyFill="1"/>
    <xf numFmtId="168" fontId="58" fillId="0" borderId="0" xfId="0" applyNumberFormat="1" applyFont="1" applyFill="1"/>
    <xf numFmtId="37" fontId="86" fillId="36" borderId="0" xfId="0" applyFont="1" applyFill="1" applyProtection="1">
      <protection locked="0"/>
    </xf>
    <xf numFmtId="175" fontId="82" fillId="37" borderId="0" xfId="1" applyNumberFormat="1" applyFont="1" applyFill="1" applyProtection="1">
      <protection locked="0"/>
    </xf>
    <xf numFmtId="42" fontId="54" fillId="0" borderId="0" xfId="0" applyNumberFormat="1" applyFont="1" applyFill="1" applyBorder="1" applyAlignment="1" applyProtection="1">
      <alignment horizontal="right"/>
    </xf>
    <xf numFmtId="195" fontId="54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Border="1" applyAlignment="1" applyProtection="1">
      <alignment horizontal="right"/>
    </xf>
    <xf numFmtId="37" fontId="55" fillId="0" borderId="0" xfId="0" applyFont="1" applyFill="1" applyAlignment="1" applyProtection="1">
      <alignment horizontal="left"/>
    </xf>
    <xf numFmtId="3" fontId="55" fillId="0" borderId="0" xfId="0" applyNumberFormat="1" applyFont="1" applyFill="1" applyAlignment="1" applyProtection="1">
      <alignment horizontal="left"/>
    </xf>
    <xf numFmtId="0" fontId="55" fillId="0" borderId="0" xfId="0" applyNumberFormat="1" applyFont="1" applyFill="1" applyAlignment="1" applyProtection="1">
      <alignment horizontal="left" indent="1"/>
    </xf>
    <xf numFmtId="167" fontId="51" fillId="0" borderId="0" xfId="0" applyNumberFormat="1" applyFont="1" applyFill="1" applyProtection="1"/>
    <xf numFmtId="49" fontId="51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 applyProtection="1">
      <alignment horizontal="center"/>
      <protection locked="0"/>
    </xf>
    <xf numFmtId="164" fontId="52" fillId="0" borderId="0" xfId="0" applyNumberFormat="1" applyFont="1" applyFill="1" applyAlignment="1">
      <alignment horizontal="center"/>
    </xf>
    <xf numFmtId="3" fontId="52" fillId="0" borderId="0" xfId="0" applyNumberFormat="1" applyFont="1" applyFill="1" applyAlignment="1"/>
    <xf numFmtId="0" fontId="52" fillId="0" borderId="0" xfId="0" quotePrefix="1" applyNumberFormat="1" applyFont="1" applyFill="1" applyAlignment="1" applyProtection="1">
      <alignment horizontal="centerContinuous"/>
      <protection locked="0"/>
    </xf>
    <xf numFmtId="0" fontId="58" fillId="0" borderId="0" xfId="0" applyNumberFormat="1" applyFont="1" applyFill="1" applyAlignment="1" applyProtection="1">
      <alignment horizontal="center"/>
      <protection locked="0"/>
    </xf>
    <xf numFmtId="0" fontId="52" fillId="0" borderId="0" xfId="0" applyNumberFormat="1" applyFont="1" applyFill="1" applyProtection="1">
      <protection locked="0"/>
    </xf>
    <xf numFmtId="0" fontId="65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/>
    <xf numFmtId="0" fontId="52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NumberFormat="1" applyFont="1" applyFill="1" applyAlignment="1">
      <alignment horizontal="fill"/>
    </xf>
    <xf numFmtId="0" fontId="51" fillId="0" borderId="0" xfId="0" quotePrefix="1" applyNumberFormat="1" applyFont="1" applyFill="1" applyAlignment="1">
      <alignment horizontal="left" indent="1"/>
    </xf>
    <xf numFmtId="3" fontId="51" fillId="0" borderId="0" xfId="0" quotePrefix="1" applyNumberFormat="1" applyFont="1" applyFill="1" applyAlignment="1">
      <alignment horizontal="left"/>
    </xf>
    <xf numFmtId="9" fontId="51" fillId="0" borderId="0" xfId="3" applyFont="1" applyFill="1" applyAlignment="1"/>
    <xf numFmtId="0" fontId="51" fillId="0" borderId="0" xfId="0" quotePrefix="1" applyNumberFormat="1" applyFont="1" applyFill="1" applyAlignment="1">
      <alignment horizontal="left" indent="2"/>
    </xf>
    <xf numFmtId="171" fontId="51" fillId="0" borderId="0" xfId="0" quotePrefix="1" applyNumberFormat="1" applyFont="1" applyFill="1" applyAlignment="1">
      <alignment horizontal="left" indent="1"/>
    </xf>
    <xf numFmtId="164" fontId="51" fillId="0" borderId="0" xfId="0" quotePrefix="1" applyNumberFormat="1" applyFont="1" applyFill="1" applyAlignment="1">
      <alignment horizontal="left" indent="1"/>
    </xf>
    <xf numFmtId="171" fontId="51" fillId="0" borderId="0" xfId="0" quotePrefix="1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/>
    </xf>
    <xf numFmtId="171" fontId="51" fillId="0" borderId="0" xfId="0" applyNumberFormat="1" applyFont="1" applyFill="1" applyAlignment="1" applyProtection="1">
      <alignment horizontal="left"/>
      <protection locked="0"/>
    </xf>
    <xf numFmtId="3" fontId="51" fillId="0" borderId="0" xfId="0" quotePrefix="1" applyNumberFormat="1" applyFont="1" applyFill="1" applyAlignment="1">
      <alignment horizontal="center"/>
    </xf>
    <xf numFmtId="38" fontId="51" fillId="0" borderId="0" xfId="0" applyNumberFormat="1" applyFont="1" applyFill="1" applyAlignment="1" applyProtection="1"/>
    <xf numFmtId="38" fontId="51" fillId="0" borderId="0" xfId="0" applyNumberFormat="1" applyFont="1" applyFill="1" applyAlignment="1"/>
    <xf numFmtId="37" fontId="58" fillId="0" borderId="0" xfId="156" applyFont="1" applyFill="1"/>
    <xf numFmtId="37" fontId="58" fillId="0" borderId="0" xfId="156" quotePrefix="1" applyFont="1" applyFill="1" applyAlignment="1">
      <alignment horizontal="left"/>
    </xf>
    <xf numFmtId="37" fontId="79" fillId="0" borderId="0" xfId="0" applyFont="1" applyFill="1" applyAlignment="1">
      <alignment horizontal="center" wrapText="1"/>
    </xf>
    <xf numFmtId="37" fontId="79" fillId="0" borderId="0" xfId="0" applyFont="1" applyFill="1" applyAlignment="1">
      <alignment horizontal="center"/>
    </xf>
    <xf numFmtId="37" fontId="58" fillId="0" borderId="0" xfId="156" quotePrefix="1" applyFont="1" applyFill="1"/>
    <xf numFmtId="37" fontId="84" fillId="0" borderId="18" xfId="0" applyFont="1" applyBorder="1" applyAlignment="1" applyProtection="1">
      <alignment horizontal="center"/>
    </xf>
    <xf numFmtId="37" fontId="84" fillId="0" borderId="19" xfId="0" applyFont="1" applyBorder="1" applyAlignment="1" applyProtection="1">
      <alignment horizontal="center"/>
    </xf>
    <xf numFmtId="37" fontId="55" fillId="0" borderId="0" xfId="0" applyFont="1" applyAlignment="1" applyProtection="1">
      <alignment horizontal="left" wrapText="1"/>
    </xf>
    <xf numFmtId="0" fontId="51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 applyProtection="1">
      <alignment wrapText="1"/>
    </xf>
    <xf numFmtId="37" fontId="52" fillId="0" borderId="3" xfId="0" quotePrefix="1" applyFont="1" applyFill="1" applyBorder="1" applyAlignment="1">
      <alignment horizontal="center"/>
    </xf>
  </cellXfs>
  <cellStyles count="157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0"/>
  <tableStyles count="0" defaultTableStyle="TableStyleMedium2" defaultPivotStyle="PivotStyleLight16"/>
  <colors>
    <mruColors>
      <color rgb="FF0070C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activeCell="C2" sqref="C2"/>
    </sheetView>
  </sheetViews>
  <sheetFormatPr defaultRowHeight="12.75"/>
  <cols>
    <col min="1" max="1" width="25.33203125" bestFit="1" customWidth="1"/>
    <col min="2" max="2" width="25.83203125" bestFit="1" customWidth="1"/>
    <col min="3" max="3" width="28" bestFit="1" customWidth="1"/>
    <col min="4" max="4" width="20.83203125" customWidth="1"/>
  </cols>
  <sheetData>
    <row r="1" spans="1:4" ht="40.5">
      <c r="A1" s="279" t="s">
        <v>851</v>
      </c>
      <c r="B1" s="280" t="s">
        <v>852</v>
      </c>
      <c r="C1" s="307" t="str">
        <f>TEXT(EOMONTH('OATT Input Data'!$B$4,5)+1,"mmmm d, yyyy")&amp;" Point to Point"</f>
        <v>June 1, 2016 Point to Point</v>
      </c>
      <c r="D1" s="307" t="str">
        <f>TEXT(EOMONTH('OATT Input Data'!$B$4,5)+1,"mmmm d, yyyy")&amp;" NITS"</f>
        <v>June 1, 2016 NITS</v>
      </c>
    </row>
    <row r="2" spans="1:4" ht="20.25">
      <c r="A2" s="281" t="s">
        <v>853</v>
      </c>
      <c r="B2" s="282" t="s">
        <v>854</v>
      </c>
      <c r="C2" s="283">
        <f>'PTP Pg 1 of 5'!$E$38</f>
        <v>4.875</v>
      </c>
      <c r="D2" s="284" t="s">
        <v>885</v>
      </c>
    </row>
    <row r="3" spans="1:4" ht="20.25">
      <c r="A3" s="281" t="s">
        <v>855</v>
      </c>
      <c r="B3" s="282" t="s">
        <v>854</v>
      </c>
      <c r="C3" s="283">
        <f>'PTP Pg 1 of 5'!$J$38</f>
        <v>2.2919999999999998</v>
      </c>
      <c r="D3" s="284" t="s">
        <v>885</v>
      </c>
    </row>
    <row r="4" spans="1:4" ht="20.25">
      <c r="A4" s="281" t="s">
        <v>856</v>
      </c>
      <c r="B4" s="282" t="s">
        <v>857</v>
      </c>
      <c r="C4" s="283">
        <f>'PTP Pg 1 of 5'!$E$37*1000</f>
        <v>78</v>
      </c>
      <c r="D4" s="284" t="s">
        <v>885</v>
      </c>
    </row>
    <row r="5" spans="1:4" ht="20.25">
      <c r="A5" s="281" t="s">
        <v>858</v>
      </c>
      <c r="B5" s="282" t="s">
        <v>857</v>
      </c>
      <c r="C5" s="283">
        <f>'PTP Pg 1 of 5'!$J$37*1000</f>
        <v>55</v>
      </c>
      <c r="D5" s="284" t="s">
        <v>885</v>
      </c>
    </row>
    <row r="6" spans="1:4" ht="20.25">
      <c r="A6" s="281" t="s">
        <v>859</v>
      </c>
      <c r="B6" s="282" t="s">
        <v>860</v>
      </c>
      <c r="C6" s="284">
        <f>'PTP Pg 1 of 5'!$E$36*1000</f>
        <v>388</v>
      </c>
      <c r="D6" s="284" t="s">
        <v>885</v>
      </c>
    </row>
    <row r="7" spans="1:4" ht="20.25">
      <c r="A7" s="281" t="s">
        <v>861</v>
      </c>
      <c r="B7" s="282" t="s">
        <v>862</v>
      </c>
      <c r="C7" s="284">
        <f>'PTP Pg 1 of 5'!$E$33*1000</f>
        <v>1683</v>
      </c>
      <c r="D7" s="284">
        <f>'NITS Pg 1 of 5'!E33*1000</f>
        <v>1725.1666666666667</v>
      </c>
    </row>
    <row r="8" spans="1:4" ht="20.25">
      <c r="A8" s="281" t="s">
        <v>863</v>
      </c>
      <c r="B8" s="282" t="s">
        <v>864</v>
      </c>
      <c r="C8" s="285">
        <f>'Sch 1'!D32/8760*1000</f>
        <v>0.10683949618645626</v>
      </c>
      <c r="D8" s="285">
        <f>C8</f>
        <v>0.10683949618645626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6"/>
  <sheetViews>
    <sheetView workbookViewId="0"/>
  </sheetViews>
  <sheetFormatPr defaultColWidth="9.33203125" defaultRowHeight="15.7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24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106"/>
      <c r="O1" s="106"/>
      <c r="P1" s="106"/>
    </row>
    <row r="2" spans="1:24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106"/>
      <c r="O2" s="106"/>
      <c r="P2" s="106"/>
    </row>
    <row r="3" spans="1:24">
      <c r="A3" s="1"/>
      <c r="B3" s="1"/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106"/>
      <c r="O3" s="106"/>
      <c r="P3" s="106"/>
    </row>
    <row r="4" spans="1:24">
      <c r="A4" s="1" t="s">
        <v>186</v>
      </c>
      <c r="B4" s="1"/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106"/>
      <c r="O4" s="106"/>
      <c r="P4" s="106"/>
    </row>
    <row r="5" spans="1:24">
      <c r="A5" s="207" t="s">
        <v>187</v>
      </c>
      <c r="B5" s="1"/>
      <c r="C5" s="2"/>
      <c r="D5" s="1"/>
      <c r="E5" s="1"/>
      <c r="F5" s="8"/>
      <c r="G5" s="8"/>
      <c r="H5" s="8"/>
      <c r="I5" s="2"/>
      <c r="J5" s="206" t="s">
        <v>124</v>
      </c>
      <c r="K5" s="192"/>
      <c r="L5" s="192"/>
      <c r="M5" s="4"/>
      <c r="N5" s="106"/>
      <c r="O5" s="106"/>
      <c r="P5" s="106"/>
    </row>
    <row r="6" spans="1:24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6"/>
      <c r="O6" s="106"/>
      <c r="P6" s="106"/>
    </row>
    <row r="7" spans="1:24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146"/>
      <c r="O7" s="146"/>
      <c r="P7" s="155"/>
    </row>
    <row r="8" spans="1:24">
      <c r="A8" s="84"/>
      <c r="C8" s="156" t="s">
        <v>18</v>
      </c>
      <c r="D8" s="156" t="s">
        <v>19</v>
      </c>
      <c r="E8" s="156" t="s">
        <v>20</v>
      </c>
      <c r="F8" s="146" t="s">
        <v>0</v>
      </c>
      <c r="G8" s="146"/>
      <c r="H8" s="530" t="s">
        <v>21</v>
      </c>
      <c r="I8" s="146"/>
      <c r="J8" s="153" t="s">
        <v>22</v>
      </c>
      <c r="K8" s="146"/>
      <c r="L8" s="146"/>
      <c r="M8" s="146"/>
      <c r="N8" s="106"/>
      <c r="O8" s="146"/>
      <c r="P8" s="155"/>
    </row>
    <row r="9" spans="1:24">
      <c r="A9" s="84"/>
      <c r="C9" s="156"/>
      <c r="D9" s="110"/>
      <c r="E9" s="110"/>
      <c r="F9" s="110"/>
      <c r="G9" s="110"/>
      <c r="H9" s="110"/>
      <c r="I9" s="110"/>
      <c r="J9" s="110"/>
      <c r="K9" s="110"/>
      <c r="L9" s="531"/>
      <c r="M9" s="110"/>
      <c r="N9" s="110"/>
      <c r="O9" s="146"/>
      <c r="P9" s="155"/>
    </row>
    <row r="10" spans="1:24">
      <c r="A10" s="84" t="s">
        <v>1</v>
      </c>
      <c r="C10" s="155"/>
      <c r="D10" s="168" t="s">
        <v>23</v>
      </c>
      <c r="E10" s="146"/>
      <c r="F10" s="146"/>
      <c r="G10" s="146"/>
      <c r="H10" s="84"/>
      <c r="I10" s="146"/>
      <c r="J10" s="531" t="s">
        <v>24</v>
      </c>
      <c r="K10" s="146"/>
      <c r="L10" s="531"/>
      <c r="M10" s="146"/>
      <c r="N10" s="106"/>
      <c r="O10" s="146"/>
      <c r="P10" s="155"/>
    </row>
    <row r="11" spans="1:24" ht="16.5" thickBot="1">
      <c r="A11" s="408" t="s">
        <v>3</v>
      </c>
      <c r="C11" s="155"/>
      <c r="D11" s="532" t="s">
        <v>25</v>
      </c>
      <c r="E11" s="531" t="s">
        <v>26</v>
      </c>
      <c r="F11" s="533"/>
      <c r="G11" s="534" t="s">
        <v>7</v>
      </c>
      <c r="H11" s="404"/>
      <c r="I11" s="533"/>
      <c r="J11" s="535" t="s">
        <v>28</v>
      </c>
      <c r="K11" s="146"/>
      <c r="L11" s="531"/>
      <c r="M11" s="536"/>
      <c r="N11" s="531"/>
      <c r="O11" s="146"/>
    </row>
    <row r="12" spans="1:24">
      <c r="C12" s="155"/>
      <c r="D12" s="146"/>
      <c r="E12" s="537"/>
      <c r="F12" s="538"/>
      <c r="G12" s="539"/>
      <c r="I12" s="538"/>
      <c r="J12" s="537"/>
      <c r="K12" s="146"/>
      <c r="L12" s="146"/>
      <c r="M12" s="146"/>
      <c r="N12" s="146"/>
      <c r="O12" s="146"/>
      <c r="Q12" s="173"/>
      <c r="V12" s="167"/>
      <c r="X12" s="174"/>
    </row>
    <row r="13" spans="1:24">
      <c r="A13" s="84"/>
      <c r="C13" s="155" t="s">
        <v>55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5"/>
    </row>
    <row r="14" spans="1:24">
      <c r="A14" s="84">
        <v>1</v>
      </c>
      <c r="C14" s="194" t="s">
        <v>24</v>
      </c>
      <c r="D14" s="262" t="s">
        <v>384</v>
      </c>
      <c r="E14" s="410">
        <f>'OATT Input Data'!E189</f>
        <v>46190354.789999999</v>
      </c>
      <c r="F14" s="146"/>
      <c r="G14" s="146" t="s">
        <v>53</v>
      </c>
      <c r="H14" s="419">
        <f>'PTP Pg 4 of 5'!$J$25</f>
        <v>0.82591000000000003</v>
      </c>
      <c r="I14" s="146"/>
      <c r="J14" s="410">
        <f>ROUND(E14*H14,0)</f>
        <v>38149076</v>
      </c>
      <c r="K14" s="106"/>
      <c r="L14" s="146"/>
      <c r="M14" s="146"/>
      <c r="N14" s="146"/>
      <c r="O14" s="155"/>
      <c r="P14" s="146"/>
      <c r="Q14" s="146"/>
    </row>
    <row r="15" spans="1:24">
      <c r="A15" s="84">
        <v>2</v>
      </c>
      <c r="C15" s="194" t="s">
        <v>198</v>
      </c>
      <c r="D15" s="184" t="s">
        <v>274</v>
      </c>
      <c r="E15" s="147">
        <f>'OATT Input Data'!E190*-1</f>
        <v>-4174529</v>
      </c>
      <c r="F15" s="146"/>
      <c r="G15" s="146" t="s">
        <v>0</v>
      </c>
      <c r="H15" s="419">
        <v>1</v>
      </c>
      <c r="I15" s="146"/>
      <c r="J15" s="147">
        <f>ROUND(E15*H15,0)</f>
        <v>-4174529</v>
      </c>
      <c r="K15" s="106"/>
      <c r="L15" s="146"/>
      <c r="M15" s="146"/>
      <c r="N15" s="146"/>
      <c r="O15" s="156"/>
      <c r="P15" s="146"/>
      <c r="Q15" s="146"/>
    </row>
    <row r="16" spans="1:24">
      <c r="A16" s="84">
        <v>3</v>
      </c>
      <c r="C16" s="155" t="s">
        <v>56</v>
      </c>
      <c r="D16" s="184" t="s">
        <v>275</v>
      </c>
      <c r="E16" s="147">
        <f>'OATT Input Data'!E192</f>
        <v>205099094</v>
      </c>
      <c r="F16" s="146"/>
      <c r="G16" s="146" t="s">
        <v>36</v>
      </c>
      <c r="H16" s="419">
        <f>'PTP Pg 4 of 5'!$J$33</f>
        <v>6.5890000000000004E-2</v>
      </c>
      <c r="I16" s="146"/>
      <c r="J16" s="147">
        <f t="shared" ref="J16:J21" si="0">ROUND(E16*H16,0)</f>
        <v>13513979</v>
      </c>
      <c r="K16" s="146"/>
      <c r="L16" s="146" t="s">
        <v>0</v>
      </c>
      <c r="M16" s="146"/>
      <c r="N16" s="146"/>
      <c r="O16" s="156"/>
      <c r="P16" s="146"/>
      <c r="Q16" s="146"/>
    </row>
    <row r="17" spans="1:21">
      <c r="A17" s="84">
        <v>4</v>
      </c>
      <c r="C17" s="194" t="s">
        <v>200</v>
      </c>
      <c r="D17" s="184" t="s">
        <v>276</v>
      </c>
      <c r="E17" s="147">
        <f>'OATT Input Data'!E194*-1</f>
        <v>-757340</v>
      </c>
      <c r="F17" s="146"/>
      <c r="G17" s="146" t="str">
        <f>+G16</f>
        <v>W/S</v>
      </c>
      <c r="H17" s="419">
        <f>'PTP Pg 4 of 5'!$J$33</f>
        <v>6.5890000000000004E-2</v>
      </c>
      <c r="I17" s="146"/>
      <c r="J17" s="147">
        <f t="shared" si="0"/>
        <v>-49901</v>
      </c>
      <c r="K17" s="146"/>
      <c r="L17" s="146"/>
      <c r="M17" s="146"/>
      <c r="N17" s="146"/>
      <c r="O17" s="156"/>
      <c r="P17" s="146"/>
      <c r="Q17" s="146"/>
    </row>
    <row r="18" spans="1:21" ht="31.5">
      <c r="A18" s="540">
        <v>5</v>
      </c>
      <c r="C18" s="199" t="s">
        <v>279</v>
      </c>
      <c r="D18" s="496" t="s">
        <v>277</v>
      </c>
      <c r="E18" s="147">
        <f>'OATT Input Data'!E200*-1</f>
        <v>-6359782</v>
      </c>
      <c r="F18" s="497"/>
      <c r="G18" s="497" t="str">
        <f>+G17</f>
        <v>W/S</v>
      </c>
      <c r="H18" s="498">
        <f>'PTP Pg 4 of 5'!$J$33</f>
        <v>6.5890000000000004E-2</v>
      </c>
      <c r="I18" s="497"/>
      <c r="J18" s="147">
        <f t="shared" si="0"/>
        <v>-419046</v>
      </c>
      <c r="K18" s="146"/>
      <c r="L18" s="146"/>
      <c r="M18" s="146"/>
      <c r="N18" s="146"/>
      <c r="O18" s="155"/>
      <c r="P18" s="146"/>
      <c r="Q18" s="146"/>
    </row>
    <row r="19" spans="1:21">
      <c r="A19" s="84">
        <v>6</v>
      </c>
      <c r="C19" s="194" t="s">
        <v>278</v>
      </c>
      <c r="D19" s="414" t="s">
        <v>277</v>
      </c>
      <c r="E19" s="147">
        <f>'OATT Input Data'!E201</f>
        <v>445707</v>
      </c>
      <c r="F19" s="146"/>
      <c r="G19" s="176" t="str">
        <f>+G14</f>
        <v>TE</v>
      </c>
      <c r="H19" s="419">
        <f>'PTP Pg 4 of 5'!$J$25</f>
        <v>0.82591000000000003</v>
      </c>
      <c r="I19" s="146"/>
      <c r="J19" s="147">
        <f t="shared" si="0"/>
        <v>368114</v>
      </c>
      <c r="K19" s="146"/>
      <c r="L19" s="146"/>
      <c r="M19" s="146"/>
      <c r="O19" s="156"/>
      <c r="P19" s="146"/>
      <c r="Q19" s="146"/>
    </row>
    <row r="20" spans="1:21">
      <c r="A20" s="84">
        <v>7</v>
      </c>
      <c r="C20" s="155" t="s">
        <v>43</v>
      </c>
      <c r="D20" s="184" t="s">
        <v>179</v>
      </c>
      <c r="E20" s="331">
        <f>'OATT Input Data'!E202</f>
        <v>0</v>
      </c>
      <c r="F20" s="146"/>
      <c r="G20" s="146" t="s">
        <v>38</v>
      </c>
      <c r="H20" s="419">
        <f>'PTP Pg 4 of 5'!$J$41</f>
        <v>6.0560000000000003E-2</v>
      </c>
      <c r="I20" s="146"/>
      <c r="J20" s="331">
        <f t="shared" si="0"/>
        <v>0</v>
      </c>
      <c r="K20" s="146"/>
      <c r="L20" s="146"/>
      <c r="M20" s="146"/>
      <c r="N20" s="146"/>
      <c r="O20" s="156"/>
      <c r="P20" s="146"/>
      <c r="Q20" s="146"/>
    </row>
    <row r="21" spans="1:21" ht="18">
      <c r="A21" s="84">
        <v>8</v>
      </c>
      <c r="C21" s="155" t="s">
        <v>199</v>
      </c>
      <c r="D21" s="146"/>
      <c r="E21" s="413">
        <f>'OATT Input Data'!E203</f>
        <v>0</v>
      </c>
      <c r="F21" s="146"/>
      <c r="G21" s="146" t="s">
        <v>0</v>
      </c>
      <c r="H21" s="419">
        <v>1</v>
      </c>
      <c r="I21" s="146"/>
      <c r="J21" s="413">
        <f t="shared" si="0"/>
        <v>0</v>
      </c>
      <c r="K21" s="146"/>
      <c r="L21" s="146"/>
      <c r="M21" s="146"/>
      <c r="N21" s="146"/>
      <c r="O21" s="156"/>
      <c r="P21" s="146"/>
      <c r="Q21" s="146"/>
    </row>
    <row r="22" spans="1:21">
      <c r="A22" s="84">
        <v>9</v>
      </c>
      <c r="C22" s="194" t="s">
        <v>197</v>
      </c>
      <c r="D22" s="409" t="s">
        <v>322</v>
      </c>
      <c r="E22" s="410">
        <f>ROUND(SUM(E14:E21),0)</f>
        <v>240443505</v>
      </c>
      <c r="F22" s="146"/>
      <c r="G22" s="146"/>
      <c r="H22" s="146"/>
      <c r="I22" s="146"/>
      <c r="J22" s="410">
        <f>ROUND(SUM(J14:J21),0)</f>
        <v>47387693</v>
      </c>
      <c r="K22" s="146"/>
      <c r="L22" s="146"/>
      <c r="M22" s="146"/>
      <c r="N22" s="541"/>
      <c r="O22" s="146"/>
      <c r="P22" s="155"/>
    </row>
    <row r="23" spans="1:21">
      <c r="A23" s="84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6"/>
      <c r="P23" s="155"/>
    </row>
    <row r="24" spans="1:21">
      <c r="A24" s="84"/>
      <c r="C24" s="194" t="s">
        <v>416</v>
      </c>
      <c r="D24" s="414" t="s">
        <v>252</v>
      </c>
      <c r="E24" s="147"/>
      <c r="F24" s="146"/>
      <c r="G24" s="146"/>
      <c r="H24" s="146"/>
      <c r="I24" s="146"/>
      <c r="J24" s="147"/>
      <c r="K24" s="146"/>
      <c r="L24" s="146"/>
      <c r="M24" s="146"/>
      <c r="N24" s="146"/>
      <c r="O24" s="146"/>
      <c r="P24" s="155"/>
    </row>
    <row r="25" spans="1:21">
      <c r="A25" s="84">
        <v>10</v>
      </c>
      <c r="C25" s="542" t="s">
        <v>414</v>
      </c>
      <c r="D25" s="409" t="s">
        <v>194</v>
      </c>
      <c r="E25" s="410">
        <f>'OATT Input Data'!$E$208</f>
        <v>21719525.440000001</v>
      </c>
      <c r="F25" s="146"/>
      <c r="G25" s="146" t="s">
        <v>9</v>
      </c>
      <c r="H25" s="419">
        <f>'PTP Pg 4 of 5'!$J$24</f>
        <v>0.95574999999999999</v>
      </c>
      <c r="I25" s="146"/>
      <c r="J25" s="410">
        <f t="shared" ref="J25" si="1">ROUND(H25*E25,0)</f>
        <v>20758436</v>
      </c>
      <c r="K25" s="146"/>
      <c r="L25" s="434"/>
      <c r="M25" s="146"/>
      <c r="N25" s="146"/>
      <c r="O25" s="156"/>
      <c r="P25" s="155"/>
    </row>
    <row r="26" spans="1:21">
      <c r="A26" s="84">
        <v>11</v>
      </c>
      <c r="C26" s="542" t="s">
        <v>399</v>
      </c>
      <c r="D26" s="409" t="s">
        <v>195</v>
      </c>
      <c r="E26" s="147">
        <f>'OATT Input Data'!$E$211</f>
        <v>23308692.829999998</v>
      </c>
      <c r="F26" s="146"/>
      <c r="G26" s="146" t="s">
        <v>36</v>
      </c>
      <c r="H26" s="419">
        <f>'PTP Pg 4 of 5'!$J$33</f>
        <v>6.5890000000000004E-2</v>
      </c>
      <c r="I26" s="146"/>
      <c r="J26" s="147">
        <f>ROUND(H26*E26,0)</f>
        <v>1535810</v>
      </c>
      <c r="K26" s="146"/>
      <c r="L26" s="434"/>
      <c r="M26" s="146"/>
      <c r="N26" s="543"/>
      <c r="O26" s="156"/>
      <c r="P26" s="155"/>
    </row>
    <row r="27" spans="1:21">
      <c r="A27" s="84">
        <v>12</v>
      </c>
      <c r="C27" s="542" t="s">
        <v>415</v>
      </c>
      <c r="D27" s="409" t="s">
        <v>196</v>
      </c>
      <c r="E27" s="430">
        <f>'OATT Input Data'!$E$212</f>
        <v>19221539.75</v>
      </c>
      <c r="F27" s="146"/>
      <c r="G27" s="146" t="s">
        <v>38</v>
      </c>
      <c r="H27" s="419">
        <f>'PTP Pg 4 of 5'!$J$41</f>
        <v>6.0560000000000003E-2</v>
      </c>
      <c r="I27" s="146"/>
      <c r="J27" s="430">
        <f t="shared" ref="J27" si="2">ROUND(H27*E27,0)</f>
        <v>1164056</v>
      </c>
      <c r="K27" s="146"/>
      <c r="L27" s="434"/>
      <c r="M27" s="146"/>
      <c r="N27" s="543"/>
      <c r="O27" s="156"/>
      <c r="P27" s="155"/>
    </row>
    <row r="28" spans="1:21">
      <c r="A28" s="84">
        <v>13</v>
      </c>
      <c r="C28" s="194" t="s">
        <v>201</v>
      </c>
      <c r="D28" s="409" t="s">
        <v>336</v>
      </c>
      <c r="E28" s="410">
        <f>ROUND(SUM(E25:E27),0)</f>
        <v>64249758</v>
      </c>
      <c r="F28" s="146"/>
      <c r="G28" s="146"/>
      <c r="H28" s="146"/>
      <c r="I28" s="146"/>
      <c r="J28" s="410">
        <f>ROUND(SUM(J25:J27),0)</f>
        <v>23458302</v>
      </c>
      <c r="K28" s="146"/>
      <c r="L28" s="146"/>
      <c r="M28" s="146"/>
      <c r="N28" s="146"/>
      <c r="O28" s="146"/>
      <c r="P28" s="155"/>
      <c r="U28" s="544"/>
    </row>
    <row r="29" spans="1:21">
      <c r="A29" s="84"/>
      <c r="C29" s="155"/>
      <c r="D29" s="146"/>
      <c r="E29" s="147"/>
      <c r="F29" s="146"/>
      <c r="G29" s="146"/>
      <c r="H29" s="146"/>
      <c r="I29" s="146"/>
      <c r="J29" s="147"/>
      <c r="K29" s="146"/>
      <c r="L29" s="146"/>
      <c r="M29" s="146"/>
      <c r="N29" s="146"/>
      <c r="O29" s="146"/>
      <c r="P29" s="155"/>
    </row>
    <row r="30" spans="1:21">
      <c r="A30" s="84" t="s">
        <v>0</v>
      </c>
      <c r="C30" s="194" t="s">
        <v>281</v>
      </c>
      <c r="D30" s="121" t="s">
        <v>303</v>
      </c>
      <c r="E30" s="147"/>
      <c r="F30" s="146"/>
      <c r="G30" s="146"/>
      <c r="H30" s="146"/>
      <c r="I30" s="146"/>
      <c r="J30" s="147"/>
      <c r="K30" s="146"/>
      <c r="L30" s="146"/>
      <c r="M30" s="146"/>
      <c r="N30" s="146"/>
      <c r="O30" s="146"/>
      <c r="P30" s="155"/>
    </row>
    <row r="31" spans="1:21">
      <c r="A31" s="84"/>
      <c r="C31" s="155" t="s">
        <v>57</v>
      </c>
      <c r="D31" s="121"/>
      <c r="E31" s="147"/>
      <c r="F31" s="146"/>
      <c r="G31" s="146"/>
      <c r="I31" s="146"/>
      <c r="J31" s="147"/>
      <c r="K31" s="146"/>
      <c r="L31" s="434"/>
      <c r="M31" s="146"/>
      <c r="N31" s="150"/>
      <c r="O31" s="156"/>
      <c r="P31" s="155"/>
    </row>
    <row r="32" spans="1:21">
      <c r="A32" s="84">
        <v>14</v>
      </c>
      <c r="C32" s="545" t="s">
        <v>59</v>
      </c>
      <c r="D32" s="414" t="s">
        <v>58</v>
      </c>
      <c r="E32" s="410">
        <f>'OATT Input Data'!$E$226</f>
        <v>16525945</v>
      </c>
      <c r="F32" s="146"/>
      <c r="G32" s="146" t="s">
        <v>36</v>
      </c>
      <c r="H32" s="419">
        <f>'PTP Pg 4 of 5'!$J$33</f>
        <v>6.5890000000000004E-2</v>
      </c>
      <c r="I32" s="146"/>
      <c r="J32" s="410">
        <f>ROUND(H32*E32,0)</f>
        <v>1088895</v>
      </c>
      <c r="K32" s="146"/>
      <c r="L32" s="434"/>
      <c r="M32" s="146"/>
      <c r="N32" s="150"/>
      <c r="P32" s="156"/>
      <c r="Q32" s="156"/>
    </row>
    <row r="33" spans="1:17">
      <c r="A33" s="84">
        <v>15</v>
      </c>
      <c r="C33" s="545" t="s">
        <v>390</v>
      </c>
      <c r="D33" s="414" t="s">
        <v>58</v>
      </c>
      <c r="E33" s="331">
        <f>'OATT Input Data'!$E$227</f>
        <v>90932</v>
      </c>
      <c r="F33" s="146"/>
      <c r="G33" s="146" t="str">
        <f>+G32</f>
        <v>W/S</v>
      </c>
      <c r="H33" s="419">
        <f>'PTP Pg 4 of 5'!$J$33</f>
        <v>6.5890000000000004E-2</v>
      </c>
      <c r="I33" s="146"/>
      <c r="J33" s="331">
        <f>ROUND(H33*E33,0)</f>
        <v>5992</v>
      </c>
      <c r="K33" s="146"/>
      <c r="L33" s="434"/>
      <c r="M33" s="146"/>
      <c r="N33" s="150"/>
      <c r="P33" s="146"/>
      <c r="Q33" s="146"/>
    </row>
    <row r="34" spans="1:17">
      <c r="A34" s="84">
        <v>16</v>
      </c>
      <c r="C34" s="155" t="s">
        <v>60</v>
      </c>
      <c r="D34" s="414" t="s">
        <v>0</v>
      </c>
      <c r="E34" s="147"/>
      <c r="F34" s="146"/>
      <c r="G34" s="146"/>
      <c r="I34" s="146"/>
      <c r="J34" s="147"/>
      <c r="K34" s="146"/>
      <c r="L34" s="434"/>
      <c r="M34" s="146"/>
      <c r="N34" s="150"/>
      <c r="P34" s="146"/>
      <c r="Q34" s="146"/>
    </row>
    <row r="35" spans="1:17">
      <c r="A35" s="84">
        <v>17</v>
      </c>
      <c r="C35" s="545" t="s">
        <v>61</v>
      </c>
      <c r="D35" s="414" t="s">
        <v>58</v>
      </c>
      <c r="E35" s="147">
        <f>'OATT Input Data'!$E$229</f>
        <v>44916728</v>
      </c>
      <c r="F35" s="146"/>
      <c r="G35" s="146" t="s">
        <v>54</v>
      </c>
      <c r="H35" s="439">
        <f>'PTP Pg 2 of 5'!$H$19</f>
        <v>8.4339999999999998E-2</v>
      </c>
      <c r="I35" s="146"/>
      <c r="J35" s="147">
        <f>ROUND(H35*E35,0)</f>
        <v>3788277</v>
      </c>
      <c r="K35" s="146"/>
      <c r="L35" s="434"/>
      <c r="M35" s="146"/>
      <c r="N35" s="150"/>
      <c r="P35" s="146"/>
      <c r="Q35" s="146"/>
    </row>
    <row r="36" spans="1:17">
      <c r="A36" s="84">
        <v>18</v>
      </c>
      <c r="C36" s="545" t="s">
        <v>41</v>
      </c>
      <c r="D36" s="414" t="s">
        <v>58</v>
      </c>
      <c r="E36" s="147">
        <f>'OATT Input Data'!$E$235</f>
        <v>5107720</v>
      </c>
      <c r="F36" s="146"/>
      <c r="G36" s="146" t="str">
        <f>+G35</f>
        <v>GP</v>
      </c>
      <c r="H36" s="439">
        <f>'PTP Pg 2 of 5'!$H$19</f>
        <v>8.4339999999999998E-2</v>
      </c>
      <c r="I36" s="146"/>
      <c r="J36" s="147">
        <f>ROUND(H36*E36,0)</f>
        <v>430785</v>
      </c>
      <c r="K36" s="146"/>
      <c r="L36" s="434"/>
      <c r="M36" s="146"/>
      <c r="P36" s="157"/>
      <c r="Q36" s="157"/>
    </row>
    <row r="37" spans="1:17">
      <c r="A37" s="84">
        <v>19</v>
      </c>
      <c r="C37" s="545" t="s">
        <v>391</v>
      </c>
      <c r="D37" s="146"/>
      <c r="E37" s="499">
        <v>0</v>
      </c>
      <c r="F37" s="146"/>
      <c r="G37" s="146" t="s">
        <v>54</v>
      </c>
      <c r="H37" s="439">
        <f>'PTP Pg 2 of 5'!$H$19</f>
        <v>8.4339999999999998E-2</v>
      </c>
      <c r="I37" s="146"/>
      <c r="J37" s="499">
        <f>ROUND(H37*E37,0)</f>
        <v>0</v>
      </c>
      <c r="K37" s="146"/>
      <c r="L37" s="434"/>
      <c r="M37" s="146"/>
      <c r="N37" s="150"/>
      <c r="O37" s="150"/>
      <c r="P37" s="146"/>
      <c r="Q37" s="146"/>
    </row>
    <row r="38" spans="1:17">
      <c r="A38" s="84">
        <v>20</v>
      </c>
      <c r="C38" s="194" t="s">
        <v>202</v>
      </c>
      <c r="D38" s="409" t="s">
        <v>410</v>
      </c>
      <c r="E38" s="410">
        <f>ROUND(SUM(E32:E37),0)</f>
        <v>66641325</v>
      </c>
      <c r="F38" s="146"/>
      <c r="G38" s="146"/>
      <c r="H38" s="439"/>
      <c r="I38" s="146"/>
      <c r="J38" s="410">
        <f>ROUND(SUM(J32:J37),0)</f>
        <v>5313949</v>
      </c>
      <c r="K38" s="146"/>
      <c r="L38" s="146"/>
      <c r="M38" s="146"/>
      <c r="N38" s="150"/>
      <c r="O38" s="168"/>
      <c r="P38" s="146"/>
      <c r="Q38" s="146"/>
    </row>
    <row r="39" spans="1:17">
      <c r="A39" s="84"/>
      <c r="C39" s="155"/>
      <c r="D39" s="146"/>
      <c r="E39" s="147"/>
      <c r="F39" s="146"/>
      <c r="G39" s="146"/>
      <c r="H39" s="439"/>
      <c r="I39" s="146"/>
      <c r="J39" s="147"/>
      <c r="K39" s="146"/>
      <c r="L39" s="146"/>
      <c r="M39" s="146"/>
      <c r="N39" s="155"/>
      <c r="P39" s="156"/>
      <c r="Q39" s="156"/>
    </row>
    <row r="40" spans="1:17">
      <c r="A40" s="84" t="s">
        <v>62</v>
      </c>
      <c r="C40" s="155"/>
      <c r="D40" s="146"/>
      <c r="E40" s="147"/>
      <c r="F40" s="146"/>
      <c r="G40" s="146"/>
      <c r="H40" s="439"/>
      <c r="I40" s="146"/>
      <c r="J40" s="147"/>
      <c r="K40" s="146"/>
      <c r="L40" s="146"/>
      <c r="M40" s="146"/>
      <c r="N40" s="146"/>
      <c r="P40" s="156"/>
      <c r="Q40" s="156"/>
    </row>
    <row r="41" spans="1:17">
      <c r="A41" s="84" t="s">
        <v>0</v>
      </c>
      <c r="C41" s="194" t="s">
        <v>307</v>
      </c>
      <c r="D41" s="414" t="s">
        <v>305</v>
      </c>
      <c r="E41" s="147"/>
      <c r="F41" s="146"/>
      <c r="H41" s="433"/>
      <c r="I41" s="146"/>
      <c r="J41" s="147"/>
      <c r="K41" s="146"/>
      <c r="M41" s="146"/>
      <c r="N41" s="165"/>
      <c r="P41" s="156"/>
      <c r="Q41" s="156"/>
    </row>
    <row r="42" spans="1:17">
      <c r="A42" s="84">
        <v>21</v>
      </c>
      <c r="C42" s="546" t="s">
        <v>400</v>
      </c>
      <c r="D42" s="146"/>
      <c r="E42" s="500">
        <f>IF('OATT Input Data'!$B$240&gt;0,1-(((1-'OATT Input Data'!$B$241)*(1-'OATT Input Data'!$B$240))/(1-'OATT Input Data'!$B$241*'OATT Input Data'!$B$240*'OATT Input Data'!$B$242)),0)</f>
        <v>0.38900000000000001</v>
      </c>
      <c r="F42" s="146"/>
      <c r="H42" s="433"/>
      <c r="I42" s="146"/>
      <c r="J42" s="147"/>
      <c r="K42" s="146"/>
      <c r="M42" s="146"/>
      <c r="N42" s="146"/>
      <c r="P42" s="156"/>
      <c r="Q42" s="156"/>
    </row>
    <row r="43" spans="1:17">
      <c r="A43" s="84">
        <v>22</v>
      </c>
      <c r="C43" s="547" t="s">
        <v>401</v>
      </c>
      <c r="D43" s="146"/>
      <c r="E43" s="500">
        <f>IF('PTP Pg 4 of 5'!$J$56&gt;0,ROUND((E42/(1-E42))*(1-'PTP Pg 4 of 5'!$J$53/'PTP Pg 4 of 5'!$J$56),4),0)</f>
        <v>0.50290000000000001</v>
      </c>
      <c r="F43" s="146"/>
      <c r="H43" s="433"/>
      <c r="I43" s="146"/>
      <c r="J43" s="147"/>
      <c r="K43" s="146"/>
      <c r="M43" s="146"/>
      <c r="N43" s="146"/>
      <c r="O43" s="168"/>
      <c r="P43" s="156"/>
      <c r="Q43" s="156"/>
    </row>
    <row r="44" spans="1:17">
      <c r="A44" s="84"/>
      <c r="C44" s="438" t="s">
        <v>337</v>
      </c>
      <c r="D44" s="409" t="s">
        <v>333</v>
      </c>
      <c r="E44" s="501">
        <f>'PTP Pg 4 of 5'!J53</f>
        <v>1.55E-2</v>
      </c>
      <c r="F44" s="146"/>
      <c r="H44" s="433"/>
      <c r="I44" s="146"/>
      <c r="J44" s="147"/>
      <c r="K44" s="146"/>
      <c r="M44" s="146"/>
      <c r="P44" s="146"/>
    </row>
    <row r="45" spans="1:17">
      <c r="A45" s="84"/>
      <c r="C45" s="438" t="s">
        <v>338</v>
      </c>
      <c r="D45" s="409" t="s">
        <v>334</v>
      </c>
      <c r="E45" s="501">
        <f>'PTP Pg 4 of 5'!J56</f>
        <v>7.3800000010000005E-2</v>
      </c>
      <c r="F45" s="146"/>
      <c r="H45" s="433"/>
      <c r="I45" s="146"/>
      <c r="J45" s="147"/>
      <c r="K45" s="146"/>
      <c r="M45" s="146"/>
      <c r="N45" s="146"/>
      <c r="O45" s="150"/>
      <c r="P45" s="146"/>
    </row>
    <row r="46" spans="1:17">
      <c r="A46" s="84"/>
      <c r="C46" s="438" t="s">
        <v>306</v>
      </c>
      <c r="D46" s="414" t="s">
        <v>305</v>
      </c>
      <c r="E46" s="147"/>
      <c r="F46" s="146"/>
      <c r="H46" s="433"/>
      <c r="I46" s="146"/>
      <c r="J46" s="147"/>
      <c r="K46" s="146"/>
      <c r="M46" s="146"/>
      <c r="N46" s="146"/>
      <c r="O46" s="150"/>
      <c r="P46" s="146"/>
    </row>
    <row r="47" spans="1:17">
      <c r="A47" s="84">
        <v>23</v>
      </c>
      <c r="C47" s="548" t="s">
        <v>308</v>
      </c>
      <c r="D47" s="409" t="s">
        <v>879</v>
      </c>
      <c r="E47" s="502">
        <f>IF(E42&gt;0,ROUND(1/(1-E42),8),0)</f>
        <v>1.63666121</v>
      </c>
      <c r="F47" s="146"/>
      <c r="H47" s="433"/>
      <c r="I47" s="146"/>
      <c r="J47" s="147"/>
      <c r="K47" s="146"/>
      <c r="M47" s="146"/>
      <c r="N47" s="146"/>
      <c r="O47" s="150"/>
      <c r="P47" s="177"/>
      <c r="Q47" s="177"/>
    </row>
    <row r="48" spans="1:17">
      <c r="A48" s="84">
        <v>24</v>
      </c>
      <c r="C48" s="194" t="s">
        <v>309</v>
      </c>
      <c r="D48" s="409" t="s">
        <v>392</v>
      </c>
      <c r="E48" s="331">
        <v>0</v>
      </c>
      <c r="F48" s="146"/>
      <c r="H48" s="433"/>
      <c r="I48" s="146"/>
      <c r="J48" s="147"/>
      <c r="K48" s="146"/>
      <c r="M48" s="146"/>
      <c r="N48" s="146"/>
      <c r="O48" s="150"/>
      <c r="P48" s="146"/>
      <c r="Q48" s="146"/>
    </row>
    <row r="49" spans="1:19">
      <c r="A49" s="84"/>
      <c r="C49" s="155"/>
      <c r="D49" s="146"/>
      <c r="E49" s="147"/>
      <c r="F49" s="146"/>
      <c r="H49" s="433"/>
      <c r="I49" s="146"/>
      <c r="J49" s="147"/>
      <c r="K49" s="146"/>
      <c r="M49" s="146"/>
      <c r="N49" s="146"/>
      <c r="O49" s="150"/>
      <c r="P49" s="150"/>
    </row>
    <row r="50" spans="1:19">
      <c r="A50" s="84">
        <v>25</v>
      </c>
      <c r="C50" s="548" t="s">
        <v>311</v>
      </c>
      <c r="D50" s="503" t="s">
        <v>411</v>
      </c>
      <c r="E50" s="410">
        <f>ROUND(E43*E54,0)</f>
        <v>281651343</v>
      </c>
      <c r="F50" s="146"/>
      <c r="G50" s="146"/>
      <c r="H50" s="439"/>
      <c r="I50" s="146"/>
      <c r="J50" s="410">
        <f>ROUND(E43*J54,0)</f>
        <v>21250640</v>
      </c>
      <c r="K50" s="146"/>
      <c r="L50" s="549" t="s">
        <v>0</v>
      </c>
      <c r="M50" s="146"/>
      <c r="N50" s="146"/>
      <c r="O50" s="150"/>
      <c r="P50" s="150"/>
    </row>
    <row r="51" spans="1:19" ht="18">
      <c r="A51" s="84">
        <v>26</v>
      </c>
      <c r="C51" s="167" t="s">
        <v>312</v>
      </c>
      <c r="D51" s="503" t="s">
        <v>412</v>
      </c>
      <c r="E51" s="413">
        <f>ROUND(E47*E48,0)</f>
        <v>0</v>
      </c>
      <c r="F51" s="146"/>
      <c r="G51" s="89" t="s">
        <v>46</v>
      </c>
      <c r="H51" s="439">
        <f>'PTP Pg 2 of 5'!$H$35</f>
        <v>7.5130000000000002E-2</v>
      </c>
      <c r="I51" s="146"/>
      <c r="J51" s="413">
        <f>ROUND(H51*E51,0)</f>
        <v>0</v>
      </c>
      <c r="K51" s="146"/>
      <c r="L51" s="549"/>
      <c r="M51" s="146"/>
      <c r="N51" s="146"/>
      <c r="O51" s="150"/>
      <c r="P51" s="150"/>
    </row>
    <row r="52" spans="1:19">
      <c r="A52" s="84">
        <v>27</v>
      </c>
      <c r="C52" s="550" t="s">
        <v>63</v>
      </c>
      <c r="D52" s="412" t="s">
        <v>413</v>
      </c>
      <c r="E52" s="504">
        <f>E50+E51</f>
        <v>281651343</v>
      </c>
      <c r="F52" s="146"/>
      <c r="G52" s="146" t="s">
        <v>0</v>
      </c>
      <c r="H52" s="439" t="s">
        <v>0</v>
      </c>
      <c r="I52" s="146"/>
      <c r="J52" s="504">
        <f>J50+J51</f>
        <v>21250640</v>
      </c>
      <c r="K52" s="146"/>
      <c r="L52" s="146"/>
      <c r="M52" s="146"/>
      <c r="N52" s="146"/>
      <c r="O52" s="146"/>
      <c r="P52" s="155"/>
    </row>
    <row r="53" spans="1:19">
      <c r="A53" s="84" t="s">
        <v>0</v>
      </c>
      <c r="D53" s="505"/>
      <c r="E53" s="147"/>
      <c r="F53" s="146"/>
      <c r="G53" s="146"/>
      <c r="H53" s="439"/>
      <c r="I53" s="146"/>
      <c r="J53" s="147"/>
      <c r="K53" s="146"/>
      <c r="L53" s="146"/>
      <c r="M53" s="146"/>
      <c r="N53" s="146"/>
      <c r="O53" s="146"/>
      <c r="P53" s="155"/>
    </row>
    <row r="54" spans="1:19" ht="18">
      <c r="A54" s="84">
        <v>28</v>
      </c>
      <c r="C54" s="194" t="s">
        <v>310</v>
      </c>
      <c r="D54" s="412" t="s">
        <v>339</v>
      </c>
      <c r="E54" s="506">
        <f>ROUND('PTP Pg 4 of 5'!$J$56*'PTP Pg 2 of 5'!$E$57,0)</f>
        <v>560054370</v>
      </c>
      <c r="F54" s="146"/>
      <c r="G54" s="146"/>
      <c r="H54" s="433"/>
      <c r="I54" s="146"/>
      <c r="J54" s="506">
        <f>ROUND('PTP Pg 4 of 5'!$J$56*'PTP Pg 2 of 5'!$J$57,0)</f>
        <v>42256195</v>
      </c>
      <c r="K54" s="146"/>
      <c r="M54" s="146"/>
      <c r="N54" s="146"/>
      <c r="O54" s="156"/>
      <c r="P54" s="146" t="s">
        <v>0</v>
      </c>
    </row>
    <row r="55" spans="1:19">
      <c r="A55" s="84"/>
      <c r="C55" s="155"/>
      <c r="E55" s="147"/>
      <c r="F55" s="146"/>
      <c r="G55" s="146"/>
      <c r="H55" s="433"/>
      <c r="I55" s="146"/>
      <c r="J55" s="147"/>
      <c r="K55" s="146"/>
      <c r="L55" s="434"/>
      <c r="M55" s="146"/>
      <c r="N55" s="146"/>
      <c r="O55" s="156"/>
      <c r="P55" s="146"/>
    </row>
    <row r="56" spans="1:19" ht="18">
      <c r="A56" s="84">
        <v>29</v>
      </c>
      <c r="C56" s="194" t="s">
        <v>203</v>
      </c>
      <c r="D56" s="409" t="s">
        <v>408</v>
      </c>
      <c r="E56" s="507">
        <f>ROUND(E54+E52+E38+E28+E22,0)</f>
        <v>1213040301</v>
      </c>
      <c r="F56" s="146"/>
      <c r="G56" s="146"/>
      <c r="H56" s="146"/>
      <c r="I56" s="146"/>
      <c r="J56" s="507">
        <f>ROUND(J54+J52+J38+J28+J22,0)</f>
        <v>139666779</v>
      </c>
      <c r="K56" s="106"/>
      <c r="L56" s="106"/>
      <c r="M56" s="106"/>
      <c r="N56" s="106"/>
      <c r="O56" s="106"/>
      <c r="P56" s="155"/>
    </row>
    <row r="57" spans="1:19">
      <c r="Q57" s="121"/>
      <c r="R57" s="121"/>
      <c r="S57" s="121"/>
    </row>
    <row r="58" spans="1:19">
      <c r="Q58" s="121"/>
      <c r="R58" s="121"/>
      <c r="S58" s="121"/>
    </row>
    <row r="59" spans="1:19">
      <c r="Q59" s="121"/>
      <c r="R59" s="121"/>
      <c r="S59" s="121"/>
    </row>
    <row r="60" spans="1:19">
      <c r="Q60" s="121"/>
      <c r="R60" s="121"/>
      <c r="S60" s="121"/>
    </row>
    <row r="61" spans="1:19">
      <c r="Q61" s="121"/>
      <c r="R61" s="121"/>
      <c r="S61" s="121"/>
    </row>
    <row r="62" spans="1:19">
      <c r="Q62" s="121"/>
      <c r="R62" s="121"/>
      <c r="S62" s="121"/>
    </row>
    <row r="63" spans="1:19">
      <c r="Q63" s="121"/>
      <c r="R63" s="121"/>
      <c r="S63" s="121"/>
    </row>
    <row r="64" spans="1:19">
      <c r="Q64" s="121"/>
      <c r="R64" s="121"/>
      <c r="S64" s="121"/>
    </row>
    <row r="65" spans="17:19">
      <c r="Q65" s="121"/>
      <c r="R65" s="121"/>
      <c r="S65" s="121"/>
    </row>
    <row r="66" spans="17:19">
      <c r="Q66" s="121"/>
      <c r="R66" s="121"/>
      <c r="S66" s="121"/>
    </row>
    <row r="67" spans="17:19">
      <c r="Q67" s="121"/>
      <c r="R67" s="121"/>
      <c r="S67" s="121"/>
    </row>
    <row r="68" spans="17:19">
      <c r="Q68" s="121"/>
      <c r="R68" s="121"/>
      <c r="S68" s="121"/>
    </row>
    <row r="69" spans="17:19">
      <c r="Q69" s="121"/>
      <c r="R69" s="121"/>
      <c r="S69" s="121"/>
    </row>
    <row r="70" spans="17:19">
      <c r="Q70" s="121"/>
      <c r="R70" s="121"/>
      <c r="S70" s="121"/>
    </row>
    <row r="71" spans="17:19">
      <c r="Q71" s="121"/>
      <c r="R71" s="121"/>
      <c r="S71" s="121"/>
    </row>
    <row r="72" spans="17:19">
      <c r="Q72" s="121"/>
      <c r="R72" s="121"/>
      <c r="S72" s="121"/>
    </row>
    <row r="73" spans="17:19">
      <c r="Q73" s="121"/>
      <c r="R73" s="121"/>
      <c r="S73" s="121"/>
    </row>
    <row r="74" spans="17:19">
      <c r="Q74" s="121"/>
      <c r="R74" s="121"/>
      <c r="S74" s="121"/>
    </row>
    <row r="75" spans="17:19">
      <c r="Q75" s="121"/>
      <c r="R75" s="121"/>
      <c r="S75" s="121"/>
    </row>
    <row r="76" spans="17:19">
      <c r="Q76" s="121"/>
      <c r="R76" s="121"/>
      <c r="S76" s="121"/>
    </row>
    <row r="77" spans="17:19">
      <c r="Q77" s="121"/>
      <c r="R77" s="121"/>
      <c r="S77" s="121"/>
    </row>
    <row r="78" spans="17:19">
      <c r="Q78" s="121"/>
      <c r="R78" s="121"/>
      <c r="S78" s="121"/>
    </row>
    <row r="79" spans="17:19">
      <c r="Q79" s="121"/>
      <c r="R79" s="121"/>
      <c r="S79" s="121"/>
    </row>
    <row r="80" spans="17:19">
      <c r="Q80" s="121"/>
      <c r="R80" s="121"/>
      <c r="S80" s="121"/>
    </row>
    <row r="81" spans="17:19">
      <c r="Q81" s="121"/>
      <c r="R81" s="121"/>
      <c r="S81" s="121"/>
    </row>
    <row r="82" spans="17:19">
      <c r="Q82" s="121"/>
      <c r="R82" s="121"/>
      <c r="S82" s="121"/>
    </row>
    <row r="83" spans="17:19">
      <c r="Q83" s="121"/>
      <c r="R83" s="121"/>
      <c r="S83" s="121"/>
    </row>
    <row r="84" spans="17:19">
      <c r="Q84" s="121"/>
      <c r="R84" s="121"/>
      <c r="S84" s="121"/>
    </row>
    <row r="85" spans="17:19">
      <c r="Q85" s="121"/>
      <c r="R85" s="121"/>
      <c r="S85" s="121"/>
    </row>
    <row r="86" spans="17:19">
      <c r="Q86" s="121"/>
      <c r="R86" s="121"/>
      <c r="S86" s="121"/>
    </row>
    <row r="87" spans="17:19">
      <c r="Q87" s="121"/>
      <c r="R87" s="121"/>
      <c r="S87" s="121"/>
    </row>
    <row r="88" spans="17:19">
      <c r="Q88" s="121"/>
      <c r="R88" s="121"/>
      <c r="S88" s="121"/>
    </row>
    <row r="89" spans="17:19">
      <c r="Q89" s="121"/>
      <c r="R89" s="121"/>
      <c r="S89" s="121"/>
    </row>
    <row r="90" spans="17:19">
      <c r="Q90" s="121"/>
      <c r="R90" s="121"/>
      <c r="S90" s="121"/>
    </row>
    <row r="91" spans="17:19">
      <c r="Q91" s="121"/>
      <c r="R91" s="121"/>
      <c r="S91" s="121"/>
    </row>
    <row r="92" spans="17:19">
      <c r="Q92" s="121"/>
      <c r="R92" s="121"/>
      <c r="S92" s="121"/>
    </row>
    <row r="93" spans="17:19">
      <c r="Q93" s="121"/>
      <c r="R93" s="121"/>
      <c r="S93" s="121"/>
    </row>
    <row r="94" spans="17:19">
      <c r="Q94" s="121"/>
      <c r="R94" s="121"/>
      <c r="S94" s="121"/>
    </row>
    <row r="95" spans="17:19">
      <c r="Q95" s="121"/>
      <c r="R95" s="121"/>
      <c r="S95" s="121"/>
    </row>
    <row r="96" spans="17:19">
      <c r="Q96" s="121"/>
      <c r="R96" s="121"/>
      <c r="S96" s="121"/>
    </row>
    <row r="97" spans="17:19">
      <c r="Q97" s="121"/>
      <c r="R97" s="121"/>
      <c r="S97" s="121"/>
    </row>
    <row r="98" spans="17:19">
      <c r="Q98" s="121"/>
      <c r="R98" s="121"/>
      <c r="S98" s="121"/>
    </row>
    <row r="99" spans="17:19">
      <c r="Q99" s="121"/>
      <c r="R99" s="121"/>
      <c r="S99" s="121"/>
    </row>
    <row r="100" spans="17:19">
      <c r="Q100" s="121"/>
      <c r="R100" s="121"/>
      <c r="S100" s="121"/>
    </row>
    <row r="101" spans="17:19">
      <c r="Q101" s="121"/>
      <c r="R101" s="121"/>
      <c r="S101" s="121"/>
    </row>
    <row r="102" spans="17:19">
      <c r="Q102" s="121"/>
      <c r="R102" s="121"/>
      <c r="S102" s="121"/>
    </row>
    <row r="103" spans="17:19">
      <c r="Q103" s="121"/>
      <c r="R103" s="121"/>
      <c r="S103" s="121"/>
    </row>
    <row r="104" spans="17:19">
      <c r="Q104" s="121"/>
      <c r="R104" s="121"/>
      <c r="S104" s="121"/>
    </row>
    <row r="105" spans="17:19">
      <c r="Q105" s="121"/>
      <c r="R105" s="121"/>
      <c r="S105" s="121"/>
    </row>
    <row r="106" spans="17:19">
      <c r="Q106" s="121"/>
      <c r="R106" s="121"/>
      <c r="S106" s="121"/>
    </row>
    <row r="107" spans="17:19">
      <c r="Q107" s="121"/>
      <c r="R107" s="121"/>
      <c r="S107" s="121"/>
    </row>
    <row r="108" spans="17:19">
      <c r="Q108" s="121"/>
      <c r="R108" s="121"/>
      <c r="S108" s="121"/>
    </row>
    <row r="109" spans="17:19">
      <c r="Q109" s="121"/>
      <c r="R109" s="121"/>
      <c r="S109" s="121"/>
    </row>
    <row r="110" spans="17:19">
      <c r="Q110" s="121"/>
      <c r="R110" s="121"/>
      <c r="S110" s="121"/>
    </row>
    <row r="111" spans="17:19">
      <c r="Q111" s="121"/>
      <c r="R111" s="121"/>
      <c r="S111" s="121"/>
    </row>
    <row r="112" spans="17:19">
      <c r="Q112" s="121"/>
      <c r="R112" s="121"/>
      <c r="S112" s="121"/>
    </row>
    <row r="113" spans="17:19">
      <c r="Q113" s="121"/>
      <c r="R113" s="121"/>
      <c r="S113" s="121"/>
    </row>
    <row r="114" spans="17:19">
      <c r="Q114" s="121"/>
      <c r="R114" s="121"/>
      <c r="S114" s="121"/>
    </row>
    <row r="115" spans="17:19">
      <c r="Q115" s="121"/>
      <c r="R115" s="121"/>
      <c r="S115" s="121"/>
    </row>
    <row r="116" spans="17:19">
      <c r="Q116" s="121"/>
      <c r="R116" s="121"/>
      <c r="S116" s="121"/>
    </row>
    <row r="117" spans="17:19">
      <c r="Q117" s="121"/>
      <c r="R117" s="121"/>
      <c r="S117" s="121"/>
    </row>
    <row r="118" spans="17:19">
      <c r="Q118" s="121"/>
      <c r="R118" s="121"/>
      <c r="S118" s="121"/>
    </row>
    <row r="119" spans="17:19">
      <c r="Q119" s="121"/>
      <c r="R119" s="121"/>
      <c r="S119" s="121"/>
    </row>
    <row r="120" spans="17:19">
      <c r="Q120" s="121"/>
      <c r="R120" s="121"/>
      <c r="S120" s="121"/>
    </row>
    <row r="121" spans="17:19">
      <c r="Q121" s="121"/>
      <c r="R121" s="121"/>
      <c r="S121" s="121"/>
    </row>
    <row r="122" spans="17:19">
      <c r="Q122" s="121"/>
      <c r="R122" s="121"/>
      <c r="S122" s="121"/>
    </row>
    <row r="123" spans="17:19">
      <c r="Q123" s="121"/>
      <c r="R123" s="121"/>
      <c r="S123" s="121"/>
    </row>
    <row r="124" spans="17:19">
      <c r="Q124" s="121"/>
      <c r="R124" s="121"/>
      <c r="S124" s="121"/>
    </row>
    <row r="125" spans="17:19">
      <c r="Q125" s="121"/>
      <c r="R125" s="121"/>
      <c r="S125" s="121"/>
    </row>
    <row r="126" spans="17:19">
      <c r="Q126" s="121"/>
      <c r="R126" s="121"/>
      <c r="S126" s="121"/>
    </row>
    <row r="127" spans="17:19">
      <c r="Q127" s="121"/>
      <c r="R127" s="121"/>
      <c r="S127" s="121"/>
    </row>
    <row r="128" spans="17:19">
      <c r="Q128" s="121"/>
      <c r="R128" s="121"/>
      <c r="S128" s="121"/>
    </row>
    <row r="129" spans="17:19">
      <c r="Q129" s="121"/>
      <c r="R129" s="121"/>
      <c r="S129" s="121"/>
    </row>
    <row r="130" spans="17:19">
      <c r="Q130" s="121"/>
      <c r="R130" s="121"/>
      <c r="S130" s="121"/>
    </row>
    <row r="131" spans="17:19">
      <c r="Q131" s="121"/>
      <c r="R131" s="121"/>
      <c r="S131" s="121"/>
    </row>
    <row r="132" spans="17:19">
      <c r="Q132" s="121"/>
      <c r="R132" s="121"/>
      <c r="S132" s="121"/>
    </row>
    <row r="133" spans="17:19">
      <c r="Q133" s="121"/>
      <c r="R133" s="121"/>
      <c r="S133" s="121"/>
    </row>
    <row r="134" spans="17:19">
      <c r="Q134" s="121"/>
      <c r="R134" s="121"/>
      <c r="S134" s="121"/>
    </row>
    <row r="135" spans="17:19">
      <c r="Q135" s="121"/>
      <c r="R135" s="121"/>
      <c r="S135" s="121"/>
    </row>
    <row r="136" spans="17:19">
      <c r="Q136" s="121"/>
      <c r="R136" s="121"/>
      <c r="S136" s="121"/>
    </row>
    <row r="137" spans="17:19">
      <c r="Q137" s="121"/>
      <c r="R137" s="121"/>
      <c r="S137" s="121"/>
    </row>
    <row r="138" spans="17:19">
      <c r="Q138" s="121"/>
      <c r="R138" s="121"/>
      <c r="S138" s="121"/>
    </row>
    <row r="139" spans="17:19">
      <c r="Q139" s="121"/>
      <c r="R139" s="121"/>
      <c r="S139" s="121"/>
    </row>
    <row r="140" spans="17:19">
      <c r="Q140" s="121"/>
      <c r="R140" s="121"/>
      <c r="S140" s="121"/>
    </row>
    <row r="141" spans="17:19">
      <c r="Q141" s="121"/>
      <c r="R141" s="121"/>
      <c r="S141" s="121"/>
    </row>
    <row r="142" spans="17:19">
      <c r="Q142" s="121"/>
      <c r="R142" s="121"/>
      <c r="S142" s="121"/>
    </row>
    <row r="143" spans="17:19">
      <c r="Q143" s="121"/>
      <c r="R143" s="121"/>
      <c r="S143" s="121"/>
    </row>
    <row r="144" spans="17:19">
      <c r="Q144" s="121"/>
      <c r="R144" s="121"/>
      <c r="S144" s="121"/>
    </row>
    <row r="145" spans="17:19">
      <c r="Q145" s="121"/>
      <c r="R145" s="121"/>
      <c r="S145" s="121"/>
    </row>
    <row r="146" spans="17:19">
      <c r="Q146" s="121"/>
      <c r="R146" s="121"/>
      <c r="S146" s="121"/>
    </row>
    <row r="147" spans="17:19">
      <c r="Q147" s="121"/>
      <c r="R147" s="121"/>
      <c r="S147" s="121"/>
    </row>
    <row r="148" spans="17:19">
      <c r="Q148" s="121"/>
      <c r="R148" s="121"/>
      <c r="S148" s="121"/>
    </row>
    <row r="149" spans="17:19">
      <c r="Q149" s="121"/>
      <c r="R149" s="121"/>
      <c r="S149" s="121"/>
    </row>
    <row r="150" spans="17:19">
      <c r="Q150" s="121"/>
      <c r="R150" s="121"/>
      <c r="S150" s="121"/>
    </row>
    <row r="151" spans="17:19">
      <c r="Q151" s="121"/>
      <c r="R151" s="121"/>
      <c r="S151" s="121"/>
    </row>
    <row r="152" spans="17:19">
      <c r="Q152" s="121"/>
      <c r="R152" s="121"/>
      <c r="S152" s="121"/>
    </row>
    <row r="153" spans="17:19">
      <c r="Q153" s="121"/>
      <c r="R153" s="121"/>
      <c r="S153" s="121"/>
    </row>
    <row r="154" spans="17:19">
      <c r="Q154" s="121"/>
      <c r="R154" s="121"/>
      <c r="S154" s="121"/>
    </row>
    <row r="155" spans="17:19">
      <c r="Q155" s="121"/>
      <c r="R155" s="121"/>
      <c r="S155" s="121"/>
    </row>
    <row r="156" spans="17:19">
      <c r="Q156" s="121"/>
      <c r="R156" s="121"/>
      <c r="S156" s="121"/>
    </row>
    <row r="157" spans="17:19">
      <c r="Q157" s="121"/>
      <c r="R157" s="121"/>
      <c r="S157" s="121"/>
    </row>
    <row r="158" spans="17:19">
      <c r="Q158" s="121"/>
      <c r="R158" s="121"/>
      <c r="S158" s="121"/>
    </row>
    <row r="159" spans="17:19">
      <c r="Q159" s="121"/>
      <c r="R159" s="121"/>
      <c r="S159" s="121"/>
    </row>
    <row r="160" spans="17:19">
      <c r="Q160" s="121"/>
      <c r="R160" s="121"/>
      <c r="S160" s="121"/>
    </row>
    <row r="161" spans="17:19">
      <c r="Q161" s="121"/>
      <c r="R161" s="121"/>
      <c r="S161" s="121"/>
    </row>
    <row r="162" spans="17:19">
      <c r="Q162" s="121"/>
      <c r="R162" s="121"/>
      <c r="S162" s="121"/>
    </row>
    <row r="163" spans="17:19">
      <c r="Q163" s="121"/>
      <c r="R163" s="121"/>
      <c r="S163" s="121"/>
    </row>
    <row r="164" spans="17:19">
      <c r="Q164" s="121"/>
      <c r="R164" s="121"/>
      <c r="S164" s="121"/>
    </row>
    <row r="165" spans="17:19">
      <c r="Q165" s="121"/>
      <c r="R165" s="121"/>
      <c r="S165" s="121"/>
    </row>
    <row r="166" spans="17:19">
      <c r="Q166" s="121"/>
      <c r="R166" s="121"/>
      <c r="S166" s="121"/>
    </row>
    <row r="167" spans="17:19">
      <c r="Q167" s="121"/>
      <c r="R167" s="121"/>
      <c r="S167" s="121"/>
    </row>
    <row r="168" spans="17:19">
      <c r="Q168" s="121"/>
      <c r="R168" s="121"/>
      <c r="S168" s="121"/>
    </row>
    <row r="169" spans="17:19">
      <c r="Q169" s="121"/>
      <c r="R169" s="121"/>
      <c r="S169" s="121"/>
    </row>
    <row r="170" spans="17:19">
      <c r="Q170" s="121"/>
      <c r="R170" s="121"/>
      <c r="S170" s="121"/>
    </row>
    <row r="171" spans="17:19">
      <c r="Q171" s="121"/>
      <c r="R171" s="121"/>
      <c r="S171" s="121"/>
    </row>
    <row r="172" spans="17:19">
      <c r="Q172" s="121"/>
      <c r="R172" s="121"/>
      <c r="S172" s="121"/>
    </row>
    <row r="173" spans="17:19">
      <c r="Q173" s="121"/>
      <c r="R173" s="121"/>
      <c r="S173" s="121"/>
    </row>
    <row r="174" spans="17:19">
      <c r="Q174" s="121"/>
      <c r="R174" s="121"/>
      <c r="S174" s="121"/>
    </row>
    <row r="175" spans="17:19">
      <c r="Q175" s="121"/>
      <c r="R175" s="121"/>
      <c r="S175" s="121"/>
    </row>
    <row r="176" spans="17:19">
      <c r="Q176" s="121"/>
      <c r="R176" s="121"/>
      <c r="S176" s="121"/>
    </row>
    <row r="177" spans="3:19">
      <c r="Q177" s="121"/>
      <c r="R177" s="121"/>
      <c r="S177" s="121"/>
    </row>
    <row r="178" spans="3:19">
      <c r="Q178" s="121"/>
      <c r="R178" s="121"/>
      <c r="S178" s="121"/>
    </row>
    <row r="179" spans="3:19">
      <c r="Q179" s="121"/>
      <c r="R179" s="121"/>
      <c r="S179" s="121"/>
    </row>
    <row r="180" spans="3:19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Q180" s="121"/>
      <c r="R180" s="121"/>
      <c r="S180" s="121"/>
    </row>
    <row r="181" spans="3:19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3:19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3:19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3:19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3:19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3:19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3:19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3:19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3:19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3:19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3:19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3:19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3:19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3:19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3:19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3:19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3:19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3:19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3:19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3:19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3:19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3:19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3:19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3:19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3:19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>
      <c r="P236" s="121"/>
      <c r="Q236" s="121"/>
      <c r="R236" s="121"/>
      <c r="S236" s="121"/>
    </row>
  </sheetData>
  <printOptions horizontalCentered="1"/>
  <pageMargins left="0.75" right="0.75" top="0.54" bottom="0.49" header="0.5" footer="0.5"/>
  <pageSetup scale="59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0"/>
  <sheetViews>
    <sheetView workbookViewId="0"/>
  </sheetViews>
  <sheetFormatPr defaultColWidth="9.33203125" defaultRowHeight="15.7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16" s="1" customFormat="1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2"/>
      <c r="M1" s="179"/>
      <c r="N1" s="4"/>
      <c r="O1" s="4"/>
      <c r="P1" s="4"/>
    </row>
    <row r="2" spans="1:16" s="1" customFormat="1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2"/>
      <c r="M2" s="188"/>
      <c r="N2" s="4"/>
      <c r="O2" s="4"/>
      <c r="P2" s="4"/>
    </row>
    <row r="3" spans="1:16" s="1" customFormat="1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>
      <c r="A4" s="1" t="s">
        <v>186</v>
      </c>
      <c r="C4" s="2"/>
      <c r="D4" s="2"/>
      <c r="E4" s="7"/>
      <c r="F4" s="2"/>
      <c r="G4" s="2"/>
      <c r="H4" s="2"/>
      <c r="I4" s="4"/>
      <c r="K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s="1" customFormat="1">
      <c r="A5" s="207" t="s">
        <v>187</v>
      </c>
      <c r="C5" s="2"/>
      <c r="D5" s="8"/>
      <c r="F5" s="8"/>
      <c r="G5" s="8"/>
      <c r="H5" s="8"/>
      <c r="I5" s="2"/>
      <c r="J5" s="2"/>
      <c r="K5" s="206" t="s">
        <v>125</v>
      </c>
      <c r="L5" s="192"/>
      <c r="M5" s="4"/>
      <c r="N5" s="4"/>
      <c r="O5" s="4"/>
      <c r="P5" s="4"/>
    </row>
    <row r="6" spans="1:16" s="1" customForma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>
      <c r="A7" s="209" t="s">
        <v>130</v>
      </c>
      <c r="B7" s="190"/>
      <c r="C7" s="210"/>
      <c r="D7" s="210"/>
      <c r="E7" s="190"/>
      <c r="F7" s="210"/>
      <c r="G7" s="210"/>
      <c r="H7" s="210"/>
      <c r="I7" s="210"/>
      <c r="J7" s="210"/>
      <c r="K7" s="210"/>
      <c r="L7" s="2"/>
      <c r="M7" s="4"/>
      <c r="N7" s="4"/>
      <c r="O7" s="4"/>
      <c r="P7" s="4"/>
    </row>
    <row r="8" spans="1:16">
      <c r="A8" s="403" t="s">
        <v>389</v>
      </c>
      <c r="B8" s="404"/>
      <c r="C8" s="404"/>
      <c r="D8" s="404"/>
      <c r="E8" s="404"/>
      <c r="F8" s="405"/>
      <c r="G8" s="405"/>
      <c r="H8" s="405"/>
      <c r="I8" s="405"/>
      <c r="J8" s="405"/>
      <c r="K8" s="406"/>
      <c r="L8" s="146"/>
      <c r="M8" s="146"/>
      <c r="N8" s="106"/>
      <c r="O8" s="146"/>
      <c r="P8" s="155"/>
    </row>
    <row r="9" spans="1:16">
      <c r="A9" s="84" t="s">
        <v>1</v>
      </c>
      <c r="C9" s="407"/>
      <c r="D9" s="106"/>
      <c r="E9" s="106"/>
      <c r="F9" s="106"/>
      <c r="G9" s="106"/>
      <c r="H9" s="106"/>
      <c r="I9" s="106"/>
      <c r="J9" s="106"/>
      <c r="K9" s="146"/>
      <c r="L9" s="146"/>
      <c r="M9" s="146"/>
      <c r="N9" s="106"/>
      <c r="O9" s="146"/>
      <c r="P9" s="155"/>
    </row>
    <row r="10" spans="1:16" ht="16.5" thickBot="1">
      <c r="A10" s="408" t="s">
        <v>3</v>
      </c>
      <c r="C10" s="145" t="s">
        <v>204</v>
      </c>
      <c r="D10" s="106"/>
      <c r="E10" s="106"/>
      <c r="F10" s="106"/>
      <c r="G10" s="106"/>
      <c r="H10" s="106"/>
      <c r="K10" s="146"/>
      <c r="L10" s="146"/>
      <c r="M10" s="146"/>
      <c r="N10" s="106"/>
      <c r="O10" s="146"/>
      <c r="P10" s="155"/>
    </row>
    <row r="11" spans="1:16">
      <c r="A11" s="84">
        <v>1</v>
      </c>
      <c r="C11" s="145" t="s">
        <v>205</v>
      </c>
      <c r="D11" s="106"/>
      <c r="E11" s="146"/>
      <c r="F11" s="146"/>
      <c r="G11" s="409" t="s">
        <v>331</v>
      </c>
      <c r="H11" s="146"/>
      <c r="I11" s="146"/>
      <c r="J11" s="410">
        <f>'PTP Pg 2 of 5'!E15</f>
        <v>1189651345</v>
      </c>
      <c r="K11" s="146"/>
      <c r="L11" s="146"/>
      <c r="M11" s="146"/>
      <c r="N11" s="106"/>
      <c r="O11" s="146"/>
      <c r="P11" s="155"/>
    </row>
    <row r="12" spans="1:16">
      <c r="A12" s="84">
        <v>2</v>
      </c>
      <c r="C12" s="145" t="s">
        <v>207</v>
      </c>
      <c r="G12" s="121" t="s">
        <v>206</v>
      </c>
      <c r="J12" s="147">
        <f>ROUND('VA Transmission'!$G$60,0)</f>
        <v>52642796</v>
      </c>
      <c r="K12" s="146"/>
      <c r="L12" s="146"/>
      <c r="M12" s="146"/>
      <c r="N12" s="106"/>
      <c r="O12" s="146"/>
      <c r="P12" s="411"/>
    </row>
    <row r="13" spans="1:16" ht="18.75" thickBot="1">
      <c r="A13" s="84">
        <v>3</v>
      </c>
      <c r="C13" s="195" t="s">
        <v>209</v>
      </c>
      <c r="D13" s="148"/>
      <c r="E13" s="149"/>
      <c r="F13" s="146"/>
      <c r="G13" s="412" t="s">
        <v>208</v>
      </c>
      <c r="H13" s="150"/>
      <c r="I13" s="146"/>
      <c r="J13" s="413">
        <v>0</v>
      </c>
      <c r="K13" s="146"/>
      <c r="L13" s="146"/>
      <c r="M13" s="146"/>
      <c r="N13" s="106"/>
      <c r="O13" s="146"/>
      <c r="P13" s="411"/>
    </row>
    <row r="14" spans="1:16">
      <c r="A14" s="84">
        <v>4</v>
      </c>
      <c r="C14" s="145" t="s">
        <v>340</v>
      </c>
      <c r="D14" s="106"/>
      <c r="E14" s="146"/>
      <c r="F14" s="146"/>
      <c r="G14" s="414" t="s">
        <v>210</v>
      </c>
      <c r="H14" s="150"/>
      <c r="I14" s="146"/>
      <c r="J14" s="410">
        <f>ROUND(J11-J12-J13,0)</f>
        <v>1137008549</v>
      </c>
      <c r="K14" s="146"/>
      <c r="L14" s="146"/>
      <c r="M14" s="146"/>
      <c r="N14" s="106"/>
      <c r="O14" s="146"/>
      <c r="P14" s="155"/>
    </row>
    <row r="15" spans="1:16">
      <c r="A15" s="84"/>
      <c r="D15" s="106"/>
      <c r="E15" s="146"/>
      <c r="F15" s="146"/>
      <c r="G15" s="146"/>
      <c r="H15" s="150"/>
      <c r="I15" s="146"/>
      <c r="J15" s="147"/>
      <c r="K15" s="146"/>
      <c r="L15" s="146"/>
      <c r="M15" s="146"/>
      <c r="N15" s="106"/>
    </row>
    <row r="16" spans="1:16">
      <c r="A16" s="84">
        <v>5</v>
      </c>
      <c r="C16" s="145" t="s">
        <v>341</v>
      </c>
      <c r="D16" s="151"/>
      <c r="E16" s="152"/>
      <c r="F16" s="152"/>
      <c r="G16" s="415" t="s">
        <v>211</v>
      </c>
      <c r="H16" s="153"/>
      <c r="I16" s="146" t="s">
        <v>64</v>
      </c>
      <c r="J16" s="416">
        <f>IF(J11&gt;0,ROUND(J14/J11,5),0)</f>
        <v>0.95574999999999999</v>
      </c>
      <c r="K16" s="146"/>
      <c r="L16" s="146"/>
      <c r="M16" s="146"/>
      <c r="N16" s="106"/>
    </row>
    <row r="17" spans="1:22">
      <c r="A17" s="84"/>
      <c r="J17" s="147"/>
      <c r="K17" s="146"/>
      <c r="L17" s="146"/>
      <c r="M17" s="146"/>
      <c r="N17" s="106"/>
      <c r="R17" s="154"/>
      <c r="S17" s="154"/>
      <c r="T17" s="154"/>
      <c r="U17" s="154"/>
      <c r="V17" s="154"/>
    </row>
    <row r="18" spans="1:22">
      <c r="A18" s="84"/>
      <c r="C18" s="155" t="s">
        <v>65</v>
      </c>
      <c r="J18" s="147"/>
      <c r="K18" s="146"/>
      <c r="L18" s="146"/>
      <c r="M18" s="146"/>
      <c r="N18" s="106"/>
      <c r="R18" s="154"/>
      <c r="S18" s="154"/>
      <c r="T18" s="154"/>
      <c r="U18" s="154"/>
      <c r="V18" s="154"/>
    </row>
    <row r="19" spans="1:22">
      <c r="A19" s="84">
        <v>6</v>
      </c>
      <c r="C19" s="167" t="s">
        <v>216</v>
      </c>
      <c r="E19" s="106"/>
      <c r="F19" s="106"/>
      <c r="G19" s="409" t="s">
        <v>332</v>
      </c>
      <c r="H19" s="156"/>
      <c r="I19" s="106"/>
      <c r="J19" s="410">
        <f>'PTP Pg 3 of 5'!E14</f>
        <v>46190354.789999999</v>
      </c>
      <c r="K19" s="146"/>
      <c r="L19" s="146"/>
      <c r="M19" s="146"/>
      <c r="N19" s="146"/>
      <c r="R19" s="157"/>
      <c r="S19" s="158"/>
      <c r="T19" s="154"/>
      <c r="U19" s="154"/>
      <c r="V19" s="154"/>
    </row>
    <row r="20" spans="1:22" ht="18.75" thickBot="1">
      <c r="A20" s="84">
        <v>7</v>
      </c>
      <c r="C20" s="195" t="s">
        <v>215</v>
      </c>
      <c r="D20" s="148"/>
      <c r="E20" s="149"/>
      <c r="F20" s="157"/>
      <c r="G20" s="412" t="s">
        <v>212</v>
      </c>
      <c r="H20" s="146"/>
      <c r="I20" s="146"/>
      <c r="J20" s="417">
        <f>'Sch 1'!$D$21</f>
        <v>6274911</v>
      </c>
      <c r="K20" s="146"/>
      <c r="L20" s="146"/>
      <c r="M20" s="146"/>
      <c r="N20" s="157"/>
      <c r="R20" s="157"/>
      <c r="S20" s="158"/>
      <c r="T20" s="154"/>
      <c r="U20" s="154"/>
      <c r="V20" s="154"/>
    </row>
    <row r="21" spans="1:22">
      <c r="A21" s="84">
        <v>8</v>
      </c>
      <c r="C21" s="145" t="s">
        <v>214</v>
      </c>
      <c r="D21" s="151"/>
      <c r="E21" s="152"/>
      <c r="F21" s="152"/>
      <c r="G21" s="409" t="s">
        <v>213</v>
      </c>
      <c r="H21" s="153"/>
      <c r="I21" s="152"/>
      <c r="J21" s="410">
        <f>ROUND(J19-J20,0)</f>
        <v>39915444</v>
      </c>
      <c r="M21" s="146"/>
      <c r="N21" s="146"/>
      <c r="S21" s="154"/>
      <c r="T21" s="154"/>
      <c r="U21" s="154"/>
      <c r="V21" s="154"/>
    </row>
    <row r="22" spans="1:22">
      <c r="A22" s="84"/>
      <c r="C22" s="110"/>
      <c r="D22" s="106"/>
      <c r="E22" s="146"/>
      <c r="F22" s="146"/>
      <c r="G22" s="146"/>
      <c r="H22" s="146"/>
      <c r="M22" s="146"/>
      <c r="N22" s="146"/>
      <c r="S22" s="154"/>
      <c r="T22" s="154"/>
      <c r="U22" s="154"/>
      <c r="V22" s="154"/>
    </row>
    <row r="23" spans="1:22">
      <c r="A23" s="84">
        <v>9</v>
      </c>
      <c r="C23" s="145" t="s">
        <v>220</v>
      </c>
      <c r="D23" s="106"/>
      <c r="E23" s="146"/>
      <c r="F23" s="146"/>
      <c r="G23" s="418" t="s">
        <v>217</v>
      </c>
      <c r="H23" s="146"/>
      <c r="I23" s="146"/>
      <c r="J23" s="419">
        <f>ROUND(J21/J19,5)</f>
        <v>0.86414999999999997</v>
      </c>
      <c r="M23" s="146"/>
      <c r="N23" s="146"/>
      <c r="S23" s="159"/>
      <c r="T23" s="154"/>
      <c r="U23" s="154"/>
      <c r="V23" s="154"/>
    </row>
    <row r="24" spans="1:22">
      <c r="A24" s="84">
        <v>10</v>
      </c>
      <c r="C24" s="145" t="s">
        <v>341</v>
      </c>
      <c r="D24" s="106"/>
      <c r="E24" s="146"/>
      <c r="F24" s="146"/>
      <c r="G24" s="412" t="s">
        <v>218</v>
      </c>
      <c r="H24" s="146"/>
      <c r="I24" s="106" t="s">
        <v>9</v>
      </c>
      <c r="J24" s="420">
        <f>J16</f>
        <v>0.95574999999999999</v>
      </c>
      <c r="M24" s="146"/>
      <c r="N24" s="146"/>
      <c r="S24" s="159"/>
      <c r="T24" s="154"/>
      <c r="U24" s="154"/>
      <c r="V24" s="154"/>
    </row>
    <row r="25" spans="1:22">
      <c r="A25" s="84">
        <v>11</v>
      </c>
      <c r="C25" s="145" t="s">
        <v>342</v>
      </c>
      <c r="D25" s="106"/>
      <c r="E25" s="106"/>
      <c r="F25" s="106"/>
      <c r="G25" s="412" t="s">
        <v>219</v>
      </c>
      <c r="H25" s="106"/>
      <c r="I25" s="106" t="s">
        <v>66</v>
      </c>
      <c r="J25" s="421">
        <f>ROUND(J24*J23,5)</f>
        <v>0.82591000000000003</v>
      </c>
      <c r="M25" s="146"/>
      <c r="N25" s="146"/>
      <c r="S25" s="159"/>
      <c r="T25" s="154"/>
      <c r="U25" s="154"/>
      <c r="V25" s="154"/>
    </row>
    <row r="26" spans="1:22">
      <c r="A26" s="84"/>
      <c r="D26" s="106"/>
      <c r="E26" s="146"/>
      <c r="F26" s="146"/>
      <c r="G26" s="146"/>
      <c r="H26" s="150"/>
      <c r="I26" s="146"/>
      <c r="M26" s="146"/>
      <c r="N26" s="146"/>
      <c r="S26" s="160"/>
      <c r="T26" s="154"/>
      <c r="U26" s="154"/>
      <c r="V26" s="154"/>
    </row>
    <row r="27" spans="1:22">
      <c r="A27" s="84" t="s">
        <v>0</v>
      </c>
      <c r="C27" s="194" t="s">
        <v>167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S27" s="158"/>
      <c r="T27" s="154"/>
      <c r="U27" s="154"/>
      <c r="V27" s="154"/>
    </row>
    <row r="28" spans="1:22">
      <c r="A28" s="84" t="s">
        <v>0</v>
      </c>
      <c r="C28" s="155"/>
      <c r="D28" s="422" t="s">
        <v>67</v>
      </c>
      <c r="E28" s="423" t="s">
        <v>230</v>
      </c>
      <c r="F28" s="423" t="s">
        <v>9</v>
      </c>
      <c r="G28" s="146"/>
      <c r="H28" s="423" t="s">
        <v>229</v>
      </c>
      <c r="I28" s="146"/>
      <c r="J28" s="146"/>
      <c r="K28" s="146"/>
      <c r="L28" s="146"/>
      <c r="M28" s="146"/>
      <c r="N28" s="146"/>
      <c r="S28" s="158"/>
      <c r="T28" s="154"/>
      <c r="U28" s="154"/>
      <c r="V28" s="154"/>
    </row>
    <row r="29" spans="1:22">
      <c r="A29" s="84">
        <v>12</v>
      </c>
      <c r="C29" s="155" t="s">
        <v>31</v>
      </c>
      <c r="D29" s="409" t="s">
        <v>174</v>
      </c>
      <c r="E29" s="424">
        <f>'OATT Input Data'!$E$269</f>
        <v>79373567</v>
      </c>
      <c r="F29" s="425">
        <v>0</v>
      </c>
      <c r="G29" s="425"/>
      <c r="H29" s="426">
        <f>ROUND(E29*F29,0)</f>
        <v>0</v>
      </c>
      <c r="I29" s="146"/>
      <c r="J29" s="146"/>
      <c r="K29" s="146"/>
      <c r="L29" s="146"/>
      <c r="M29" s="146"/>
      <c r="N29" s="165"/>
      <c r="S29" s="154"/>
      <c r="T29" s="154"/>
      <c r="U29" s="154"/>
      <c r="V29" s="154"/>
    </row>
    <row r="30" spans="1:22">
      <c r="A30" s="84">
        <v>13</v>
      </c>
      <c r="C30" s="155" t="s">
        <v>33</v>
      </c>
      <c r="D30" s="409" t="s">
        <v>221</v>
      </c>
      <c r="E30" s="161">
        <f>'OATT Input Data'!$E$270</f>
        <v>9196900</v>
      </c>
      <c r="F30" s="419">
        <f>+J16</f>
        <v>0.95574999999999999</v>
      </c>
      <c r="G30" s="425"/>
      <c r="H30" s="161">
        <f t="shared" ref="H30:H32" si="0">ROUND(E30*F30,0)</f>
        <v>8789937</v>
      </c>
      <c r="I30" s="146"/>
      <c r="J30" s="146"/>
      <c r="K30" s="146"/>
      <c r="L30" s="146"/>
      <c r="M30" s="106"/>
      <c r="N30" s="427"/>
    </row>
    <row r="31" spans="1:22">
      <c r="A31" s="84">
        <v>14</v>
      </c>
      <c r="C31" s="155" t="s">
        <v>34</v>
      </c>
      <c r="D31" s="409" t="s">
        <v>222</v>
      </c>
      <c r="E31" s="161">
        <f>'OATT Input Data'!$E$271</f>
        <v>26803734</v>
      </c>
      <c r="F31" s="425">
        <v>0</v>
      </c>
      <c r="G31" s="425"/>
      <c r="H31" s="428">
        <f t="shared" si="0"/>
        <v>0</v>
      </c>
      <c r="I31" s="146"/>
      <c r="J31" s="429" t="s">
        <v>68</v>
      </c>
      <c r="K31" s="146"/>
      <c r="L31" s="146"/>
      <c r="M31" s="146"/>
      <c r="N31" s="427"/>
    </row>
    <row r="32" spans="1:22" ht="22.5" customHeight="1">
      <c r="A32" s="84">
        <v>15</v>
      </c>
      <c r="C32" s="155" t="s">
        <v>69</v>
      </c>
      <c r="D32" s="409" t="s">
        <v>865</v>
      </c>
      <c r="E32" s="430">
        <f>'OATT Input Data'!$E$276</f>
        <v>18031188</v>
      </c>
      <c r="F32" s="425">
        <v>0</v>
      </c>
      <c r="G32" s="425"/>
      <c r="H32" s="413">
        <f t="shared" si="0"/>
        <v>0</v>
      </c>
      <c r="I32" s="146"/>
      <c r="J32" s="431" t="s">
        <v>393</v>
      </c>
      <c r="K32" s="146"/>
      <c r="L32" s="146"/>
      <c r="M32" s="146"/>
      <c r="N32" s="427"/>
    </row>
    <row r="33" spans="1:22">
      <c r="A33" s="84">
        <v>16</v>
      </c>
      <c r="C33" s="194" t="s">
        <v>223</v>
      </c>
      <c r="D33" s="414" t="s">
        <v>224</v>
      </c>
      <c r="E33" s="424">
        <f>ROUND(SUM(E29:E32),0)</f>
        <v>133405389</v>
      </c>
      <c r="F33" s="146"/>
      <c r="G33" s="146"/>
      <c r="H33" s="424">
        <f>ROUND(SUM(H29:H32),0)</f>
        <v>8789937</v>
      </c>
      <c r="I33" s="156" t="s">
        <v>70</v>
      </c>
      <c r="J33" s="419">
        <f>IF(H33&gt;0,ROUND(H33/E33,5),0)</f>
        <v>6.5890000000000004E-2</v>
      </c>
      <c r="K33" s="551" t="s">
        <v>323</v>
      </c>
      <c r="L33" s="146"/>
      <c r="M33" s="146"/>
      <c r="N33" s="146"/>
      <c r="O33" s="146"/>
      <c r="P33" s="155"/>
    </row>
    <row r="34" spans="1:22">
      <c r="A34" s="84"/>
      <c r="C34" s="155"/>
      <c r="D34" s="414"/>
      <c r="E34" s="161"/>
      <c r="F34" s="146"/>
      <c r="G34" s="146"/>
      <c r="H34" s="146"/>
      <c r="I34" s="146"/>
      <c r="J34" s="146"/>
      <c r="K34" s="146"/>
      <c r="L34" s="146"/>
      <c r="M34" s="146" t="s">
        <v>0</v>
      </c>
      <c r="N34" s="146"/>
      <c r="O34" s="146"/>
      <c r="P34" s="155"/>
    </row>
    <row r="35" spans="1:22">
      <c r="A35" s="84"/>
      <c r="C35" s="194" t="s">
        <v>225</v>
      </c>
      <c r="D35" s="414" t="s">
        <v>226</v>
      </c>
      <c r="E35" s="161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5"/>
    </row>
    <row r="36" spans="1:22">
      <c r="A36" s="84"/>
      <c r="C36" s="155"/>
      <c r="D36" s="414"/>
      <c r="E36" s="432" t="s">
        <v>231</v>
      </c>
      <c r="F36" s="146"/>
      <c r="G36" s="146"/>
      <c r="H36" s="150"/>
      <c r="I36" s="433"/>
      <c r="J36" s="434"/>
      <c r="M36" s="146"/>
      <c r="N36" s="146"/>
      <c r="O36" s="146"/>
      <c r="P36" s="157"/>
      <c r="Q36" s="162"/>
    </row>
    <row r="37" spans="1:22">
      <c r="A37" s="84">
        <v>17</v>
      </c>
      <c r="C37" s="155" t="s">
        <v>71</v>
      </c>
      <c r="D37" s="414" t="s">
        <v>72</v>
      </c>
      <c r="E37" s="424">
        <f>ROUND('OATT Input Data'!E281,0)</f>
        <v>10981269334</v>
      </c>
      <c r="F37" s="146"/>
      <c r="H37" s="435"/>
      <c r="I37" s="436"/>
      <c r="J37" s="84"/>
      <c r="K37" s="146"/>
      <c r="L37" s="156"/>
      <c r="M37" s="146"/>
      <c r="N37" s="146"/>
      <c r="O37" s="146"/>
      <c r="P37" s="146"/>
      <c r="Q37" s="146"/>
      <c r="R37" s="163"/>
      <c r="S37" s="161"/>
      <c r="T37" s="163"/>
      <c r="U37" s="163"/>
    </row>
    <row r="38" spans="1:22">
      <c r="A38" s="84">
        <v>18</v>
      </c>
      <c r="C38" s="155" t="s">
        <v>73</v>
      </c>
      <c r="D38" s="414" t="s">
        <v>74</v>
      </c>
      <c r="E38" s="161">
        <f>ROUND('OATT Input Data'!E282,0)</f>
        <v>966619554</v>
      </c>
      <c r="F38" s="146"/>
      <c r="I38" s="150"/>
      <c r="K38" s="433"/>
      <c r="M38" s="146"/>
      <c r="N38" s="146"/>
      <c r="O38" s="146"/>
      <c r="P38" s="155"/>
      <c r="Q38" s="146"/>
      <c r="R38" s="161"/>
      <c r="S38" s="161"/>
      <c r="T38" s="163"/>
      <c r="U38" s="163"/>
    </row>
    <row r="39" spans="1:22" ht="18">
      <c r="A39" s="84">
        <v>19</v>
      </c>
      <c r="C39" s="158" t="s">
        <v>75</v>
      </c>
      <c r="D39" s="437" t="s">
        <v>76</v>
      </c>
      <c r="E39" s="413">
        <f>ROUND('OATT Input Data'!E283,0)</f>
        <v>0</v>
      </c>
      <c r="F39" s="146"/>
      <c r="G39" s="146"/>
      <c r="H39" s="146" t="s">
        <v>0</v>
      </c>
      <c r="I39" s="146"/>
      <c r="J39" s="146"/>
      <c r="K39" s="146"/>
      <c r="L39" s="146"/>
      <c r="M39" s="146"/>
      <c r="N39" s="146"/>
      <c r="O39" s="146"/>
      <c r="P39" s="155"/>
      <c r="R39" s="161"/>
      <c r="S39" s="161"/>
      <c r="T39" s="161"/>
      <c r="U39" s="161"/>
    </row>
    <row r="40" spans="1:22">
      <c r="A40" s="84">
        <v>20</v>
      </c>
      <c r="C40" s="194" t="s">
        <v>228</v>
      </c>
      <c r="D40" s="414" t="s">
        <v>227</v>
      </c>
      <c r="E40" s="424">
        <f>ROUND(SUM(E37:E39),0)</f>
        <v>11947888888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55"/>
      <c r="R40" s="161"/>
      <c r="S40" s="161"/>
      <c r="T40" s="161"/>
      <c r="U40" s="161"/>
    </row>
    <row r="41" spans="1:22">
      <c r="A41" s="84">
        <v>21</v>
      </c>
      <c r="C41" s="438" t="s">
        <v>313</v>
      </c>
      <c r="D41" s="414" t="s">
        <v>314</v>
      </c>
      <c r="F41" s="439">
        <f>IF(E40&gt;0,ROUND(E37/E40,5),0)</f>
        <v>0.91910000000000003</v>
      </c>
      <c r="G41" s="440" t="s">
        <v>324</v>
      </c>
      <c r="H41" s="439">
        <f>J33</f>
        <v>6.5890000000000004E-2</v>
      </c>
      <c r="I41" s="146"/>
      <c r="J41" s="439">
        <f>ROUND(H41*F41,5)</f>
        <v>6.0560000000000003E-2</v>
      </c>
      <c r="K41" s="441" t="s">
        <v>315</v>
      </c>
      <c r="L41" s="146"/>
      <c r="M41" s="146"/>
      <c r="N41" s="146"/>
      <c r="O41" s="146"/>
      <c r="P41" s="155"/>
      <c r="R41" s="161"/>
      <c r="S41" s="161"/>
      <c r="T41" s="161"/>
      <c r="U41" s="161"/>
    </row>
    <row r="42" spans="1:22">
      <c r="A42" s="84"/>
      <c r="C42" s="438"/>
      <c r="D42" s="414"/>
      <c r="F42" s="439"/>
      <c r="G42" s="442"/>
      <c r="H42" s="439"/>
      <c r="I42" s="146"/>
      <c r="J42" s="439"/>
      <c r="K42" s="441"/>
      <c r="L42" s="146"/>
      <c r="M42" s="146"/>
      <c r="N42" s="146"/>
      <c r="O42" s="146"/>
      <c r="P42" s="155"/>
      <c r="R42" s="161"/>
      <c r="S42" s="161"/>
      <c r="T42" s="161"/>
      <c r="U42" s="161"/>
    </row>
    <row r="43" spans="1:22">
      <c r="A43" s="84"/>
      <c r="B43" s="110"/>
      <c r="C43" s="145" t="s">
        <v>316</v>
      </c>
      <c r="D43" s="146"/>
      <c r="E43" s="443" t="s">
        <v>232</v>
      </c>
      <c r="F43" s="146"/>
      <c r="G43" s="146"/>
      <c r="H43" s="146"/>
      <c r="I43" s="146"/>
      <c r="K43" s="146"/>
      <c r="L43" s="146"/>
      <c r="M43" s="146"/>
      <c r="N43" s="146"/>
      <c r="O43" s="146"/>
      <c r="P43" s="156"/>
      <c r="Q43" s="164"/>
      <c r="R43" s="161"/>
      <c r="S43" s="161"/>
      <c r="T43" s="161"/>
      <c r="U43" s="161"/>
    </row>
    <row r="44" spans="1:22">
      <c r="A44" s="84">
        <v>22</v>
      </c>
      <c r="B44" s="110"/>
      <c r="C44" s="444" t="s">
        <v>77</v>
      </c>
      <c r="D44" s="409" t="s">
        <v>343</v>
      </c>
      <c r="E44" s="424">
        <f>'OATT Input Data'!$E$298</f>
        <v>133811886</v>
      </c>
      <c r="F44" s="146"/>
      <c r="H44" s="146"/>
      <c r="I44" s="146"/>
      <c r="K44" s="146"/>
      <c r="L44" s="146"/>
      <c r="M44" s="146"/>
      <c r="N44" s="146"/>
      <c r="O44" s="165"/>
      <c r="P44" s="146"/>
      <c r="Q44" s="146"/>
      <c r="R44" s="163"/>
      <c r="S44" s="163"/>
      <c r="T44" s="163"/>
      <c r="U44" s="163"/>
    </row>
    <row r="45" spans="1:22">
      <c r="A45" s="84">
        <v>23</v>
      </c>
      <c r="B45" s="110"/>
      <c r="C45" s="444" t="s">
        <v>126</v>
      </c>
      <c r="D45" s="409" t="s">
        <v>233</v>
      </c>
      <c r="E45" s="428">
        <v>0</v>
      </c>
      <c r="F45" s="146"/>
      <c r="H45" s="146"/>
      <c r="I45" s="146"/>
      <c r="K45" s="146"/>
      <c r="L45" s="146"/>
      <c r="M45" s="146"/>
      <c r="N45" s="146"/>
      <c r="O45" s="146"/>
      <c r="P45" s="166"/>
      <c r="Q45" s="166"/>
      <c r="R45" s="161"/>
      <c r="S45" s="161"/>
      <c r="T45" s="161"/>
      <c r="U45" s="161"/>
    </row>
    <row r="46" spans="1:22">
      <c r="A46" s="84"/>
      <c r="B46" s="110"/>
      <c r="C46" s="145" t="s">
        <v>129</v>
      </c>
      <c r="D46" s="146"/>
      <c r="E46" s="146"/>
      <c r="F46" s="146"/>
      <c r="G46" s="146"/>
      <c r="H46" s="146"/>
      <c r="I46" s="146"/>
      <c r="K46" s="146"/>
      <c r="L46" s="146"/>
      <c r="M46" s="146"/>
      <c r="N46" s="146"/>
      <c r="O46" s="146"/>
      <c r="P46" s="166"/>
      <c r="Q46" s="166"/>
      <c r="R46" s="163"/>
      <c r="S46" s="163"/>
      <c r="T46" s="163"/>
      <c r="U46" s="163"/>
      <c r="V46" s="167"/>
    </row>
    <row r="47" spans="1:22">
      <c r="A47" s="84">
        <v>24</v>
      </c>
      <c r="B47" s="110"/>
      <c r="C47" s="444" t="s">
        <v>78</v>
      </c>
      <c r="D47" s="409" t="s">
        <v>344</v>
      </c>
      <c r="E47" s="424">
        <f>'OATT Input Data'!$E$314</f>
        <v>4619623241</v>
      </c>
      <c r="F47" s="146"/>
      <c r="H47" s="146"/>
      <c r="I47" s="146"/>
      <c r="K47" s="146"/>
      <c r="L47" s="146"/>
      <c r="M47" s="146"/>
      <c r="N47" s="146"/>
      <c r="O47" s="146"/>
      <c r="P47" s="146"/>
      <c r="Q47" s="146"/>
      <c r="R47" s="163"/>
      <c r="S47" s="163"/>
      <c r="T47" s="163"/>
      <c r="U47" s="163"/>
      <c r="V47" s="167"/>
    </row>
    <row r="48" spans="1:22">
      <c r="A48" s="84">
        <v>25</v>
      </c>
      <c r="B48" s="110"/>
      <c r="C48" s="444" t="s">
        <v>318</v>
      </c>
      <c r="D48" s="409" t="s">
        <v>345</v>
      </c>
      <c r="E48" s="445">
        <f>-E54</f>
        <v>0</v>
      </c>
      <c r="F48" s="146"/>
      <c r="H48" s="146"/>
      <c r="I48" s="146"/>
      <c r="K48" s="146"/>
      <c r="L48" s="146"/>
      <c r="M48" s="146"/>
      <c r="N48" s="146"/>
      <c r="O48" s="146"/>
      <c r="P48" s="168"/>
      <c r="Q48" s="150"/>
      <c r="R48" s="163"/>
      <c r="S48" s="163"/>
      <c r="T48" s="163"/>
      <c r="U48" s="163"/>
    </row>
    <row r="49" spans="1:21" ht="33.75">
      <c r="A49" s="84">
        <v>26</v>
      </c>
      <c r="B49" s="110"/>
      <c r="C49" s="205" t="s">
        <v>234</v>
      </c>
      <c r="D49" s="414" t="s">
        <v>235</v>
      </c>
      <c r="E49" s="417">
        <f>'OATT Input Data'!$E$325</f>
        <v>-1627215</v>
      </c>
      <c r="F49" s="146"/>
      <c r="H49" s="146"/>
      <c r="I49" s="146"/>
      <c r="K49" s="146"/>
      <c r="L49" s="146"/>
      <c r="M49" s="146"/>
      <c r="N49" s="146"/>
      <c r="O49" s="146"/>
      <c r="P49" s="156"/>
      <c r="Q49" s="164"/>
      <c r="R49" s="163"/>
      <c r="S49" s="163"/>
      <c r="T49" s="163"/>
      <c r="U49" s="163"/>
    </row>
    <row r="50" spans="1:21">
      <c r="A50" s="84">
        <v>27</v>
      </c>
      <c r="B50" s="110"/>
      <c r="C50" s="446" t="s">
        <v>346</v>
      </c>
      <c r="D50" s="447" t="s">
        <v>325</v>
      </c>
      <c r="E50" s="424">
        <f>ROUND(SUM(E47:E49),0)</f>
        <v>4617996026</v>
      </c>
      <c r="F50" s="110"/>
      <c r="H50" s="448"/>
      <c r="I50" s="110"/>
      <c r="K50" s="146"/>
      <c r="L50" s="146"/>
      <c r="M50" s="146"/>
      <c r="N50" s="146"/>
      <c r="O50" s="146"/>
      <c r="P50" s="146"/>
      <c r="Q50" s="146"/>
      <c r="R50" s="163"/>
      <c r="S50" s="163"/>
      <c r="T50" s="161"/>
      <c r="U50" s="161"/>
    </row>
    <row r="51" spans="1:21">
      <c r="A51" s="84"/>
      <c r="B51" s="110"/>
      <c r="C51" s="110"/>
      <c r="D51" s="146"/>
      <c r="E51" s="110"/>
      <c r="F51" s="110"/>
      <c r="G51" s="449"/>
      <c r="H51" s="84" t="s">
        <v>237</v>
      </c>
      <c r="I51" s="110"/>
      <c r="J51" s="424"/>
      <c r="K51" s="146"/>
      <c r="L51" s="146"/>
      <c r="M51" s="146"/>
      <c r="N51" s="146"/>
      <c r="O51" s="146"/>
      <c r="P51" s="146"/>
      <c r="Q51" s="146"/>
      <c r="R51" s="163"/>
      <c r="S51" s="163"/>
      <c r="T51" s="161"/>
      <c r="U51" s="161"/>
    </row>
    <row r="52" spans="1:21">
      <c r="A52" s="84"/>
      <c r="C52" s="155" t="s">
        <v>347</v>
      </c>
      <c r="D52" s="146"/>
      <c r="E52" s="450" t="s">
        <v>327</v>
      </c>
      <c r="F52" s="451" t="s">
        <v>79</v>
      </c>
      <c r="G52" s="146"/>
      <c r="H52" s="450" t="s">
        <v>138</v>
      </c>
      <c r="I52" s="146"/>
      <c r="J52" s="451" t="s">
        <v>80</v>
      </c>
      <c r="K52" s="146"/>
      <c r="L52" s="146"/>
      <c r="M52" s="146"/>
      <c r="N52" s="146"/>
      <c r="O52" s="146"/>
      <c r="P52" s="156"/>
      <c r="Q52" s="164"/>
      <c r="R52" s="161"/>
      <c r="S52" s="161"/>
      <c r="T52" s="161"/>
      <c r="U52" s="161"/>
    </row>
    <row r="53" spans="1:21">
      <c r="A53" s="84">
        <v>28</v>
      </c>
      <c r="C53" s="145" t="s">
        <v>282</v>
      </c>
      <c r="D53" s="412" t="s">
        <v>402</v>
      </c>
      <c r="E53" s="424">
        <f>'OATT Input Data'!$E$333</f>
        <v>3995860070</v>
      </c>
      <c r="F53" s="452">
        <f>ROUND(E53/E56,4)</f>
        <v>0.46389999999999998</v>
      </c>
      <c r="G53" s="453"/>
      <c r="H53" s="453">
        <f>IF(E53&gt;0.01,ROUND(E44/E53,4),0)</f>
        <v>3.3500000000000002E-2</v>
      </c>
      <c r="J53" s="454">
        <f>ROUND(F53*H53,4)</f>
        <v>1.55E-2</v>
      </c>
      <c r="K53" s="551" t="s">
        <v>326</v>
      </c>
      <c r="M53" s="146"/>
      <c r="N53" s="146"/>
      <c r="O53" s="146"/>
      <c r="P53" s="156"/>
      <c r="Q53" s="164"/>
      <c r="R53" s="161"/>
      <c r="S53" s="161"/>
      <c r="T53" s="161"/>
      <c r="U53" s="161"/>
    </row>
    <row r="54" spans="1:21">
      <c r="A54" s="84">
        <v>29</v>
      </c>
      <c r="C54" s="145" t="s">
        <v>283</v>
      </c>
      <c r="D54" s="121" t="s">
        <v>236</v>
      </c>
      <c r="E54" s="428">
        <v>0</v>
      </c>
      <c r="F54" s="452">
        <f>ROUND(E54/E56,4)+0.000001</f>
        <v>9.9999999999999995E-7</v>
      </c>
      <c r="G54" s="453"/>
      <c r="H54" s="453">
        <f>IF(E54&gt;0.01,E45/E54,0.00001)</f>
        <v>1.0000000000000001E-5</v>
      </c>
      <c r="J54" s="454">
        <f>F54*H54</f>
        <v>1.0000000000000001E-11</v>
      </c>
      <c r="K54" s="146"/>
      <c r="M54" s="146"/>
      <c r="N54" s="146"/>
      <c r="O54" s="146"/>
      <c r="P54" s="156"/>
      <c r="Q54" s="164"/>
      <c r="R54" s="161"/>
      <c r="S54" s="161"/>
      <c r="T54" s="161"/>
      <c r="U54" s="161"/>
    </row>
    <row r="55" spans="1:21">
      <c r="A55" s="84">
        <v>30</v>
      </c>
      <c r="C55" s="145" t="s">
        <v>284</v>
      </c>
      <c r="D55" s="412" t="s">
        <v>348</v>
      </c>
      <c r="E55" s="455">
        <f>E50</f>
        <v>4617996026</v>
      </c>
      <c r="F55" s="452">
        <f>ROUND(E55/E56,4)</f>
        <v>0.53610000000000002</v>
      </c>
      <c r="G55" s="453"/>
      <c r="H55" s="453">
        <v>0.10879999999999999</v>
      </c>
      <c r="J55" s="456">
        <f t="shared" ref="J55" si="1">ROUND(F55*H55,4)</f>
        <v>5.8299999999999998E-2</v>
      </c>
      <c r="K55" s="146"/>
      <c r="M55" s="146"/>
      <c r="N55" s="146"/>
      <c r="O55" s="165"/>
      <c r="P55" s="166"/>
      <c r="Q55" s="166"/>
      <c r="R55" s="161"/>
      <c r="S55" s="161"/>
      <c r="T55" s="161"/>
      <c r="U55" s="161"/>
    </row>
    <row r="56" spans="1:21">
      <c r="A56" s="84">
        <v>31</v>
      </c>
      <c r="C56" s="194" t="s">
        <v>285</v>
      </c>
      <c r="D56" s="412" t="s">
        <v>328</v>
      </c>
      <c r="E56" s="424">
        <f>ROUND(SUM(E53:E55),0)</f>
        <v>8613856096</v>
      </c>
      <c r="F56" s="146" t="s">
        <v>0</v>
      </c>
      <c r="G56" s="146"/>
      <c r="H56" s="146"/>
      <c r="I56" s="146"/>
      <c r="J56" s="454">
        <f>SUM(J53:J55)</f>
        <v>7.3800000010000005E-2</v>
      </c>
      <c r="K56" s="551" t="s">
        <v>317</v>
      </c>
      <c r="M56" s="146"/>
      <c r="N56" s="146"/>
      <c r="O56" s="165"/>
      <c r="P56" s="166"/>
      <c r="Q56" s="166"/>
      <c r="R56" s="161"/>
      <c r="S56" s="161"/>
      <c r="T56" s="161"/>
      <c r="U56" s="161"/>
    </row>
    <row r="57" spans="1:21">
      <c r="A57" s="84"/>
      <c r="L57" s="146"/>
      <c r="M57" s="146"/>
      <c r="N57" s="146"/>
      <c r="O57" s="165"/>
      <c r="P57" s="146"/>
      <c r="Q57" s="146"/>
      <c r="R57" s="163"/>
      <c r="S57" s="161"/>
      <c r="T57" s="163"/>
      <c r="U57" s="163"/>
    </row>
    <row r="58" spans="1:21">
      <c r="A58" s="84"/>
      <c r="C58" s="457" t="s">
        <v>81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46"/>
      <c r="N58" s="150"/>
      <c r="P58" s="166"/>
      <c r="Q58" s="169"/>
    </row>
    <row r="59" spans="1:21">
      <c r="A59" s="84"/>
      <c r="C59" s="457" t="s">
        <v>83</v>
      </c>
      <c r="D59" s="110"/>
      <c r="G59" s="110"/>
      <c r="H59" s="89" t="s">
        <v>0</v>
      </c>
      <c r="I59" s="449"/>
      <c r="J59" s="451" t="s">
        <v>82</v>
      </c>
      <c r="K59" s="1"/>
      <c r="O59" s="146"/>
      <c r="P59" s="168"/>
      <c r="Q59" s="150"/>
    </row>
    <row r="60" spans="1:21">
      <c r="A60" s="84">
        <v>32</v>
      </c>
      <c r="C60" s="167" t="s">
        <v>403</v>
      </c>
      <c r="D60" s="110"/>
      <c r="F60" s="447" t="s">
        <v>319</v>
      </c>
      <c r="G60" s="110"/>
      <c r="J60" s="458">
        <v>0</v>
      </c>
      <c r="K60" s="552"/>
      <c r="O60" s="146"/>
      <c r="P60" s="155"/>
    </row>
    <row r="61" spans="1:21" ht="18">
      <c r="A61" s="84">
        <v>33</v>
      </c>
      <c r="C61" s="459" t="s">
        <v>404</v>
      </c>
      <c r="D61" s="460"/>
      <c r="E61" s="461"/>
      <c r="F61" s="447" t="s">
        <v>330</v>
      </c>
      <c r="G61" s="462"/>
      <c r="I61" s="110"/>
      <c r="J61" s="463">
        <f>+J60</f>
        <v>0</v>
      </c>
      <c r="K61" s="553"/>
      <c r="O61" s="146"/>
      <c r="P61" s="155"/>
    </row>
    <row r="62" spans="1:21">
      <c r="A62" s="84">
        <v>34</v>
      </c>
      <c r="C62" s="167" t="s">
        <v>405</v>
      </c>
      <c r="D62" s="106"/>
      <c r="F62" s="464" t="s">
        <v>329</v>
      </c>
      <c r="G62" s="462"/>
      <c r="I62" s="110"/>
      <c r="J62" s="465">
        <f>+J60-J61</f>
        <v>0</v>
      </c>
      <c r="K62" s="552"/>
      <c r="O62" s="146"/>
      <c r="P62" s="155"/>
    </row>
    <row r="63" spans="1:21">
      <c r="A63" s="84"/>
      <c r="C63" s="167" t="s">
        <v>0</v>
      </c>
      <c r="D63" s="106"/>
      <c r="F63" s="110"/>
      <c r="G63" s="110"/>
      <c r="H63" s="466"/>
      <c r="I63" s="110"/>
      <c r="J63" s="58" t="s">
        <v>0</v>
      </c>
      <c r="K63" s="1"/>
      <c r="L63" s="170"/>
      <c r="M63" s="146"/>
      <c r="N63" s="150"/>
      <c r="O63" s="146"/>
      <c r="P63" s="155"/>
    </row>
    <row r="64" spans="1:21">
      <c r="A64" s="84">
        <v>35</v>
      </c>
      <c r="C64" s="145" t="s">
        <v>241</v>
      </c>
      <c r="D64" s="106"/>
      <c r="F64" s="447" t="s">
        <v>239</v>
      </c>
      <c r="G64" s="110"/>
      <c r="H64" s="467"/>
      <c r="I64" s="110"/>
      <c r="J64" s="468">
        <v>0</v>
      </c>
      <c r="K64" s="1"/>
      <c r="L64" s="170"/>
      <c r="M64" s="146"/>
      <c r="N64" s="150"/>
      <c r="O64" s="146"/>
      <c r="P64" s="155"/>
    </row>
    <row r="65" spans="1:19">
      <c r="C65" s="145" t="s">
        <v>240</v>
      </c>
      <c r="D65" s="110"/>
      <c r="E65" s="449" t="s">
        <v>84</v>
      </c>
      <c r="F65" s="447" t="s">
        <v>406</v>
      </c>
      <c r="G65" s="110"/>
      <c r="H65" s="110"/>
      <c r="I65" s="110"/>
      <c r="L65" s="171"/>
      <c r="M65" s="146"/>
      <c r="N65" s="150"/>
      <c r="O65" s="106"/>
      <c r="P65" s="150"/>
    </row>
    <row r="66" spans="1:19">
      <c r="A66" s="84">
        <v>36</v>
      </c>
      <c r="C66" s="457" t="s">
        <v>85</v>
      </c>
      <c r="D66" s="146"/>
      <c r="E66" s="146"/>
      <c r="F66" s="146"/>
      <c r="G66" s="146"/>
      <c r="H66" s="146"/>
      <c r="I66" s="146"/>
      <c r="J66" s="469">
        <f>'OATT Input Data'!$E$341</f>
        <v>27354398</v>
      </c>
      <c r="K66" s="8"/>
      <c r="L66" s="171"/>
      <c r="M66" s="146"/>
      <c r="N66" s="150"/>
      <c r="O66" s="106"/>
      <c r="P66" s="470"/>
      <c r="Q66" s="470"/>
    </row>
    <row r="67" spans="1:19" ht="18">
      <c r="A67" s="84">
        <v>37</v>
      </c>
      <c r="C67" s="471" t="s">
        <v>86</v>
      </c>
      <c r="D67" s="472"/>
      <c r="E67" s="472"/>
      <c r="F67" s="462"/>
      <c r="G67" s="462"/>
      <c r="H67" s="110"/>
      <c r="I67" s="110"/>
      <c r="J67" s="473">
        <f>'OATT Input Data'!$E$451</f>
        <v>25213757</v>
      </c>
      <c r="L67" s="172"/>
      <c r="M67" s="110"/>
      <c r="N67" s="84"/>
      <c r="O67" s="106"/>
      <c r="P67" s="474"/>
    </row>
    <row r="68" spans="1:19">
      <c r="A68" s="84">
        <v>38</v>
      </c>
      <c r="C68" s="167" t="s">
        <v>238</v>
      </c>
      <c r="D68" s="84"/>
      <c r="E68" s="146"/>
      <c r="F68" s="464" t="s">
        <v>349</v>
      </c>
      <c r="G68" s="146"/>
      <c r="H68" s="146"/>
      <c r="I68" s="110"/>
      <c r="J68" s="128">
        <f>+J66-J67</f>
        <v>2140641</v>
      </c>
      <c r="K68" s="8"/>
      <c r="L68" s="8"/>
      <c r="M68" s="110"/>
      <c r="N68" s="84"/>
      <c r="O68" s="106"/>
      <c r="P68" s="474"/>
    </row>
    <row r="69" spans="1:19">
      <c r="C69" s="167"/>
      <c r="Q69" s="121"/>
      <c r="R69" s="121"/>
      <c r="S69" s="121"/>
    </row>
    <row r="70" spans="1:19">
      <c r="Q70" s="121"/>
      <c r="R70" s="121"/>
      <c r="S70" s="121"/>
    </row>
    <row r="71" spans="1:19">
      <c r="Q71" s="121"/>
      <c r="R71" s="121"/>
      <c r="S71" s="121"/>
    </row>
    <row r="72" spans="1:19">
      <c r="Q72" s="121"/>
      <c r="R72" s="121"/>
      <c r="S72" s="121"/>
    </row>
    <row r="73" spans="1:19">
      <c r="Q73" s="121"/>
      <c r="R73" s="121"/>
      <c r="S73" s="121"/>
    </row>
    <row r="74" spans="1:19">
      <c r="Q74" s="121"/>
      <c r="R74" s="121"/>
      <c r="S74" s="121"/>
    </row>
    <row r="75" spans="1:19">
      <c r="Q75" s="121"/>
      <c r="R75" s="121"/>
      <c r="S75" s="121"/>
    </row>
    <row r="76" spans="1:19">
      <c r="Q76" s="121"/>
      <c r="R76" s="121"/>
      <c r="S76" s="121"/>
    </row>
    <row r="77" spans="1:19">
      <c r="Q77" s="121"/>
      <c r="R77" s="121"/>
      <c r="S77" s="121"/>
    </row>
    <row r="78" spans="1:19">
      <c r="Q78" s="121"/>
      <c r="R78" s="121"/>
      <c r="S78" s="121"/>
    </row>
    <row r="79" spans="1:19">
      <c r="Q79" s="121"/>
      <c r="R79" s="121"/>
      <c r="S79" s="121"/>
    </row>
    <row r="80" spans="1:19">
      <c r="Q80" s="121"/>
      <c r="R80" s="121"/>
      <c r="S80" s="121"/>
    </row>
    <row r="81" spans="17:19">
      <c r="Q81" s="121"/>
      <c r="R81" s="121"/>
      <c r="S81" s="121"/>
    </row>
    <row r="82" spans="17:19">
      <c r="Q82" s="121"/>
      <c r="R82" s="121"/>
      <c r="S82" s="121"/>
    </row>
    <row r="83" spans="17:19">
      <c r="Q83" s="121"/>
      <c r="R83" s="121"/>
      <c r="S83" s="121"/>
    </row>
    <row r="84" spans="17:19">
      <c r="Q84" s="121"/>
      <c r="R84" s="121"/>
      <c r="S84" s="121"/>
    </row>
    <row r="85" spans="17:19">
      <c r="Q85" s="121"/>
      <c r="R85" s="121"/>
      <c r="S85" s="121"/>
    </row>
    <row r="86" spans="17:19">
      <c r="Q86" s="121"/>
      <c r="R86" s="121"/>
      <c r="S86" s="121"/>
    </row>
    <row r="87" spans="17:19">
      <c r="Q87" s="121"/>
      <c r="R87" s="121"/>
      <c r="S87" s="121"/>
    </row>
    <row r="88" spans="17:19">
      <c r="Q88" s="121"/>
      <c r="R88" s="121"/>
      <c r="S88" s="121"/>
    </row>
    <row r="89" spans="17:19">
      <c r="Q89" s="121"/>
      <c r="R89" s="121"/>
      <c r="S89" s="121"/>
    </row>
    <row r="90" spans="17:19">
      <c r="Q90" s="121"/>
      <c r="R90" s="121"/>
      <c r="S90" s="121"/>
    </row>
    <row r="91" spans="17:19">
      <c r="Q91" s="121"/>
      <c r="R91" s="121"/>
      <c r="S91" s="121"/>
    </row>
    <row r="92" spans="17:19">
      <c r="Q92" s="121"/>
      <c r="R92" s="121"/>
      <c r="S92" s="121"/>
    </row>
    <row r="93" spans="17:19">
      <c r="Q93" s="121"/>
      <c r="R93" s="121"/>
      <c r="S93" s="121"/>
    </row>
    <row r="94" spans="17:19">
      <c r="Q94" s="121"/>
      <c r="R94" s="121"/>
      <c r="S94" s="121"/>
    </row>
    <row r="95" spans="17:19">
      <c r="Q95" s="121"/>
      <c r="R95" s="121"/>
      <c r="S95" s="121"/>
    </row>
    <row r="96" spans="17:19">
      <c r="Q96" s="121"/>
      <c r="R96" s="121"/>
      <c r="S96" s="121"/>
    </row>
    <row r="97" spans="17:19">
      <c r="Q97" s="121"/>
      <c r="R97" s="121"/>
      <c r="S97" s="121"/>
    </row>
    <row r="98" spans="17:19">
      <c r="Q98" s="121"/>
      <c r="R98" s="121"/>
      <c r="S98" s="121"/>
    </row>
    <row r="99" spans="17:19">
      <c r="Q99" s="121"/>
      <c r="R99" s="121"/>
      <c r="S99" s="121"/>
    </row>
    <row r="100" spans="17:19">
      <c r="Q100" s="121"/>
      <c r="R100" s="121"/>
      <c r="S100" s="121"/>
    </row>
    <row r="101" spans="17:19">
      <c r="Q101" s="121"/>
      <c r="R101" s="121"/>
      <c r="S101" s="121"/>
    </row>
    <row r="102" spans="17:19">
      <c r="Q102" s="121"/>
      <c r="R102" s="121"/>
      <c r="S102" s="121"/>
    </row>
    <row r="103" spans="17:19">
      <c r="Q103" s="121"/>
      <c r="R103" s="121"/>
      <c r="S103" s="121"/>
    </row>
    <row r="104" spans="17:19">
      <c r="Q104" s="121"/>
      <c r="R104" s="121"/>
      <c r="S104" s="121"/>
    </row>
    <row r="105" spans="17:19">
      <c r="Q105" s="121"/>
      <c r="R105" s="121"/>
      <c r="S105" s="121"/>
    </row>
    <row r="106" spans="17:19">
      <c r="Q106" s="121"/>
      <c r="R106" s="121"/>
      <c r="S106" s="121"/>
    </row>
    <row r="107" spans="17:19">
      <c r="Q107" s="121"/>
      <c r="R107" s="121"/>
      <c r="S107" s="121"/>
    </row>
    <row r="108" spans="17:19">
      <c r="Q108" s="121"/>
      <c r="R108" s="121"/>
      <c r="S108" s="121"/>
    </row>
    <row r="109" spans="17:19">
      <c r="Q109" s="121"/>
      <c r="R109" s="121"/>
      <c r="S109" s="121"/>
    </row>
    <row r="110" spans="17:19">
      <c r="Q110" s="121"/>
      <c r="R110" s="121"/>
      <c r="S110" s="121"/>
    </row>
    <row r="111" spans="17:19">
      <c r="Q111" s="121"/>
      <c r="R111" s="121"/>
      <c r="S111" s="121"/>
    </row>
    <row r="112" spans="17:19">
      <c r="Q112" s="121"/>
      <c r="R112" s="121"/>
      <c r="S112" s="121"/>
    </row>
    <row r="113" spans="17:19">
      <c r="Q113" s="121"/>
      <c r="R113" s="121"/>
      <c r="S113" s="121"/>
    </row>
    <row r="114" spans="17:19">
      <c r="Q114" s="121"/>
      <c r="R114" s="121"/>
      <c r="S114" s="121"/>
    </row>
    <row r="115" spans="17:19">
      <c r="Q115" s="121"/>
      <c r="R115" s="121"/>
      <c r="S115" s="121"/>
    </row>
    <row r="116" spans="17:19">
      <c r="Q116" s="121"/>
      <c r="R116" s="121"/>
      <c r="S116" s="121"/>
    </row>
    <row r="117" spans="17:19">
      <c r="Q117" s="121"/>
      <c r="R117" s="121"/>
      <c r="S117" s="121"/>
    </row>
    <row r="118" spans="17:19">
      <c r="Q118" s="121"/>
      <c r="R118" s="121"/>
      <c r="S118" s="121"/>
    </row>
    <row r="119" spans="17:19">
      <c r="Q119" s="121"/>
      <c r="R119" s="121"/>
      <c r="S119" s="121"/>
    </row>
    <row r="120" spans="17:19">
      <c r="Q120" s="121"/>
      <c r="R120" s="121"/>
      <c r="S120" s="121"/>
    </row>
    <row r="121" spans="17:19">
      <c r="Q121" s="121"/>
      <c r="R121" s="121"/>
      <c r="S121" s="121"/>
    </row>
    <row r="122" spans="17:19">
      <c r="Q122" s="121"/>
      <c r="R122" s="121"/>
      <c r="S122" s="121"/>
    </row>
    <row r="123" spans="17:19">
      <c r="Q123" s="121"/>
      <c r="R123" s="121"/>
      <c r="S123" s="121"/>
    </row>
    <row r="124" spans="17:19">
      <c r="Q124" s="121"/>
      <c r="R124" s="121"/>
      <c r="S124" s="121"/>
    </row>
    <row r="125" spans="17:19">
      <c r="Q125" s="121"/>
      <c r="R125" s="121"/>
      <c r="S125" s="121"/>
    </row>
    <row r="126" spans="17:19">
      <c r="Q126" s="121"/>
      <c r="R126" s="121"/>
      <c r="S126" s="121"/>
    </row>
    <row r="127" spans="17:19">
      <c r="Q127" s="121"/>
      <c r="R127" s="121"/>
      <c r="S127" s="121"/>
    </row>
    <row r="128" spans="17:19">
      <c r="Q128" s="121"/>
      <c r="R128" s="121"/>
      <c r="S128" s="121"/>
    </row>
    <row r="129" spans="17:19">
      <c r="Q129" s="121"/>
      <c r="R129" s="121"/>
      <c r="S129" s="121"/>
    </row>
    <row r="130" spans="17:19">
      <c r="Q130" s="121"/>
      <c r="R130" s="121"/>
      <c r="S130" s="121"/>
    </row>
    <row r="131" spans="17:19">
      <c r="Q131" s="121"/>
      <c r="R131" s="121"/>
      <c r="S131" s="121"/>
    </row>
    <row r="132" spans="17:19">
      <c r="Q132" s="121"/>
      <c r="R132" s="121"/>
      <c r="S132" s="121"/>
    </row>
    <row r="133" spans="17:19">
      <c r="Q133" s="121"/>
      <c r="R133" s="121"/>
      <c r="S133" s="121"/>
    </row>
    <row r="134" spans="17:19">
      <c r="Q134" s="121"/>
      <c r="R134" s="121"/>
      <c r="S134" s="121"/>
    </row>
    <row r="135" spans="17:19">
      <c r="Q135" s="121"/>
      <c r="R135" s="121"/>
      <c r="S135" s="121"/>
    </row>
    <row r="136" spans="17:19">
      <c r="Q136" s="121"/>
      <c r="R136" s="121"/>
      <c r="S136" s="121"/>
    </row>
    <row r="137" spans="17:19">
      <c r="Q137" s="121"/>
      <c r="R137" s="121"/>
      <c r="S137" s="121"/>
    </row>
    <row r="138" spans="17:19">
      <c r="Q138" s="121"/>
      <c r="R138" s="121"/>
      <c r="S138" s="121"/>
    </row>
    <row r="139" spans="17:19">
      <c r="Q139" s="121"/>
      <c r="R139" s="121"/>
      <c r="S139" s="121"/>
    </row>
    <row r="140" spans="17:19">
      <c r="Q140" s="121"/>
      <c r="R140" s="121"/>
      <c r="S140" s="121"/>
    </row>
    <row r="141" spans="17:19">
      <c r="Q141" s="121"/>
      <c r="R141" s="121"/>
      <c r="S141" s="121"/>
    </row>
    <row r="142" spans="17:19">
      <c r="Q142" s="121"/>
      <c r="R142" s="121"/>
      <c r="S142" s="121"/>
    </row>
    <row r="143" spans="17:19">
      <c r="Q143" s="121"/>
      <c r="R143" s="121"/>
      <c r="S143" s="121"/>
    </row>
    <row r="144" spans="17:19">
      <c r="Q144" s="121"/>
      <c r="R144" s="121"/>
      <c r="S144" s="121"/>
    </row>
    <row r="145" spans="17:19">
      <c r="Q145" s="121"/>
      <c r="R145" s="121"/>
      <c r="S145" s="121"/>
    </row>
    <row r="146" spans="17:19">
      <c r="Q146" s="121"/>
      <c r="R146" s="121"/>
      <c r="S146" s="121"/>
    </row>
    <row r="147" spans="17:19">
      <c r="Q147" s="121"/>
      <c r="R147" s="121"/>
      <c r="S147" s="121"/>
    </row>
    <row r="148" spans="17:19">
      <c r="Q148" s="121"/>
      <c r="R148" s="121"/>
      <c r="S148" s="121"/>
    </row>
    <row r="149" spans="17:19">
      <c r="Q149" s="121"/>
      <c r="R149" s="121"/>
      <c r="S149" s="121"/>
    </row>
    <row r="150" spans="17:19">
      <c r="Q150" s="121"/>
      <c r="R150" s="121"/>
      <c r="S150" s="121"/>
    </row>
    <row r="151" spans="17:19">
      <c r="Q151" s="121"/>
      <c r="R151" s="121"/>
      <c r="S151" s="121"/>
    </row>
    <row r="152" spans="17:19">
      <c r="Q152" s="121"/>
      <c r="R152" s="121"/>
      <c r="S152" s="121"/>
    </row>
    <row r="153" spans="17:19">
      <c r="Q153" s="121"/>
      <c r="R153" s="121"/>
      <c r="S153" s="121"/>
    </row>
    <row r="154" spans="17:19">
      <c r="Q154" s="121"/>
      <c r="R154" s="121"/>
      <c r="S154" s="121"/>
    </row>
    <row r="155" spans="17:19">
      <c r="Q155" s="121"/>
      <c r="R155" s="121"/>
      <c r="S155" s="121"/>
    </row>
    <row r="156" spans="17:19">
      <c r="Q156" s="121"/>
      <c r="R156" s="121"/>
      <c r="S156" s="121"/>
    </row>
    <row r="157" spans="17:19">
      <c r="Q157" s="121"/>
      <c r="R157" s="121"/>
      <c r="S157" s="121"/>
    </row>
    <row r="158" spans="17:19">
      <c r="Q158" s="121"/>
      <c r="R158" s="121"/>
      <c r="S158" s="121"/>
    </row>
    <row r="159" spans="17:19">
      <c r="Q159" s="121"/>
      <c r="R159" s="121"/>
      <c r="S159" s="121"/>
    </row>
    <row r="160" spans="17:19">
      <c r="Q160" s="121"/>
      <c r="R160" s="121"/>
      <c r="S160" s="121"/>
    </row>
    <row r="161" spans="17:19">
      <c r="Q161" s="121"/>
      <c r="R161" s="121"/>
      <c r="S161" s="121"/>
    </row>
    <row r="162" spans="17:19">
      <c r="Q162" s="121"/>
      <c r="R162" s="121"/>
      <c r="S162" s="121"/>
    </row>
    <row r="163" spans="17:19">
      <c r="Q163" s="121"/>
      <c r="R163" s="121"/>
      <c r="S163" s="121"/>
    </row>
    <row r="164" spans="17:19">
      <c r="Q164" s="121"/>
      <c r="R164" s="121"/>
      <c r="S164" s="121"/>
    </row>
    <row r="165" spans="17:19">
      <c r="Q165" s="121"/>
      <c r="R165" s="121"/>
      <c r="S165" s="121"/>
    </row>
    <row r="166" spans="17:19">
      <c r="Q166" s="121"/>
      <c r="R166" s="121"/>
      <c r="S166" s="121"/>
    </row>
    <row r="167" spans="17:19">
      <c r="Q167" s="121"/>
      <c r="R167" s="121"/>
      <c r="S167" s="121"/>
    </row>
    <row r="168" spans="17:19">
      <c r="Q168" s="121"/>
      <c r="R168" s="121"/>
      <c r="S168" s="121"/>
    </row>
    <row r="169" spans="17:19">
      <c r="Q169" s="121"/>
      <c r="R169" s="121"/>
      <c r="S169" s="121"/>
    </row>
    <row r="170" spans="17:19">
      <c r="Q170" s="121"/>
      <c r="R170" s="121"/>
      <c r="S170" s="121"/>
    </row>
    <row r="171" spans="17:19">
      <c r="Q171" s="121"/>
      <c r="R171" s="121"/>
      <c r="S171" s="121"/>
    </row>
    <row r="172" spans="17:19">
      <c r="Q172" s="121"/>
      <c r="R172" s="121"/>
      <c r="S172" s="121"/>
    </row>
    <row r="173" spans="17:19">
      <c r="Q173" s="121"/>
      <c r="R173" s="121"/>
      <c r="S173" s="121"/>
    </row>
    <row r="174" spans="17:19">
      <c r="Q174" s="121"/>
      <c r="R174" s="121"/>
      <c r="S174" s="121"/>
    </row>
    <row r="175" spans="17:19">
      <c r="Q175" s="121"/>
      <c r="R175" s="121"/>
      <c r="S175" s="121"/>
    </row>
    <row r="176" spans="17:19">
      <c r="Q176" s="121"/>
      <c r="R176" s="121"/>
      <c r="S176" s="121"/>
    </row>
    <row r="177" spans="17:19">
      <c r="Q177" s="121"/>
      <c r="R177" s="121"/>
      <c r="S177" s="121"/>
    </row>
    <row r="178" spans="17:19">
      <c r="Q178" s="121"/>
      <c r="R178" s="121"/>
      <c r="S178" s="121"/>
    </row>
    <row r="179" spans="17:19">
      <c r="Q179" s="121"/>
      <c r="R179" s="121"/>
      <c r="S179" s="121"/>
    </row>
    <row r="180" spans="17:19">
      <c r="Q180" s="121"/>
      <c r="R180" s="121"/>
      <c r="S180" s="121"/>
    </row>
    <row r="181" spans="17:19">
      <c r="Q181" s="121"/>
      <c r="R181" s="121"/>
      <c r="S181" s="121"/>
    </row>
    <row r="182" spans="17:19">
      <c r="Q182" s="121"/>
      <c r="R182" s="121"/>
      <c r="S182" s="121"/>
    </row>
    <row r="183" spans="17:19">
      <c r="Q183" s="121"/>
      <c r="R183" s="121"/>
      <c r="S183" s="121"/>
    </row>
    <row r="184" spans="17:19">
      <c r="Q184" s="121"/>
      <c r="R184" s="121"/>
      <c r="S184" s="121"/>
    </row>
    <row r="185" spans="17:19">
      <c r="Q185" s="121"/>
      <c r="R185" s="121"/>
      <c r="S185" s="121"/>
    </row>
    <row r="186" spans="17:19">
      <c r="Q186" s="121"/>
      <c r="R186" s="121"/>
      <c r="S186" s="121"/>
    </row>
    <row r="187" spans="17:19">
      <c r="Q187" s="121"/>
      <c r="R187" s="121"/>
      <c r="S187" s="121"/>
    </row>
    <row r="188" spans="17:19">
      <c r="Q188" s="121"/>
      <c r="R188" s="121"/>
      <c r="S188" s="121"/>
    </row>
    <row r="189" spans="17:19">
      <c r="Q189" s="121"/>
      <c r="R189" s="121"/>
      <c r="S189" s="121"/>
    </row>
    <row r="190" spans="17:19">
      <c r="Q190" s="121"/>
      <c r="R190" s="121"/>
      <c r="S190" s="121"/>
    </row>
    <row r="191" spans="17:19">
      <c r="Q191" s="121"/>
      <c r="R191" s="121"/>
      <c r="S191" s="121"/>
    </row>
    <row r="192" spans="17:19">
      <c r="Q192" s="121"/>
      <c r="R192" s="121"/>
      <c r="S192" s="121"/>
    </row>
    <row r="193" spans="3:19">
      <c r="Q193" s="121"/>
      <c r="R193" s="121"/>
      <c r="S193" s="121"/>
    </row>
    <row r="194" spans="3:19">
      <c r="Q194" s="121"/>
      <c r="R194" s="121"/>
      <c r="S194" s="121"/>
    </row>
    <row r="195" spans="3:19">
      <c r="Q195" s="121"/>
      <c r="R195" s="121"/>
      <c r="S195" s="121"/>
    </row>
    <row r="196" spans="3:19">
      <c r="Q196" s="121"/>
      <c r="R196" s="121"/>
      <c r="S196" s="121"/>
    </row>
    <row r="197" spans="3:19">
      <c r="Q197" s="121"/>
      <c r="R197" s="121"/>
      <c r="S197" s="121"/>
    </row>
    <row r="198" spans="3:19">
      <c r="Q198" s="121"/>
      <c r="R198" s="121"/>
      <c r="S198" s="121"/>
    </row>
    <row r="199" spans="3:19">
      <c r="Q199" s="121"/>
      <c r="R199" s="121"/>
      <c r="S199" s="121"/>
    </row>
    <row r="200" spans="3:19">
      <c r="Q200" s="121"/>
      <c r="R200" s="121"/>
      <c r="S200" s="121"/>
    </row>
    <row r="201" spans="3:19">
      <c r="Q201" s="121"/>
      <c r="R201" s="121"/>
      <c r="S201" s="121"/>
    </row>
    <row r="202" spans="3:19">
      <c r="Q202" s="121"/>
      <c r="R202" s="121"/>
      <c r="S202" s="121"/>
    </row>
    <row r="203" spans="3:19">
      <c r="Q203" s="121"/>
      <c r="R203" s="121"/>
      <c r="S203" s="121"/>
    </row>
    <row r="204" spans="3:19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Q204" s="121"/>
      <c r="R204" s="121"/>
      <c r="S204" s="121"/>
    </row>
    <row r="205" spans="3:19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3:19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3:19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3:19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3:19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3:19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3:19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3:19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3:19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3:19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3:19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3:19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3:19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3:19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3:19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3:19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3:19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3:19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3:19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3:19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3:19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3:19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3:19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3:19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3:19">
      <c r="P260" s="121"/>
      <c r="Q260" s="121"/>
      <c r="R260" s="121"/>
      <c r="S260" s="121"/>
    </row>
  </sheetData>
  <printOptions horizontalCentered="1"/>
  <pageMargins left="0.75" right="0.75" top="0.53" bottom="0.5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X606"/>
  <sheetViews>
    <sheetView workbookViewId="0"/>
  </sheetViews>
  <sheetFormatPr defaultColWidth="9.33203125" defaultRowHeight="15.75"/>
  <cols>
    <col min="1" max="1" width="9" style="82" customWidth="1"/>
    <col min="2" max="2" width="2.1640625" style="82" customWidth="1"/>
    <col min="3" max="3" width="40.1640625" style="82" customWidth="1"/>
    <col min="4" max="4" width="31.1640625" style="82" customWidth="1"/>
    <col min="5" max="5" width="23" style="82" customWidth="1"/>
    <col min="6" max="6" width="15" style="82" customWidth="1"/>
    <col min="7" max="7" width="20.6640625" style="82" customWidth="1"/>
    <col min="8" max="8" width="18.5" style="82" customWidth="1"/>
    <col min="9" max="9" width="8.6640625" style="82" customWidth="1"/>
    <col min="10" max="10" width="23" style="82" customWidth="1"/>
    <col min="11" max="11" width="9.33203125" style="82" customWidth="1"/>
    <col min="12" max="12" width="11.6640625" style="82" customWidth="1"/>
    <col min="13" max="13" width="2.83203125" style="82" customWidth="1"/>
    <col min="14" max="14" width="41" style="82" customWidth="1"/>
    <col min="15" max="15" width="48.83203125" style="82" customWidth="1"/>
    <col min="16" max="16" width="23.5" style="82" customWidth="1"/>
    <col min="17" max="17" width="20.5" style="82" customWidth="1"/>
    <col min="18" max="18" width="20.83203125" style="82" customWidth="1"/>
    <col min="19" max="19" width="23.6640625" style="82" bestFit="1" customWidth="1"/>
    <col min="20" max="20" width="22.1640625" style="82" bestFit="1" customWidth="1"/>
    <col min="21" max="21" width="23" style="82" bestFit="1" customWidth="1"/>
    <col min="22" max="22" width="19.83203125" style="82" customWidth="1"/>
    <col min="23" max="23" width="20.33203125" style="82" customWidth="1"/>
    <col min="24" max="24" width="23.5" style="82" bestFit="1" customWidth="1"/>
    <col min="25" max="25" width="21.6640625" style="82" bestFit="1" customWidth="1"/>
    <col min="26" max="26" width="16.1640625" style="82" customWidth="1"/>
    <col min="27" max="28" width="23.5" style="82" bestFit="1" customWidth="1"/>
    <col min="29" max="29" width="21.33203125" style="82" bestFit="1" customWidth="1"/>
    <col min="30" max="30" width="23.5" style="82" bestFit="1" customWidth="1"/>
    <col min="31" max="31" width="21.33203125" style="82" bestFit="1" customWidth="1"/>
    <col min="32" max="32" width="20.6640625" style="82" bestFit="1" customWidth="1"/>
    <col min="33" max="16384" width="9.33203125" style="82"/>
  </cols>
  <sheetData>
    <row r="1" spans="1:33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0"/>
      <c r="N1" s="87"/>
      <c r="O1" s="87"/>
      <c r="P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86"/>
      <c r="N2" s="87"/>
      <c r="O2" s="87"/>
      <c r="P2" s="87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>
      <c r="A3" s="190" t="s">
        <v>249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88"/>
      <c r="N3" s="87"/>
      <c r="O3" s="87"/>
      <c r="P3" s="87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>
      <c r="A4" s="1"/>
      <c r="B4" s="1"/>
      <c r="C4" s="6"/>
      <c r="D4" s="2"/>
      <c r="E4" s="3"/>
      <c r="F4" s="2"/>
      <c r="G4" s="2"/>
      <c r="H4" s="2"/>
      <c r="I4" s="4"/>
      <c r="J4" s="4"/>
      <c r="K4" s="4"/>
      <c r="L4" s="4"/>
      <c r="M4" s="189"/>
      <c r="N4" s="87"/>
      <c r="O4" s="87"/>
      <c r="P4" s="87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>
      <c r="A5" s="1" t="s">
        <v>186</v>
      </c>
      <c r="B5" s="1"/>
      <c r="C5" s="2"/>
      <c r="D5" s="2"/>
      <c r="E5" s="7"/>
      <c r="F5" s="2"/>
      <c r="G5" s="2"/>
      <c r="H5" s="2"/>
      <c r="I5" s="4"/>
      <c r="J5" s="1"/>
      <c r="K5" s="4"/>
      <c r="L5" s="206" t="str">
        <f>"For the 12 months ended "&amp;TEXT('OATT Input Data'!B4,"MM/DD/YYYY")</f>
        <v>For the 12 months ended 12/31/2015</v>
      </c>
      <c r="M5" s="87"/>
      <c r="N5" s="87"/>
      <c r="O5" s="87"/>
      <c r="P5" s="87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>
      <c r="A6" s="207" t="s">
        <v>187</v>
      </c>
      <c r="B6" s="1"/>
      <c r="C6" s="2"/>
      <c r="D6" s="8"/>
      <c r="E6" s="1"/>
      <c r="F6" s="8"/>
      <c r="G6" s="8"/>
      <c r="H6" s="8"/>
      <c r="I6" s="2"/>
      <c r="J6" s="2"/>
      <c r="K6" s="2"/>
      <c r="L6" s="180" t="s">
        <v>381</v>
      </c>
      <c r="M6" s="87"/>
      <c r="N6" s="87"/>
      <c r="O6" s="87"/>
      <c r="P6" s="87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83"/>
      <c r="N7" s="85"/>
      <c r="O7" s="87"/>
      <c r="P7" s="8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>
      <c r="A8" s="209" t="s">
        <v>130</v>
      </c>
      <c r="B8" s="191"/>
      <c r="C8" s="192"/>
      <c r="D8" s="192"/>
      <c r="E8" s="191"/>
      <c r="F8" s="192"/>
      <c r="G8" s="192"/>
      <c r="H8" s="192"/>
      <c r="I8" s="192"/>
      <c r="J8" s="192"/>
      <c r="K8" s="192"/>
      <c r="L8" s="192"/>
      <c r="M8" s="83"/>
      <c r="N8" s="85"/>
      <c r="O8" s="87"/>
      <c r="P8" s="8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>
      <c r="A9" s="85"/>
      <c r="B9" s="83"/>
      <c r="C9" s="91"/>
      <c r="D9" s="85"/>
      <c r="E9" s="90"/>
      <c r="F9" s="90"/>
      <c r="G9" s="90"/>
      <c r="H9" s="90"/>
      <c r="I9" s="83"/>
      <c r="J9" s="92"/>
      <c r="K9" s="1"/>
      <c r="L9" s="8"/>
      <c r="M9" s="83"/>
      <c r="N9" s="85"/>
      <c r="O9" s="87"/>
      <c r="P9" s="8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ht="18.75">
      <c r="A10" s="93"/>
      <c r="B10" s="94"/>
      <c r="C10" s="234" t="s">
        <v>426</v>
      </c>
      <c r="D10" s="93"/>
      <c r="E10" s="96"/>
      <c r="F10" s="96"/>
      <c r="G10" s="96"/>
      <c r="H10" s="96"/>
      <c r="I10" s="94"/>
      <c r="J10" s="96"/>
      <c r="K10" s="96"/>
      <c r="L10" s="96"/>
      <c r="M10" s="96"/>
      <c r="N10" s="96"/>
      <c r="O10" s="96"/>
      <c r="P10" s="8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1:33" ht="18.75">
      <c r="A11" s="93"/>
      <c r="B11" s="94"/>
      <c r="C11" s="95" t="s">
        <v>87</v>
      </c>
      <c r="D11" s="93"/>
      <c r="E11" s="96"/>
      <c r="F11" s="96"/>
      <c r="G11" s="96"/>
      <c r="H11" s="96"/>
      <c r="I11" s="94"/>
      <c r="J11" s="96"/>
      <c r="K11" s="96"/>
      <c r="L11" s="96"/>
      <c r="M11" s="96"/>
      <c r="N11" s="96"/>
      <c r="O11" s="96"/>
      <c r="P11" s="8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33" ht="18.75">
      <c r="A12" s="93" t="s">
        <v>88</v>
      </c>
      <c r="B12" s="94"/>
      <c r="C12" s="95"/>
      <c r="D12" s="94"/>
      <c r="E12" s="96"/>
      <c r="F12" s="96"/>
      <c r="G12" s="96"/>
      <c r="H12" s="96"/>
      <c r="I12" s="94"/>
      <c r="J12" s="96"/>
      <c r="K12" s="96"/>
      <c r="L12" s="96"/>
      <c r="M12" s="96"/>
      <c r="N12" s="96"/>
      <c r="O12" s="96"/>
      <c r="P12" s="8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</row>
    <row r="13" spans="1:33" ht="21.75" thickBot="1">
      <c r="A13" s="99" t="s">
        <v>89</v>
      </c>
      <c r="B13" s="94"/>
      <c r="C13" s="95"/>
      <c r="D13" s="94"/>
      <c r="E13" s="96"/>
      <c r="F13" s="96"/>
      <c r="G13" s="96"/>
      <c r="H13" s="96"/>
      <c r="I13" s="94"/>
      <c r="J13" s="96"/>
      <c r="K13" s="97"/>
      <c r="L13" s="98"/>
      <c r="M13" s="97"/>
      <c r="N13" s="93"/>
      <c r="O13" s="87"/>
      <c r="P13" s="8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1">
      <c r="A14" s="93" t="s">
        <v>90</v>
      </c>
      <c r="B14" s="94"/>
      <c r="C14" s="100" t="s">
        <v>385</v>
      </c>
      <c r="D14" s="101"/>
      <c r="E14" s="102"/>
      <c r="F14" s="102"/>
      <c r="G14" s="102"/>
      <c r="H14" s="102"/>
      <c r="I14" s="101"/>
      <c r="J14" s="102"/>
      <c r="K14" s="103"/>
      <c r="L14" s="104"/>
      <c r="M14" s="103"/>
      <c r="N14" s="105"/>
      <c r="O14" s="106"/>
      <c r="P14" s="8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21">
      <c r="A15" s="93" t="s">
        <v>91</v>
      </c>
      <c r="B15" s="94"/>
      <c r="C15" s="100" t="s">
        <v>420</v>
      </c>
      <c r="D15" s="101"/>
      <c r="E15" s="102"/>
      <c r="F15" s="102"/>
      <c r="G15" s="102"/>
      <c r="H15" s="102"/>
      <c r="I15" s="101"/>
      <c r="J15" s="102"/>
      <c r="K15" s="103"/>
      <c r="L15" s="104"/>
      <c r="M15" s="103"/>
      <c r="N15" s="105"/>
      <c r="O15" s="106"/>
      <c r="P15" s="8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21">
      <c r="A16" s="93" t="s">
        <v>92</v>
      </c>
      <c r="B16" s="94"/>
      <c r="C16" s="100" t="s">
        <v>386</v>
      </c>
      <c r="D16" s="101"/>
      <c r="E16" s="101"/>
      <c r="F16" s="101"/>
      <c r="G16" s="101"/>
      <c r="H16" s="101"/>
      <c r="I16" s="101"/>
      <c r="J16" s="102"/>
      <c r="K16" s="103"/>
      <c r="L16" s="103"/>
      <c r="M16" s="103"/>
      <c r="N16" s="107"/>
      <c r="O16" s="106"/>
      <c r="P16" s="8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21">
      <c r="A17" s="93" t="s">
        <v>93</v>
      </c>
      <c r="B17" s="94"/>
      <c r="C17" s="100" t="s">
        <v>250</v>
      </c>
      <c r="D17" s="101"/>
      <c r="E17" s="101"/>
      <c r="F17" s="101"/>
      <c r="G17" s="101"/>
      <c r="H17" s="101"/>
      <c r="I17" s="101"/>
      <c r="J17" s="102"/>
      <c r="K17" s="103"/>
      <c r="L17" s="103"/>
      <c r="M17" s="103"/>
      <c r="N17" s="107"/>
      <c r="O17" s="106"/>
      <c r="P17" s="87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</row>
    <row r="18" spans="1:33" ht="21">
      <c r="A18" s="93" t="s">
        <v>94</v>
      </c>
      <c r="B18" s="94"/>
      <c r="C18" s="101" t="s">
        <v>95</v>
      </c>
      <c r="D18" s="101"/>
      <c r="E18" s="101"/>
      <c r="F18" s="101"/>
      <c r="G18" s="101"/>
      <c r="H18" s="101"/>
      <c r="I18" s="101"/>
      <c r="J18" s="101"/>
      <c r="K18" s="103"/>
      <c r="L18" s="103"/>
      <c r="M18" s="103"/>
      <c r="N18" s="105"/>
      <c r="O18" s="106"/>
      <c r="P18" s="87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</row>
    <row r="19" spans="1:33" ht="21">
      <c r="A19" s="93" t="s">
        <v>96</v>
      </c>
      <c r="B19" s="94"/>
      <c r="C19" s="101" t="s">
        <v>351</v>
      </c>
      <c r="D19" s="101"/>
      <c r="E19" s="101"/>
      <c r="F19" s="101"/>
      <c r="G19" s="101"/>
      <c r="H19" s="101"/>
      <c r="I19" s="101"/>
      <c r="J19" s="101"/>
      <c r="K19" s="103"/>
      <c r="L19" s="103"/>
      <c r="M19" s="103"/>
      <c r="N19" s="105"/>
      <c r="O19" s="106"/>
      <c r="P19" s="87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33" ht="21">
      <c r="A20" s="93"/>
      <c r="B20" s="94"/>
      <c r="C20" s="100" t="s">
        <v>417</v>
      </c>
      <c r="D20" s="101"/>
      <c r="E20" s="101"/>
      <c r="F20" s="101"/>
      <c r="G20" s="101"/>
      <c r="H20" s="101"/>
      <c r="I20" s="101"/>
      <c r="J20" s="101"/>
      <c r="K20" s="103"/>
      <c r="L20" s="103"/>
      <c r="M20" s="103"/>
      <c r="N20" s="105"/>
      <c r="O20" s="106"/>
      <c r="P20" s="87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</row>
    <row r="21" spans="1:33" ht="21">
      <c r="A21" s="93"/>
      <c r="B21" s="94"/>
      <c r="C21" s="100" t="s">
        <v>418</v>
      </c>
      <c r="D21" s="101"/>
      <c r="E21" s="101"/>
      <c r="F21" s="101"/>
      <c r="G21" s="101"/>
      <c r="H21" s="101"/>
      <c r="I21" s="101"/>
      <c r="J21" s="101"/>
      <c r="K21" s="103"/>
      <c r="L21" s="103"/>
      <c r="M21" s="103"/>
      <c r="N21" s="105"/>
      <c r="O21" s="106"/>
      <c r="P21" s="87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3" ht="21">
      <c r="A22" s="93" t="s">
        <v>97</v>
      </c>
      <c r="B22" s="94"/>
      <c r="C22" s="101" t="s">
        <v>98</v>
      </c>
      <c r="D22" s="101"/>
      <c r="E22" s="101"/>
      <c r="F22" s="101"/>
      <c r="G22" s="101"/>
      <c r="H22" s="101"/>
      <c r="I22" s="101"/>
      <c r="J22" s="101"/>
      <c r="K22" s="103"/>
      <c r="L22" s="103"/>
      <c r="M22" s="103"/>
      <c r="N22" s="105"/>
      <c r="O22" s="106"/>
      <c r="P22" s="87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</row>
    <row r="23" spans="1:33" ht="21">
      <c r="A23" s="93" t="s">
        <v>99</v>
      </c>
      <c r="B23" s="94"/>
      <c r="C23" s="100" t="s">
        <v>352</v>
      </c>
      <c r="D23" s="101"/>
      <c r="E23" s="101"/>
      <c r="F23" s="101"/>
      <c r="G23" s="101"/>
      <c r="H23" s="101"/>
      <c r="I23" s="101"/>
      <c r="J23" s="101"/>
      <c r="K23" s="103"/>
      <c r="L23" s="103"/>
      <c r="M23" s="103"/>
      <c r="N23" s="105"/>
      <c r="O23" s="106"/>
      <c r="P23" s="87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</row>
    <row r="24" spans="1:33" ht="21">
      <c r="A24" s="93"/>
      <c r="B24" s="94"/>
      <c r="C24" s="100" t="s">
        <v>353</v>
      </c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5"/>
      <c r="O24" s="106"/>
      <c r="P24" s="87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</row>
    <row r="25" spans="1:33" ht="21">
      <c r="A25" s="93" t="s">
        <v>100</v>
      </c>
      <c r="B25" s="94"/>
      <c r="C25" s="100" t="s">
        <v>354</v>
      </c>
      <c r="D25" s="101"/>
      <c r="E25" s="101"/>
      <c r="F25" s="101"/>
      <c r="G25" s="101"/>
      <c r="H25" s="101"/>
      <c r="I25" s="101"/>
      <c r="J25" s="101"/>
      <c r="K25" s="103"/>
      <c r="L25" s="103"/>
      <c r="M25" s="103"/>
      <c r="N25" s="105"/>
      <c r="O25" s="106"/>
      <c r="P25" s="87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</row>
    <row r="26" spans="1:33" ht="21">
      <c r="A26" s="93"/>
      <c r="B26" s="94"/>
      <c r="C26" s="141" t="s">
        <v>387</v>
      </c>
      <c r="D26" s="101"/>
      <c r="E26" s="101"/>
      <c r="F26" s="101"/>
      <c r="G26" s="101"/>
      <c r="H26" s="101"/>
      <c r="I26" s="101"/>
      <c r="J26" s="101"/>
      <c r="K26" s="103"/>
      <c r="L26" s="103"/>
      <c r="M26" s="103"/>
      <c r="N26" s="105"/>
      <c r="P26" s="87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</row>
    <row r="27" spans="1:33" ht="21">
      <c r="A27" s="93"/>
      <c r="B27" s="94"/>
      <c r="C27" s="100" t="s">
        <v>355</v>
      </c>
      <c r="D27" s="101"/>
      <c r="E27" s="101"/>
      <c r="F27" s="101"/>
      <c r="G27" s="101"/>
      <c r="H27" s="101"/>
      <c r="I27" s="101"/>
      <c r="J27" s="101"/>
      <c r="K27" s="103"/>
      <c r="L27" s="103"/>
      <c r="M27" s="103"/>
      <c r="N27" s="105"/>
      <c r="O27" s="106"/>
      <c r="P27" s="106"/>
      <c r="Q27" s="87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</row>
    <row r="28" spans="1:33" ht="21">
      <c r="A28" s="93" t="s">
        <v>101</v>
      </c>
      <c r="B28" s="94"/>
      <c r="C28" s="100" t="s">
        <v>356</v>
      </c>
      <c r="D28" s="101"/>
      <c r="E28" s="101"/>
      <c r="F28" s="101"/>
      <c r="G28" s="101"/>
      <c r="H28" s="101"/>
      <c r="I28" s="101"/>
      <c r="J28" s="101"/>
      <c r="K28" s="103"/>
      <c r="L28" s="103"/>
      <c r="M28" s="103"/>
      <c r="N28" s="105"/>
      <c r="O28" s="106"/>
      <c r="P28" s="87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</row>
    <row r="29" spans="1:33" ht="21">
      <c r="A29" s="93" t="s">
        <v>102</v>
      </c>
      <c r="B29" s="94"/>
      <c r="C29" s="101" t="s">
        <v>357</v>
      </c>
      <c r="D29" s="101"/>
      <c r="E29" s="101"/>
      <c r="F29" s="101"/>
      <c r="G29" s="101"/>
      <c r="H29" s="101"/>
      <c r="I29" s="101"/>
      <c r="J29" s="101"/>
      <c r="K29" s="103"/>
      <c r="L29" s="103"/>
      <c r="M29" s="103"/>
      <c r="N29" s="105"/>
      <c r="O29" s="106"/>
      <c r="P29" s="87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</row>
    <row r="30" spans="1:33" ht="21">
      <c r="A30" s="93"/>
      <c r="B30" s="94"/>
      <c r="C30" s="100" t="s">
        <v>358</v>
      </c>
      <c r="D30" s="101"/>
      <c r="E30" s="101"/>
      <c r="F30" s="101"/>
      <c r="G30" s="101"/>
      <c r="H30" s="101"/>
      <c r="I30" s="101"/>
      <c r="J30" s="101"/>
      <c r="K30" s="103"/>
      <c r="L30" s="103"/>
      <c r="M30" s="103"/>
      <c r="N30" s="105"/>
      <c r="O30" s="106"/>
      <c r="P30" s="87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</row>
    <row r="31" spans="1:33" ht="21">
      <c r="A31" s="93"/>
      <c r="B31" s="94"/>
      <c r="C31" s="100" t="s">
        <v>359</v>
      </c>
      <c r="D31" s="101"/>
      <c r="E31" s="101"/>
      <c r="F31" s="101"/>
      <c r="G31" s="101"/>
      <c r="H31" s="101"/>
      <c r="I31" s="101"/>
      <c r="J31" s="101"/>
      <c r="K31" s="103"/>
      <c r="L31" s="103"/>
      <c r="M31" s="103"/>
      <c r="N31" s="105"/>
      <c r="O31" s="106"/>
      <c r="P31" s="87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</row>
    <row r="32" spans="1:33" ht="21">
      <c r="A32" s="93"/>
      <c r="B32" s="94"/>
      <c r="C32" s="101" t="s">
        <v>360</v>
      </c>
      <c r="D32" s="101"/>
      <c r="E32" s="101"/>
      <c r="F32" s="101"/>
      <c r="G32" s="101"/>
      <c r="H32" s="101"/>
      <c r="I32" s="101"/>
      <c r="J32" s="101"/>
      <c r="K32" s="103"/>
      <c r="L32" s="103"/>
      <c r="M32" s="103"/>
      <c r="N32" s="105"/>
      <c r="O32" s="106"/>
      <c r="P32" s="87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</row>
    <row r="33" spans="1:33" ht="21">
      <c r="A33" s="93"/>
      <c r="B33" s="94"/>
      <c r="C33" s="100" t="s">
        <v>361</v>
      </c>
      <c r="D33" s="101"/>
      <c r="E33" s="101"/>
      <c r="F33" s="101"/>
      <c r="G33" s="101"/>
      <c r="H33" s="101"/>
      <c r="I33" s="101"/>
      <c r="J33" s="101"/>
      <c r="K33" s="103"/>
      <c r="L33" s="103"/>
      <c r="M33" s="103"/>
      <c r="N33" s="105"/>
      <c r="O33" s="106"/>
      <c r="P33" s="87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</row>
    <row r="34" spans="1:33" ht="21">
      <c r="A34" s="93"/>
      <c r="B34" s="94"/>
      <c r="C34" s="100" t="s">
        <v>362</v>
      </c>
      <c r="D34" s="101"/>
      <c r="E34" s="101"/>
      <c r="F34" s="101"/>
      <c r="G34" s="101"/>
      <c r="H34" s="101"/>
      <c r="I34" s="101"/>
      <c r="J34" s="101"/>
      <c r="K34" s="103"/>
      <c r="L34" s="103"/>
      <c r="M34" s="103"/>
      <c r="N34" s="105"/>
      <c r="O34" s="106"/>
      <c r="P34" s="87"/>
      <c r="V34" s="89"/>
      <c r="W34" s="89"/>
      <c r="X34" s="89"/>
      <c r="Y34" s="89"/>
      <c r="AB34" s="89"/>
      <c r="AD34" s="89"/>
      <c r="AE34" s="89"/>
    </row>
    <row r="35" spans="1:33" ht="21">
      <c r="A35" s="93"/>
      <c r="B35" s="94"/>
      <c r="C35" s="100" t="s">
        <v>428</v>
      </c>
      <c r="D35" s="101"/>
      <c r="E35" s="101"/>
      <c r="F35" s="101"/>
      <c r="G35" s="101"/>
      <c r="H35" s="101"/>
      <c r="I35" s="101"/>
      <c r="J35" s="101"/>
      <c r="K35" s="103"/>
      <c r="L35" s="103"/>
      <c r="M35" s="103"/>
      <c r="N35" s="105"/>
      <c r="O35" s="106"/>
      <c r="P35" s="87"/>
      <c r="V35" s="89"/>
      <c r="W35" s="89"/>
      <c r="X35" s="89"/>
      <c r="Y35" s="89"/>
      <c r="AB35" s="89"/>
      <c r="AD35" s="89"/>
      <c r="AE35" s="89"/>
    </row>
    <row r="36" spans="1:33" ht="21">
      <c r="A36" s="93" t="s">
        <v>0</v>
      </c>
      <c r="B36" s="94"/>
      <c r="C36" s="101" t="s">
        <v>103</v>
      </c>
      <c r="D36" s="101" t="s">
        <v>104</v>
      </c>
      <c r="E36" s="109">
        <v>0.35</v>
      </c>
      <c r="F36" s="101"/>
      <c r="G36" s="101"/>
      <c r="H36" s="101"/>
      <c r="I36" s="101"/>
      <c r="J36" s="101"/>
      <c r="K36" s="103"/>
      <c r="L36" s="103"/>
      <c r="M36" s="103"/>
      <c r="N36" s="105"/>
      <c r="O36" s="106"/>
      <c r="P36" s="87"/>
      <c r="W36" s="89"/>
      <c r="X36" s="89"/>
      <c r="Y36" s="89"/>
    </row>
    <row r="37" spans="1:33" ht="21">
      <c r="A37" s="93"/>
      <c r="B37" s="94"/>
      <c r="C37" s="101"/>
      <c r="D37" s="101" t="s">
        <v>105</v>
      </c>
      <c r="E37" s="109">
        <v>0.06</v>
      </c>
      <c r="F37" s="101" t="s">
        <v>106</v>
      </c>
      <c r="G37" s="101"/>
      <c r="H37" s="101"/>
      <c r="I37" s="101"/>
      <c r="J37" s="101"/>
      <c r="K37" s="103"/>
      <c r="L37" s="103"/>
      <c r="M37" s="103"/>
      <c r="N37" s="105"/>
      <c r="O37" s="106"/>
      <c r="P37" s="87"/>
      <c r="W37" s="89"/>
      <c r="Y37" s="89"/>
    </row>
    <row r="38" spans="1:33" ht="21">
      <c r="A38" s="93"/>
      <c r="B38" s="94"/>
      <c r="C38" s="101"/>
      <c r="D38" s="101" t="s">
        <v>107</v>
      </c>
      <c r="E38" s="109">
        <v>0</v>
      </c>
      <c r="F38" s="101" t="s">
        <v>108</v>
      </c>
      <c r="G38" s="101"/>
      <c r="H38" s="101"/>
      <c r="I38" s="101"/>
      <c r="J38" s="101"/>
      <c r="K38" s="103"/>
      <c r="L38" s="103"/>
      <c r="M38" s="103"/>
      <c r="N38" s="105"/>
      <c r="O38" s="106"/>
      <c r="P38" s="196"/>
      <c r="Y38" s="89"/>
    </row>
    <row r="39" spans="1:33" ht="21">
      <c r="A39" s="93" t="s">
        <v>109</v>
      </c>
      <c r="B39" s="94"/>
      <c r="C39" s="101" t="s">
        <v>110</v>
      </c>
      <c r="D39" s="101"/>
      <c r="E39" s="101"/>
      <c r="F39" s="101"/>
      <c r="G39" s="101"/>
      <c r="H39" s="101"/>
      <c r="I39" s="101"/>
      <c r="J39" s="101"/>
      <c r="K39" s="103"/>
      <c r="L39" s="103"/>
      <c r="M39" s="103"/>
      <c r="N39" s="105"/>
      <c r="O39" s="106"/>
      <c r="P39" s="87"/>
    </row>
    <row r="40" spans="1:33" ht="21">
      <c r="A40" s="93" t="s">
        <v>111</v>
      </c>
      <c r="B40" s="94"/>
      <c r="C40" s="101" t="s">
        <v>363</v>
      </c>
      <c r="D40" s="101"/>
      <c r="E40" s="101"/>
      <c r="F40" s="101"/>
      <c r="G40" s="101"/>
      <c r="H40" s="101"/>
      <c r="I40" s="101"/>
      <c r="J40" s="101"/>
      <c r="K40" s="103"/>
      <c r="L40" s="103"/>
      <c r="M40" s="103"/>
      <c r="N40" s="105"/>
      <c r="O40" s="106"/>
      <c r="P40" s="87"/>
    </row>
    <row r="41" spans="1:33" ht="21">
      <c r="A41" s="93"/>
      <c r="B41" s="94"/>
      <c r="C41" s="101" t="s">
        <v>364</v>
      </c>
      <c r="D41" s="101"/>
      <c r="E41" s="101"/>
      <c r="F41" s="101"/>
      <c r="G41" s="101"/>
      <c r="H41" s="101"/>
      <c r="I41" s="101"/>
      <c r="J41" s="101"/>
      <c r="K41" s="103"/>
      <c r="L41" s="103"/>
      <c r="M41" s="103"/>
      <c r="N41" s="105"/>
      <c r="O41" s="106"/>
      <c r="P41" s="87"/>
    </row>
    <row r="42" spans="1:33" ht="21">
      <c r="A42" s="93" t="s">
        <v>112</v>
      </c>
      <c r="B42" s="94"/>
      <c r="C42" s="101" t="s">
        <v>365</v>
      </c>
      <c r="D42" s="101"/>
      <c r="E42" s="101"/>
      <c r="F42" s="101"/>
      <c r="G42" s="101"/>
      <c r="H42" s="101"/>
      <c r="I42" s="101"/>
      <c r="J42" s="101"/>
      <c r="K42" s="103"/>
      <c r="L42" s="103"/>
      <c r="M42" s="103"/>
      <c r="N42" s="105"/>
      <c r="O42" s="106"/>
      <c r="P42" s="87"/>
    </row>
    <row r="43" spans="1:33" ht="21">
      <c r="A43" s="93"/>
      <c r="B43" s="94"/>
      <c r="C43" s="100" t="s">
        <v>366</v>
      </c>
      <c r="D43" s="101"/>
      <c r="E43" s="101"/>
      <c r="F43" s="101"/>
      <c r="G43" s="101"/>
      <c r="H43" s="101"/>
      <c r="I43" s="101"/>
      <c r="J43" s="101"/>
      <c r="K43" s="103"/>
      <c r="L43" s="103"/>
      <c r="M43" s="103"/>
      <c r="N43" s="105"/>
      <c r="O43" s="106"/>
      <c r="P43" s="87"/>
    </row>
    <row r="44" spans="1:33" ht="21">
      <c r="A44" s="93"/>
      <c r="B44" s="94"/>
      <c r="C44" s="101" t="s">
        <v>367</v>
      </c>
      <c r="D44" s="101"/>
      <c r="E44" s="101"/>
      <c r="F44" s="101"/>
      <c r="G44" s="101"/>
      <c r="H44" s="101"/>
      <c r="I44" s="101"/>
      <c r="J44" s="101"/>
      <c r="K44" s="103"/>
      <c r="L44" s="103"/>
      <c r="M44" s="103"/>
      <c r="N44" s="105"/>
      <c r="O44" s="106"/>
      <c r="P44" s="87"/>
    </row>
    <row r="45" spans="1:33" ht="21">
      <c r="A45" s="93"/>
      <c r="B45" s="94"/>
      <c r="C45" s="101" t="s">
        <v>368</v>
      </c>
      <c r="D45" s="101"/>
      <c r="E45" s="101"/>
      <c r="F45" s="101"/>
      <c r="G45" s="101"/>
      <c r="H45" s="101"/>
      <c r="I45" s="101"/>
      <c r="J45" s="101"/>
      <c r="K45" s="103"/>
      <c r="L45" s="103"/>
      <c r="M45" s="103"/>
      <c r="N45" s="105"/>
      <c r="O45" s="106"/>
      <c r="P45" s="87"/>
    </row>
    <row r="46" spans="1:33" ht="21">
      <c r="A46" s="93" t="s">
        <v>113</v>
      </c>
      <c r="B46" s="94"/>
      <c r="C46" s="100" t="s">
        <v>395</v>
      </c>
      <c r="D46" s="101"/>
      <c r="E46" s="101"/>
      <c r="F46" s="101"/>
      <c r="G46" s="101"/>
      <c r="H46" s="101"/>
      <c r="I46" s="101"/>
      <c r="J46" s="101"/>
      <c r="K46" s="103"/>
      <c r="L46" s="103"/>
      <c r="M46" s="103"/>
      <c r="N46" s="105"/>
      <c r="O46" s="106"/>
      <c r="P46" s="87"/>
    </row>
    <row r="47" spans="1:33" ht="21">
      <c r="A47" s="93" t="s">
        <v>114</v>
      </c>
      <c r="B47" s="94"/>
      <c r="C47" s="100" t="s">
        <v>396</v>
      </c>
      <c r="D47" s="101"/>
      <c r="E47" s="101"/>
      <c r="F47" s="101"/>
      <c r="G47" s="101"/>
      <c r="H47" s="101"/>
      <c r="I47" s="101"/>
      <c r="J47" s="101"/>
      <c r="K47" s="103"/>
      <c r="L47" s="103"/>
      <c r="M47" s="103"/>
      <c r="N47" s="105"/>
      <c r="O47" s="106"/>
      <c r="P47" s="87"/>
    </row>
    <row r="48" spans="1:33" ht="21">
      <c r="A48" s="93"/>
      <c r="B48" s="94"/>
      <c r="C48" s="101" t="s">
        <v>369</v>
      </c>
      <c r="D48" s="101"/>
      <c r="E48" s="101"/>
      <c r="F48" s="101"/>
      <c r="G48" s="101"/>
      <c r="H48" s="101"/>
      <c r="I48" s="101"/>
      <c r="J48" s="101"/>
      <c r="K48" s="103"/>
      <c r="L48" s="103"/>
      <c r="M48" s="103"/>
      <c r="N48" s="105"/>
      <c r="O48" s="106"/>
      <c r="P48" s="87"/>
    </row>
    <row r="49" spans="1:19" ht="21">
      <c r="A49" s="93" t="s">
        <v>115</v>
      </c>
      <c r="B49" s="94"/>
      <c r="C49" s="100" t="s">
        <v>370</v>
      </c>
      <c r="D49" s="101"/>
      <c r="E49" s="101"/>
      <c r="F49" s="101"/>
      <c r="G49" s="101"/>
      <c r="H49" s="101"/>
      <c r="I49" s="101"/>
      <c r="J49" s="101"/>
      <c r="K49" s="103"/>
      <c r="L49" s="103"/>
      <c r="M49" s="103"/>
      <c r="N49" s="105"/>
      <c r="O49" s="106"/>
      <c r="P49" s="87"/>
    </row>
    <row r="50" spans="1:19" ht="21">
      <c r="A50" s="93"/>
      <c r="B50" s="94"/>
      <c r="C50" s="101" t="s">
        <v>371</v>
      </c>
      <c r="D50" s="101"/>
      <c r="E50" s="101"/>
      <c r="F50" s="101"/>
      <c r="G50" s="101"/>
      <c r="H50" s="101"/>
      <c r="I50" s="101"/>
      <c r="J50" s="101"/>
      <c r="K50" s="103"/>
      <c r="L50" s="103"/>
      <c r="M50" s="103"/>
      <c r="N50" s="105"/>
      <c r="O50" s="106"/>
      <c r="P50" s="87"/>
    </row>
    <row r="51" spans="1:19" ht="21">
      <c r="A51" s="93" t="s">
        <v>116</v>
      </c>
      <c r="B51" s="94"/>
      <c r="C51" s="101" t="s">
        <v>117</v>
      </c>
      <c r="D51" s="101"/>
      <c r="E51" s="101"/>
      <c r="F51" s="101"/>
      <c r="G51" s="101"/>
      <c r="H51" s="101"/>
      <c r="I51" s="101"/>
      <c r="J51" s="101"/>
      <c r="K51" s="103"/>
      <c r="L51" s="103"/>
      <c r="M51" s="103"/>
      <c r="N51" s="105"/>
      <c r="O51" s="106"/>
      <c r="P51" s="87"/>
    </row>
    <row r="52" spans="1:19" ht="18.75">
      <c r="A52" s="93" t="s">
        <v>118</v>
      </c>
      <c r="B52" s="83"/>
      <c r="C52" s="101" t="s">
        <v>254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84"/>
      <c r="O52" s="106"/>
      <c r="P52" s="87"/>
    </row>
    <row r="53" spans="1:19" ht="18.75">
      <c r="A53" s="111" t="s">
        <v>119</v>
      </c>
      <c r="B53" s="112"/>
      <c r="C53" s="113" t="s">
        <v>372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87"/>
    </row>
    <row r="54" spans="1:19" ht="18.75">
      <c r="A54" s="112"/>
      <c r="B54" s="112"/>
      <c r="C54" s="113" t="s">
        <v>373</v>
      </c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87"/>
    </row>
    <row r="55" spans="1:19" ht="18.75">
      <c r="A55" s="112"/>
      <c r="B55" s="112"/>
      <c r="C55" s="113" t="s">
        <v>374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87"/>
    </row>
    <row r="56" spans="1:19" ht="18.75">
      <c r="A56" s="112"/>
      <c r="B56" s="112"/>
      <c r="C56" s="113" t="s">
        <v>375</v>
      </c>
      <c r="D56" s="116"/>
      <c r="E56" s="117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8"/>
      <c r="Q56" s="119"/>
      <c r="R56" s="119"/>
      <c r="S56" s="119"/>
    </row>
    <row r="57" spans="1:19" ht="18.75">
      <c r="A57" s="111" t="s">
        <v>120</v>
      </c>
      <c r="B57" s="112"/>
      <c r="C57" s="115" t="s">
        <v>121</v>
      </c>
      <c r="D57" s="118"/>
      <c r="E57" s="118"/>
      <c r="F57" s="118"/>
      <c r="G57" s="118"/>
      <c r="H57" s="118"/>
      <c r="I57" s="118"/>
      <c r="J57" s="116"/>
      <c r="K57" s="116"/>
      <c r="L57" s="116"/>
      <c r="M57" s="116"/>
      <c r="P57" s="118"/>
      <c r="Q57" s="119"/>
      <c r="R57" s="119"/>
      <c r="S57" s="119"/>
    </row>
    <row r="58" spans="1:19" ht="18.75">
      <c r="A58" s="120" t="s">
        <v>122</v>
      </c>
      <c r="B58" s="108"/>
      <c r="C58" s="197" t="s">
        <v>376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8"/>
      <c r="N58" s="118"/>
      <c r="O58" s="118"/>
    </row>
    <row r="59" spans="1:19" ht="18.75">
      <c r="A59" s="120"/>
      <c r="B59" s="108"/>
      <c r="C59" s="197" t="s">
        <v>377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8"/>
      <c r="N59" s="118"/>
      <c r="O59" s="118"/>
    </row>
    <row r="60" spans="1:19" ht="18.75">
      <c r="A60" s="111" t="s">
        <v>286</v>
      </c>
      <c r="B60" s="108"/>
      <c r="C60" s="197" t="s">
        <v>407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8"/>
      <c r="N60" s="118"/>
      <c r="O60" s="118"/>
      <c r="P60" s="118"/>
      <c r="Q60" s="119"/>
      <c r="R60" s="119"/>
      <c r="S60" s="119"/>
    </row>
    <row r="61" spans="1:19" ht="18.75">
      <c r="A61" s="111"/>
      <c r="B61" s="108"/>
      <c r="C61" s="197" t="s">
        <v>397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8"/>
      <c r="N61" s="118"/>
      <c r="O61" s="118"/>
      <c r="P61" s="118"/>
      <c r="Q61" s="119"/>
      <c r="R61" s="119"/>
      <c r="S61" s="119"/>
    </row>
    <row r="62" spans="1:19" ht="18.75">
      <c r="A62" s="111" t="s">
        <v>132</v>
      </c>
      <c r="B62" s="112"/>
      <c r="C62" s="197" t="s">
        <v>421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9"/>
      <c r="R62" s="119"/>
      <c r="S62" s="119"/>
    </row>
    <row r="63" spans="1:19" ht="18.75">
      <c r="A63" s="111"/>
      <c r="B63" s="112"/>
      <c r="C63" s="197" t="s">
        <v>422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9"/>
      <c r="R63" s="119"/>
      <c r="S63" s="119"/>
    </row>
    <row r="64" spans="1:19" ht="18.75">
      <c r="A64" s="111" t="s">
        <v>251</v>
      </c>
      <c r="B64" s="112"/>
      <c r="C64" s="197" t="s">
        <v>350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  <c r="R64" s="119"/>
      <c r="S64" s="119"/>
    </row>
    <row r="65" spans="1:50" ht="18.75">
      <c r="A65" s="111" t="s">
        <v>304</v>
      </c>
      <c r="B65" s="112"/>
      <c r="C65" s="197" t="s">
        <v>394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8"/>
      <c r="Q65" s="119"/>
      <c r="R65" s="119"/>
      <c r="S65" s="119"/>
      <c r="Z65" s="89"/>
      <c r="AA65" s="89"/>
      <c r="AC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</row>
    <row r="66" spans="1:50" ht="18.75">
      <c r="A66" s="112"/>
      <c r="B66" s="112"/>
      <c r="C66" s="211" t="s">
        <v>398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V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</row>
    <row r="67" spans="1:50" ht="18.75">
      <c r="A67" s="112"/>
      <c r="B67" s="112"/>
      <c r="C67" s="112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V67" s="89"/>
      <c r="X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</row>
    <row r="68" spans="1:50" ht="18.75">
      <c r="A68" s="112"/>
      <c r="B68" s="112"/>
      <c r="C68" s="112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V68" s="89"/>
      <c r="W68" s="89"/>
      <c r="X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</row>
    <row r="69" spans="1:50" ht="18.75">
      <c r="A69" s="112"/>
      <c r="B69" s="112"/>
      <c r="C69" s="112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</row>
    <row r="70" spans="1:50" ht="18.75">
      <c r="A70" s="112"/>
      <c r="B70" s="112"/>
      <c r="C70" s="112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</row>
    <row r="71" spans="1:50" ht="18.75">
      <c r="A71" s="112"/>
      <c r="B71" s="112"/>
      <c r="P71" s="119"/>
      <c r="Q71" s="119"/>
      <c r="R71" s="119"/>
      <c r="S71" s="11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</row>
    <row r="72" spans="1:50">
      <c r="Q72" s="119"/>
      <c r="R72" s="119"/>
      <c r="S72" s="11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</row>
    <row r="73" spans="1:50" ht="149.25" customHeight="1">
      <c r="Q73" s="119"/>
      <c r="R73" s="119"/>
      <c r="S73" s="11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</row>
    <row r="74" spans="1:50">
      <c r="Q74" s="119"/>
      <c r="R74" s="119"/>
      <c r="S74" s="11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</row>
    <row r="75" spans="1:50">
      <c r="Q75" s="119"/>
      <c r="R75" s="119"/>
      <c r="S75" s="11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</row>
    <row r="76" spans="1:50">
      <c r="Q76" s="119"/>
      <c r="R76" s="119"/>
      <c r="S76" s="11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</row>
    <row r="77" spans="1:50">
      <c r="Q77" s="119"/>
      <c r="R77" s="119"/>
      <c r="S77" s="11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</row>
    <row r="78" spans="1:50">
      <c r="Q78" s="119"/>
      <c r="R78" s="119"/>
      <c r="S78" s="11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</row>
    <row r="79" spans="1:50">
      <c r="Q79" s="119"/>
      <c r="R79" s="119"/>
      <c r="S79" s="11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</row>
    <row r="80" spans="1:50">
      <c r="Q80" s="119"/>
      <c r="R80" s="119"/>
      <c r="S80" s="11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</row>
    <row r="81" spans="17:50">
      <c r="Q81" s="119"/>
      <c r="R81" s="119"/>
      <c r="S81" s="11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</row>
    <row r="82" spans="17:50">
      <c r="Q82" s="119"/>
      <c r="R82" s="119"/>
      <c r="S82" s="11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</row>
    <row r="83" spans="17:50">
      <c r="Q83" s="119"/>
      <c r="R83" s="119"/>
      <c r="S83" s="11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</row>
    <row r="84" spans="17:50">
      <c r="Q84" s="119"/>
      <c r="R84" s="119"/>
      <c r="S84" s="11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</row>
    <row r="85" spans="17:50">
      <c r="Q85" s="119"/>
      <c r="R85" s="119"/>
      <c r="S85" s="11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</row>
    <row r="86" spans="17:50">
      <c r="Q86" s="119"/>
      <c r="R86" s="119"/>
      <c r="S86" s="11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</row>
    <row r="87" spans="17:50">
      <c r="Q87" s="119"/>
      <c r="R87" s="119"/>
      <c r="S87" s="11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</row>
    <row r="88" spans="17:50">
      <c r="Q88" s="119"/>
      <c r="R88" s="119"/>
      <c r="S88" s="11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</row>
    <row r="89" spans="17:50">
      <c r="Q89" s="119"/>
      <c r="R89" s="119"/>
      <c r="S89" s="11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</row>
    <row r="90" spans="17:50">
      <c r="Q90" s="119"/>
      <c r="R90" s="119"/>
      <c r="S90" s="11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</row>
    <row r="91" spans="17:50">
      <c r="Q91" s="119"/>
      <c r="R91" s="119"/>
      <c r="S91" s="11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</row>
    <row r="92" spans="17:50">
      <c r="Q92" s="119"/>
      <c r="R92" s="119"/>
      <c r="S92" s="11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</row>
    <row r="93" spans="17:50">
      <c r="Q93" s="119"/>
      <c r="R93" s="119"/>
      <c r="S93" s="11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</row>
    <row r="94" spans="17:50">
      <c r="Q94" s="119"/>
      <c r="R94" s="119"/>
      <c r="S94" s="11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</row>
    <row r="95" spans="17:50">
      <c r="Q95" s="119"/>
      <c r="R95" s="119"/>
      <c r="S95" s="11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</row>
    <row r="96" spans="17:50">
      <c r="Q96" s="119"/>
      <c r="R96" s="119"/>
      <c r="S96" s="11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</row>
    <row r="97" spans="17:50">
      <c r="Q97" s="119"/>
      <c r="R97" s="119"/>
      <c r="S97" s="11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</row>
    <row r="98" spans="17:50">
      <c r="Q98" s="119"/>
      <c r="R98" s="119"/>
      <c r="S98" s="11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</row>
    <row r="99" spans="17:50">
      <c r="Q99" s="119"/>
      <c r="R99" s="119"/>
      <c r="S99" s="11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</row>
    <row r="100" spans="17:50">
      <c r="Q100" s="119"/>
      <c r="R100" s="119"/>
      <c r="S100" s="11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</row>
    <row r="101" spans="17:50">
      <c r="Q101" s="119"/>
      <c r="R101" s="119"/>
      <c r="S101" s="11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</row>
    <row r="102" spans="17:50">
      <c r="Q102" s="119"/>
      <c r="R102" s="119"/>
      <c r="S102" s="11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</row>
    <row r="103" spans="17:50">
      <c r="Q103" s="119"/>
      <c r="R103" s="119"/>
      <c r="S103" s="11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</row>
    <row r="104" spans="17:50">
      <c r="Q104" s="119"/>
      <c r="R104" s="119"/>
      <c r="S104" s="11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</row>
    <row r="105" spans="17:50">
      <c r="Q105" s="119"/>
      <c r="R105" s="119"/>
      <c r="S105" s="11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</row>
    <row r="106" spans="17:50">
      <c r="Q106" s="119"/>
      <c r="R106" s="119"/>
      <c r="S106" s="11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</row>
    <row r="107" spans="17:50">
      <c r="Q107" s="119"/>
      <c r="R107" s="119"/>
      <c r="S107" s="11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</row>
    <row r="108" spans="17:50">
      <c r="Q108" s="119"/>
      <c r="R108" s="119"/>
      <c r="S108" s="11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</row>
    <row r="109" spans="17:50">
      <c r="Q109" s="119"/>
      <c r="R109" s="119"/>
      <c r="S109" s="11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</row>
    <row r="110" spans="17:50">
      <c r="Q110" s="119"/>
      <c r="R110" s="119"/>
      <c r="S110" s="11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</row>
    <row r="111" spans="17:50">
      <c r="Q111" s="119"/>
      <c r="R111" s="119"/>
      <c r="S111" s="11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</row>
    <row r="112" spans="17:50">
      <c r="Q112" s="119"/>
      <c r="R112" s="119"/>
      <c r="S112" s="11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</row>
    <row r="113" spans="17:50">
      <c r="Q113" s="119"/>
      <c r="R113" s="119"/>
      <c r="S113" s="11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</row>
    <row r="114" spans="17:50">
      <c r="Q114" s="119"/>
      <c r="R114" s="119"/>
      <c r="S114" s="11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</row>
    <row r="115" spans="17:50">
      <c r="Q115" s="119"/>
      <c r="R115" s="119"/>
      <c r="S115" s="11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</row>
    <row r="116" spans="17:50">
      <c r="Q116" s="119"/>
      <c r="R116" s="119"/>
      <c r="S116" s="11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</row>
    <row r="117" spans="17:50">
      <c r="Q117" s="119"/>
      <c r="R117" s="119"/>
      <c r="S117" s="11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</row>
    <row r="118" spans="17:50">
      <c r="Q118" s="119"/>
      <c r="R118" s="119"/>
      <c r="S118" s="11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</row>
    <row r="119" spans="17:50">
      <c r="Q119" s="119"/>
      <c r="R119" s="119"/>
      <c r="S119" s="11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</row>
    <row r="120" spans="17:50">
      <c r="Q120" s="119"/>
      <c r="R120" s="119"/>
      <c r="S120" s="11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</row>
    <row r="121" spans="17:50">
      <c r="Q121" s="119"/>
      <c r="R121" s="119"/>
      <c r="S121" s="11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</row>
    <row r="122" spans="17:50">
      <c r="Q122" s="119"/>
      <c r="R122" s="119"/>
      <c r="S122" s="11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</row>
    <row r="123" spans="17:50">
      <c r="Q123" s="119"/>
      <c r="R123" s="119"/>
      <c r="S123" s="11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</row>
    <row r="124" spans="17:50">
      <c r="Q124" s="119"/>
      <c r="R124" s="119"/>
      <c r="S124" s="11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</row>
    <row r="125" spans="17:50">
      <c r="Q125" s="119"/>
      <c r="R125" s="119"/>
      <c r="S125" s="11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</row>
    <row r="126" spans="17:50">
      <c r="Q126" s="119"/>
      <c r="R126" s="119"/>
      <c r="S126" s="11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</row>
    <row r="127" spans="17:50">
      <c r="Q127" s="119"/>
      <c r="R127" s="119"/>
      <c r="S127" s="11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</row>
    <row r="128" spans="17:50">
      <c r="Q128" s="119"/>
      <c r="R128" s="119"/>
      <c r="S128" s="11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</row>
    <row r="129" spans="17:50">
      <c r="Q129" s="119"/>
      <c r="R129" s="119"/>
      <c r="S129" s="11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</row>
    <row r="130" spans="17:50">
      <c r="Q130" s="119"/>
      <c r="R130" s="119"/>
      <c r="S130" s="11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</row>
    <row r="131" spans="17:50">
      <c r="Q131" s="119"/>
      <c r="R131" s="119"/>
      <c r="S131" s="11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</row>
    <row r="132" spans="17:50">
      <c r="Q132" s="119"/>
      <c r="R132" s="119"/>
      <c r="S132" s="11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</row>
    <row r="133" spans="17:50">
      <c r="Q133" s="119"/>
      <c r="R133" s="119"/>
      <c r="S133" s="11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</row>
    <row r="134" spans="17:50">
      <c r="Q134" s="119"/>
      <c r="R134" s="119"/>
      <c r="S134" s="11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</row>
    <row r="135" spans="17:50">
      <c r="Q135" s="119"/>
      <c r="R135" s="119"/>
      <c r="S135" s="11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</row>
    <row r="136" spans="17:50">
      <c r="Q136" s="119"/>
      <c r="R136" s="119"/>
      <c r="S136" s="11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</row>
    <row r="137" spans="17:50">
      <c r="Q137" s="119"/>
      <c r="R137" s="119"/>
      <c r="S137" s="11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</row>
    <row r="138" spans="17:50">
      <c r="Q138" s="119"/>
      <c r="R138" s="119"/>
      <c r="S138" s="11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</row>
    <row r="139" spans="17:50">
      <c r="Q139" s="119"/>
      <c r="R139" s="119"/>
      <c r="S139" s="11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</row>
    <row r="140" spans="17:50">
      <c r="Q140" s="119"/>
      <c r="R140" s="119"/>
      <c r="S140" s="11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</row>
    <row r="141" spans="17:50">
      <c r="Q141" s="119"/>
      <c r="R141" s="119"/>
      <c r="S141" s="11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</row>
    <row r="142" spans="17:50">
      <c r="Q142" s="119"/>
      <c r="R142" s="119"/>
      <c r="S142" s="11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</row>
    <row r="143" spans="17:50">
      <c r="Q143" s="119"/>
      <c r="R143" s="119"/>
      <c r="S143" s="11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</row>
    <row r="144" spans="17:50">
      <c r="Q144" s="119"/>
      <c r="R144" s="119"/>
      <c r="S144" s="11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</row>
    <row r="145" spans="17:50">
      <c r="Q145" s="119"/>
      <c r="R145" s="119"/>
      <c r="S145" s="11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</row>
    <row r="146" spans="17:50">
      <c r="Q146" s="119"/>
      <c r="R146" s="119"/>
      <c r="S146" s="11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</row>
    <row r="147" spans="17:50">
      <c r="Q147" s="119"/>
      <c r="R147" s="119"/>
      <c r="S147" s="11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</row>
    <row r="148" spans="17:50">
      <c r="Q148" s="119"/>
      <c r="R148" s="119"/>
      <c r="S148" s="11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</row>
    <row r="149" spans="17:50">
      <c r="Q149" s="119"/>
      <c r="R149" s="119"/>
      <c r="S149" s="11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</row>
    <row r="150" spans="17:50">
      <c r="Q150" s="119"/>
      <c r="R150" s="119"/>
      <c r="S150" s="11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</row>
    <row r="151" spans="17:50">
      <c r="Q151" s="119"/>
      <c r="R151" s="119"/>
      <c r="S151" s="11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</row>
    <row r="152" spans="17:50">
      <c r="Q152" s="119"/>
      <c r="R152" s="119"/>
      <c r="S152" s="11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</row>
    <row r="153" spans="17:50">
      <c r="Q153" s="119"/>
      <c r="R153" s="119"/>
      <c r="S153" s="11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</row>
    <row r="154" spans="17:50">
      <c r="Q154" s="119"/>
      <c r="R154" s="119"/>
      <c r="S154" s="11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</row>
    <row r="155" spans="17:50">
      <c r="Q155" s="119"/>
      <c r="R155" s="119"/>
      <c r="S155" s="11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</row>
    <row r="156" spans="17:50">
      <c r="Q156" s="119"/>
      <c r="R156" s="119"/>
      <c r="S156" s="11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</row>
    <row r="157" spans="17:50">
      <c r="Q157" s="119"/>
      <c r="R157" s="119"/>
      <c r="S157" s="11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</row>
    <row r="158" spans="17:50">
      <c r="Q158" s="119"/>
      <c r="R158" s="119"/>
      <c r="S158" s="11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</row>
    <row r="159" spans="17:50">
      <c r="Q159" s="119"/>
      <c r="R159" s="119"/>
      <c r="S159" s="11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</row>
    <row r="160" spans="17:50">
      <c r="Q160" s="119"/>
      <c r="R160" s="119"/>
      <c r="S160" s="11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</row>
    <row r="161" spans="17:50">
      <c r="Q161" s="119"/>
      <c r="R161" s="119"/>
      <c r="S161" s="11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</row>
    <row r="162" spans="17:50">
      <c r="Q162" s="119"/>
      <c r="R162" s="119"/>
      <c r="S162" s="11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</row>
    <row r="163" spans="17:50">
      <c r="Q163" s="119"/>
      <c r="R163" s="119"/>
      <c r="S163" s="11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</row>
    <row r="164" spans="17:50">
      <c r="Q164" s="119"/>
      <c r="R164" s="119"/>
      <c r="S164" s="11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</row>
    <row r="165" spans="17:50">
      <c r="Q165" s="119"/>
      <c r="R165" s="119"/>
      <c r="S165" s="11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</row>
    <row r="166" spans="17:50">
      <c r="Q166" s="119"/>
      <c r="R166" s="119"/>
      <c r="S166" s="11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</row>
    <row r="167" spans="17:50">
      <c r="Q167" s="119"/>
      <c r="R167" s="119"/>
      <c r="S167" s="11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</row>
    <row r="168" spans="17:50">
      <c r="Q168" s="119"/>
      <c r="R168" s="119"/>
      <c r="S168" s="11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</row>
    <row r="169" spans="17:50">
      <c r="Q169" s="119"/>
      <c r="R169" s="119"/>
      <c r="S169" s="11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</row>
    <row r="170" spans="17:50">
      <c r="Q170" s="119"/>
      <c r="R170" s="119"/>
      <c r="S170" s="11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</row>
    <row r="171" spans="17:50">
      <c r="Q171" s="119"/>
      <c r="R171" s="119"/>
      <c r="S171" s="11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</row>
    <row r="172" spans="17:50">
      <c r="Q172" s="119"/>
      <c r="R172" s="119"/>
      <c r="S172" s="11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</row>
    <row r="173" spans="17:50">
      <c r="Q173" s="119"/>
      <c r="R173" s="119"/>
      <c r="S173" s="11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</row>
    <row r="174" spans="17:50">
      <c r="Q174" s="119"/>
      <c r="R174" s="119"/>
      <c r="S174" s="11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</row>
    <row r="175" spans="17:50">
      <c r="Q175" s="119"/>
      <c r="R175" s="119"/>
      <c r="S175" s="11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</row>
    <row r="176" spans="17:50">
      <c r="Q176" s="119"/>
      <c r="R176" s="119"/>
      <c r="S176" s="11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</row>
    <row r="177" spans="17:50">
      <c r="Q177" s="119"/>
      <c r="R177" s="119"/>
      <c r="S177" s="11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</row>
    <row r="178" spans="17:50">
      <c r="Q178" s="119"/>
      <c r="R178" s="119"/>
      <c r="S178" s="11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</row>
    <row r="179" spans="17:50">
      <c r="Q179" s="119"/>
      <c r="R179" s="119"/>
      <c r="S179" s="11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</row>
    <row r="180" spans="17:50">
      <c r="Q180" s="119"/>
      <c r="R180" s="119"/>
      <c r="S180" s="11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</row>
    <row r="181" spans="17:50">
      <c r="Q181" s="119"/>
      <c r="R181" s="119"/>
      <c r="S181" s="11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</row>
    <row r="182" spans="17:50">
      <c r="Q182" s="119"/>
      <c r="R182" s="119"/>
      <c r="S182" s="11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</row>
    <row r="183" spans="17:50">
      <c r="Q183" s="119"/>
      <c r="R183" s="119"/>
      <c r="S183" s="11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</row>
    <row r="184" spans="17:50">
      <c r="Q184" s="119"/>
      <c r="R184" s="119"/>
      <c r="S184" s="11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</row>
    <row r="185" spans="17:50">
      <c r="Q185" s="119"/>
      <c r="R185" s="119"/>
      <c r="S185" s="11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</row>
    <row r="186" spans="17:50">
      <c r="Q186" s="119"/>
      <c r="R186" s="119"/>
      <c r="S186" s="11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</row>
    <row r="187" spans="17:50">
      <c r="Q187" s="119"/>
      <c r="R187" s="119"/>
      <c r="S187" s="11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</row>
    <row r="188" spans="17:50">
      <c r="Q188" s="119"/>
      <c r="R188" s="119"/>
      <c r="S188" s="11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</row>
    <row r="189" spans="17:50">
      <c r="Q189" s="119"/>
      <c r="R189" s="119"/>
      <c r="S189" s="11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</row>
    <row r="190" spans="17:50">
      <c r="Q190" s="119"/>
      <c r="R190" s="119"/>
      <c r="S190" s="11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</row>
    <row r="191" spans="17:50">
      <c r="Q191" s="119"/>
      <c r="R191" s="119"/>
      <c r="S191" s="11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</row>
    <row r="192" spans="17:50">
      <c r="Q192" s="119"/>
      <c r="R192" s="119"/>
      <c r="S192" s="11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</row>
    <row r="193" spans="17:50">
      <c r="Q193" s="119"/>
      <c r="R193" s="119"/>
      <c r="S193" s="11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</row>
    <row r="194" spans="17:50">
      <c r="Q194" s="119"/>
      <c r="R194" s="119"/>
      <c r="S194" s="11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</row>
    <row r="195" spans="17:50">
      <c r="Q195" s="119"/>
      <c r="R195" s="119"/>
      <c r="S195" s="11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</row>
    <row r="196" spans="17:50">
      <c r="Q196" s="119"/>
      <c r="R196" s="119"/>
      <c r="S196" s="11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</row>
    <row r="197" spans="17:50">
      <c r="Q197" s="119"/>
      <c r="R197" s="119"/>
      <c r="S197" s="11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</row>
    <row r="198" spans="17:50">
      <c r="Q198" s="119"/>
      <c r="R198" s="119"/>
      <c r="S198" s="11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</row>
    <row r="199" spans="17:50">
      <c r="Q199" s="119"/>
      <c r="R199" s="119"/>
      <c r="S199" s="11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</row>
    <row r="200" spans="17:50">
      <c r="Q200" s="119"/>
      <c r="R200" s="119"/>
      <c r="S200" s="11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</row>
    <row r="201" spans="17:50">
      <c r="Q201" s="119"/>
      <c r="R201" s="119"/>
      <c r="S201" s="11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</row>
    <row r="202" spans="17:50">
      <c r="Q202" s="119"/>
      <c r="R202" s="119"/>
      <c r="S202" s="11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</row>
    <row r="203" spans="17:50">
      <c r="Q203" s="119"/>
      <c r="R203" s="119"/>
      <c r="S203" s="11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</row>
    <row r="204" spans="17:50">
      <c r="Q204" s="119"/>
      <c r="R204" s="119"/>
      <c r="S204" s="11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</row>
    <row r="205" spans="17:50">
      <c r="Q205" s="119"/>
      <c r="R205" s="119"/>
      <c r="S205" s="11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</row>
    <row r="206" spans="17:50">
      <c r="Q206" s="119"/>
      <c r="R206" s="119"/>
      <c r="S206" s="11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</row>
    <row r="207" spans="17:50">
      <c r="Q207" s="119"/>
      <c r="R207" s="119"/>
      <c r="S207" s="11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</row>
    <row r="208" spans="17:50">
      <c r="Q208" s="119"/>
      <c r="R208" s="119"/>
      <c r="S208" s="11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</row>
    <row r="209" spans="1:50">
      <c r="Q209" s="119"/>
      <c r="R209" s="119"/>
      <c r="S209" s="11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</row>
    <row r="210" spans="1:50">
      <c r="Q210" s="119"/>
      <c r="R210" s="119"/>
      <c r="S210" s="11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</row>
    <row r="211" spans="1:50">
      <c r="Q211" s="119"/>
      <c r="R211" s="119"/>
      <c r="S211" s="11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</row>
    <row r="212" spans="1:50">
      <c r="Q212" s="119"/>
      <c r="R212" s="119"/>
      <c r="S212" s="11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</row>
    <row r="213" spans="1:50">
      <c r="A213" s="89"/>
      <c r="B213" s="89"/>
      <c r="Q213" s="119"/>
      <c r="R213" s="119"/>
      <c r="S213" s="11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</row>
    <row r="214" spans="1:50">
      <c r="A214" s="89"/>
      <c r="B214" s="89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Q214" s="121"/>
      <c r="R214" s="121"/>
      <c r="S214" s="121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</row>
    <row r="215" spans="1:50">
      <c r="A215" s="89"/>
      <c r="B215" s="89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</row>
    <row r="216" spans="1:50">
      <c r="A216" s="89"/>
      <c r="B216" s="89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</row>
    <row r="217" spans="1:50">
      <c r="A217" s="89"/>
      <c r="B217" s="89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</row>
    <row r="218" spans="1:50">
      <c r="A218" s="89"/>
      <c r="B218" s="89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</row>
    <row r="219" spans="1:50">
      <c r="A219" s="89"/>
      <c r="B219" s="89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</row>
    <row r="220" spans="1:50">
      <c r="A220" s="89"/>
      <c r="B220" s="89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</row>
    <row r="221" spans="1:50">
      <c r="A221" s="89"/>
      <c r="B221" s="89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</row>
    <row r="222" spans="1:50">
      <c r="A222" s="89"/>
      <c r="B222" s="89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</row>
    <row r="223" spans="1:50">
      <c r="A223" s="89"/>
      <c r="B223" s="89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</row>
    <row r="224" spans="1:50">
      <c r="A224" s="89"/>
      <c r="B224" s="89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</row>
    <row r="225" spans="1:50">
      <c r="A225" s="89"/>
      <c r="B225" s="89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</row>
    <row r="226" spans="1:50">
      <c r="A226" s="89"/>
      <c r="B226" s="89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</row>
    <row r="227" spans="1:50">
      <c r="A227" s="89"/>
      <c r="B227" s="89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</row>
    <row r="228" spans="1:50">
      <c r="A228" s="89"/>
      <c r="B228" s="89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</row>
    <row r="229" spans="1:50">
      <c r="A229" s="89"/>
      <c r="B229" s="89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</row>
    <row r="230" spans="1:50">
      <c r="A230" s="89"/>
      <c r="B230" s="89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</row>
    <row r="231" spans="1:50">
      <c r="A231" s="89"/>
      <c r="B231" s="89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</row>
    <row r="232" spans="1:50">
      <c r="A232" s="89"/>
      <c r="B232" s="89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</row>
    <row r="233" spans="1:50">
      <c r="A233" s="89"/>
      <c r="B233" s="89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</row>
    <row r="234" spans="1:50">
      <c r="A234" s="89"/>
      <c r="B234" s="89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</row>
    <row r="235" spans="1:50">
      <c r="A235" s="89"/>
      <c r="B235" s="89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</row>
    <row r="236" spans="1:50">
      <c r="A236" s="89"/>
      <c r="B236" s="89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</row>
    <row r="237" spans="1:50">
      <c r="A237" s="89"/>
      <c r="B237" s="89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</row>
    <row r="238" spans="1:50">
      <c r="A238" s="89"/>
      <c r="B238" s="89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</row>
    <row r="239" spans="1:50">
      <c r="A239" s="89"/>
      <c r="B239" s="89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</row>
    <row r="240" spans="1:50">
      <c r="A240" s="89"/>
      <c r="B240" s="89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</row>
    <row r="241" spans="1:50">
      <c r="A241" s="89"/>
      <c r="B241" s="89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</row>
    <row r="242" spans="1:50">
      <c r="A242" s="89"/>
      <c r="B242" s="89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</row>
    <row r="243" spans="1:50">
      <c r="A243" s="89"/>
      <c r="B243" s="89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</row>
    <row r="244" spans="1:50">
      <c r="A244" s="89"/>
      <c r="B244" s="89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</row>
    <row r="245" spans="1:50">
      <c r="A245" s="89"/>
      <c r="B245" s="89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</row>
    <row r="246" spans="1:50">
      <c r="A246" s="89"/>
      <c r="B246" s="89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</row>
    <row r="247" spans="1:50">
      <c r="A247" s="89"/>
      <c r="B247" s="89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</row>
    <row r="248" spans="1:50">
      <c r="A248" s="89"/>
      <c r="B248" s="89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</row>
    <row r="249" spans="1:50">
      <c r="A249" s="89"/>
      <c r="B249" s="89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</row>
    <row r="250" spans="1:50">
      <c r="A250" s="89"/>
      <c r="B250" s="89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</row>
    <row r="251" spans="1:50">
      <c r="A251" s="89"/>
      <c r="B251" s="89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</row>
    <row r="252" spans="1:50">
      <c r="A252" s="89"/>
      <c r="B252" s="89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</row>
    <row r="253" spans="1:50">
      <c r="A253" s="89"/>
      <c r="B253" s="89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</row>
    <row r="254" spans="1:50">
      <c r="A254" s="89"/>
      <c r="B254" s="89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</row>
    <row r="255" spans="1:50">
      <c r="A255" s="89"/>
      <c r="B255" s="89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</row>
    <row r="256" spans="1:50">
      <c r="A256" s="89"/>
      <c r="B256" s="89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</row>
    <row r="257" spans="1:50">
      <c r="A257" s="89"/>
      <c r="B257" s="89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</row>
    <row r="258" spans="1:50">
      <c r="A258" s="89"/>
      <c r="B258" s="89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</row>
    <row r="259" spans="1:50">
      <c r="A259" s="89"/>
      <c r="B259" s="89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</row>
    <row r="260" spans="1:50">
      <c r="A260" s="89"/>
      <c r="B260" s="89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</row>
    <row r="261" spans="1:50">
      <c r="A261" s="89"/>
      <c r="B261" s="89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</row>
    <row r="262" spans="1:50">
      <c r="A262" s="89"/>
      <c r="B262" s="89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</row>
    <row r="263" spans="1:50">
      <c r="A263" s="89"/>
      <c r="B263" s="89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</row>
    <row r="264" spans="1:50">
      <c r="A264" s="89"/>
      <c r="B264" s="89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</row>
    <row r="265" spans="1:50">
      <c r="A265" s="89"/>
      <c r="B265" s="89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</row>
    <row r="266" spans="1:50">
      <c r="A266" s="89"/>
      <c r="B266" s="89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</row>
    <row r="267" spans="1:50">
      <c r="A267" s="89"/>
      <c r="B267" s="89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</row>
    <row r="268" spans="1:50">
      <c r="A268" s="89"/>
      <c r="B268" s="89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</row>
    <row r="269" spans="1:50">
      <c r="A269" s="89"/>
      <c r="B269" s="89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</row>
    <row r="270" spans="1:50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121"/>
      <c r="Q270" s="121"/>
      <c r="R270" s="121"/>
      <c r="S270" s="121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</row>
    <row r="271" spans="1:50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</row>
    <row r="272" spans="1:50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</row>
    <row r="273" spans="1:50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</row>
    <row r="274" spans="1:50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</row>
    <row r="275" spans="1:50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</row>
    <row r="276" spans="1:50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</row>
    <row r="277" spans="1:50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</row>
    <row r="278" spans="1:50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</row>
    <row r="279" spans="1:50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</row>
    <row r="280" spans="1:50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</row>
    <row r="281" spans="1:50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</row>
    <row r="282" spans="1:50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</row>
    <row r="283" spans="1:50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</row>
    <row r="284" spans="1:50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</row>
    <row r="285" spans="1:50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</row>
    <row r="286" spans="1:50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</row>
    <row r="287" spans="1:50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</row>
    <row r="288" spans="1:50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</row>
    <row r="289" spans="1:50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</row>
    <row r="290" spans="1:50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</row>
    <row r="291" spans="1:50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</row>
    <row r="292" spans="1:50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</row>
    <row r="293" spans="1:50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</row>
    <row r="294" spans="1:50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</row>
    <row r="295" spans="1:50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</row>
    <row r="296" spans="1:50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</row>
    <row r="297" spans="1:50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</row>
    <row r="298" spans="1:50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</row>
    <row r="299" spans="1:50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</row>
    <row r="300" spans="1:50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</row>
    <row r="301" spans="1:50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</row>
    <row r="302" spans="1:50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</row>
    <row r="303" spans="1:50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</row>
    <row r="304" spans="1:50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</row>
    <row r="305" spans="1:50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</row>
    <row r="306" spans="1:50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</row>
    <row r="307" spans="1:50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</row>
    <row r="308" spans="1:50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</row>
    <row r="309" spans="1:50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</row>
    <row r="310" spans="1:50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</row>
    <row r="311" spans="1:50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</row>
    <row r="312" spans="1:50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</row>
    <row r="313" spans="1:50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</row>
    <row r="314" spans="1:50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</row>
    <row r="315" spans="1:50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</row>
    <row r="316" spans="1:50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</row>
    <row r="317" spans="1:50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</row>
    <row r="318" spans="1:50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</row>
    <row r="319" spans="1:50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</row>
    <row r="320" spans="1:50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</row>
    <row r="321" spans="1:50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</row>
    <row r="322" spans="1:50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</row>
    <row r="323" spans="1:50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</row>
    <row r="324" spans="1:50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</row>
    <row r="325" spans="1:50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</row>
    <row r="326" spans="1:50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</row>
    <row r="327" spans="1:50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</row>
    <row r="328" spans="1:50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</row>
    <row r="329" spans="1:50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</row>
    <row r="330" spans="1:50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</row>
    <row r="331" spans="1:50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</row>
    <row r="332" spans="1:50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</row>
    <row r="333" spans="1:50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</row>
    <row r="334" spans="1:50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</row>
    <row r="335" spans="1:50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</row>
    <row r="336" spans="1:50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</row>
    <row r="337" spans="1:50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</row>
    <row r="338" spans="1:50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</row>
    <row r="339" spans="1:50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</row>
    <row r="340" spans="1:50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</row>
    <row r="341" spans="1:50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</row>
    <row r="342" spans="1:50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</row>
    <row r="343" spans="1:50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</row>
    <row r="344" spans="1:50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</row>
    <row r="345" spans="1:50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</row>
    <row r="346" spans="1:50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</row>
    <row r="347" spans="1:50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</row>
    <row r="348" spans="1:50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</row>
    <row r="349" spans="1:50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</row>
    <row r="350" spans="1:50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</row>
    <row r="351" spans="1:50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</row>
    <row r="352" spans="1:50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</row>
    <row r="353" spans="1:50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</row>
    <row r="354" spans="1:50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</row>
    <row r="355" spans="1:50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</row>
    <row r="356" spans="1:50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</row>
    <row r="357" spans="1:50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</row>
    <row r="358" spans="1:50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</row>
    <row r="359" spans="1:50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</row>
    <row r="360" spans="1:50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</row>
    <row r="361" spans="1:50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</row>
    <row r="362" spans="1:50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</row>
    <row r="363" spans="1:50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</row>
    <row r="364" spans="1:50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</row>
    <row r="365" spans="1:50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</row>
    <row r="366" spans="1:50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</row>
    <row r="367" spans="1:50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</row>
    <row r="368" spans="1:50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</row>
    <row r="369" spans="1:50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</row>
    <row r="370" spans="1:50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</row>
    <row r="371" spans="1:50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</row>
    <row r="372" spans="1:50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</row>
    <row r="373" spans="1:50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</row>
    <row r="374" spans="1:50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</row>
    <row r="375" spans="1:50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</row>
    <row r="376" spans="1:50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</row>
    <row r="377" spans="1:50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</row>
    <row r="378" spans="1:50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</row>
    <row r="379" spans="1:50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</row>
    <row r="380" spans="1:50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</row>
    <row r="381" spans="1:50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AB381" s="89"/>
      <c r="AD381" s="89"/>
      <c r="AE381" s="89"/>
    </row>
    <row r="382" spans="1:50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W382" s="89"/>
      <c r="X382" s="89"/>
      <c r="Y382" s="89"/>
    </row>
    <row r="383" spans="1:50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W383" s="89"/>
      <c r="Y383" s="89"/>
    </row>
    <row r="384" spans="1:50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Y384" s="89"/>
    </row>
    <row r="385" spans="1:14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</row>
    <row r="386" spans="1:14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</row>
    <row r="387" spans="1:14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</row>
    <row r="388" spans="1:14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</row>
    <row r="389" spans="1:14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</row>
    <row r="390" spans="1:14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</row>
    <row r="391" spans="1:14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</row>
    <row r="392" spans="1:14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</row>
    <row r="393" spans="1:14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</row>
    <row r="394" spans="1:14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</row>
    <row r="395" spans="1:14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</row>
    <row r="396" spans="1:14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</row>
    <row r="397" spans="1:14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</row>
    <row r="398" spans="1:14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</row>
    <row r="399" spans="1:14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</row>
    <row r="400" spans="1:14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</row>
    <row r="401" spans="1:14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</row>
    <row r="402" spans="1:14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</row>
    <row r="403" spans="1:14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</row>
    <row r="404" spans="1:14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</row>
    <row r="405" spans="1:14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</row>
    <row r="406" spans="1:14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</row>
    <row r="407" spans="1:14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</row>
    <row r="408" spans="1:14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</row>
    <row r="409" spans="1:14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</row>
    <row r="410" spans="1:14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</row>
    <row r="411" spans="1:14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</row>
    <row r="412" spans="1:14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</row>
    <row r="413" spans="1:14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</row>
    <row r="414" spans="1:14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</row>
    <row r="415" spans="1:14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</row>
    <row r="416" spans="1:14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</row>
    <row r="417" spans="1:14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</row>
    <row r="418" spans="1:14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</row>
    <row r="419" spans="1:14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</row>
    <row r="420" spans="1:14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</row>
    <row r="421" spans="1:14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</row>
    <row r="422" spans="1:14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</row>
    <row r="423" spans="1:14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</row>
    <row r="424" spans="1:14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</row>
    <row r="425" spans="1:14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</row>
    <row r="426" spans="1:14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</row>
    <row r="427" spans="1:14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</row>
    <row r="428" spans="1:14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</row>
    <row r="429" spans="1:14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</row>
    <row r="430" spans="1:14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</row>
    <row r="431" spans="1:14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</row>
    <row r="432" spans="1:14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</row>
    <row r="433" spans="1:14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</row>
    <row r="434" spans="1:14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</row>
    <row r="435" spans="1:14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</row>
    <row r="436" spans="1:14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</row>
    <row r="437" spans="1:14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</row>
    <row r="438" spans="1:14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</row>
    <row r="439" spans="1:14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</row>
    <row r="440" spans="1:14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</row>
    <row r="441" spans="1:14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</row>
    <row r="442" spans="1:14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</row>
    <row r="443" spans="1:14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</row>
    <row r="444" spans="1:14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</row>
    <row r="445" spans="1:14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</row>
    <row r="446" spans="1:14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</row>
    <row r="447" spans="1:14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</row>
    <row r="448" spans="1:14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</row>
    <row r="449" spans="1:14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</row>
    <row r="450" spans="1:14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</row>
    <row r="451" spans="1:14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</row>
    <row r="452" spans="1:14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</row>
    <row r="453" spans="1:14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</row>
    <row r="454" spans="1:14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</row>
    <row r="455" spans="1:14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</row>
    <row r="456" spans="1:14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</row>
    <row r="457" spans="1:14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</row>
    <row r="458" spans="1:14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</row>
    <row r="459" spans="1:14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</row>
    <row r="460" spans="1:14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</row>
    <row r="461" spans="1:14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</row>
    <row r="462" spans="1:14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</row>
    <row r="463" spans="1:14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</row>
    <row r="464" spans="1:14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</row>
    <row r="465" spans="1:14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</row>
    <row r="466" spans="1:14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</row>
    <row r="467" spans="1:14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</row>
    <row r="468" spans="1:14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</row>
    <row r="469" spans="1:14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</row>
    <row r="470" spans="1:14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</row>
    <row r="471" spans="1:14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</row>
    <row r="472" spans="1:14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</row>
    <row r="473" spans="1:14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</row>
    <row r="474" spans="1:14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</row>
    <row r="475" spans="1:14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</row>
    <row r="476" spans="1:14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</row>
    <row r="477" spans="1:14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</row>
    <row r="478" spans="1:14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</row>
    <row r="479" spans="1:14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</row>
    <row r="480" spans="1:14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</row>
    <row r="481" spans="1:14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</row>
    <row r="482" spans="1:14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</row>
    <row r="483" spans="1:14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</row>
    <row r="484" spans="1:14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</row>
    <row r="485" spans="1:14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</row>
    <row r="486" spans="1:14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</row>
    <row r="487" spans="1:14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</row>
    <row r="488" spans="1:14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</row>
    <row r="489" spans="1:14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</row>
    <row r="490" spans="1:14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</row>
    <row r="491" spans="1:14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</row>
    <row r="492" spans="1:14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</row>
    <row r="493" spans="1:14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</row>
    <row r="494" spans="1:14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</row>
    <row r="495" spans="1:14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</row>
    <row r="496" spans="1:14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</row>
    <row r="497" spans="1:14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</row>
    <row r="498" spans="1:14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</row>
    <row r="499" spans="1:14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</row>
    <row r="500" spans="1:14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</row>
    <row r="501" spans="1:14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</row>
    <row r="502" spans="1:14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</row>
    <row r="503" spans="1:14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</row>
    <row r="504" spans="1:14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</row>
    <row r="505" spans="1:14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</row>
    <row r="506" spans="1:14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</row>
    <row r="507" spans="1:14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</row>
    <row r="508" spans="1:14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</row>
    <row r="509" spans="1:14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</row>
    <row r="510" spans="1:14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</row>
    <row r="511" spans="1:14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</row>
    <row r="512" spans="1:14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</row>
    <row r="513" spans="1:14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</row>
    <row r="514" spans="1:14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</row>
    <row r="515" spans="1:14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</row>
    <row r="516" spans="1:14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</row>
    <row r="517" spans="1:14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</row>
    <row r="518" spans="1:14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</row>
    <row r="519" spans="1:14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</row>
    <row r="520" spans="1:14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</row>
    <row r="521" spans="1:14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</row>
    <row r="522" spans="1:14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</row>
    <row r="523" spans="1:14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</row>
    <row r="524" spans="1:14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</row>
    <row r="525" spans="1:14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</row>
    <row r="526" spans="1:14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</row>
    <row r="527" spans="1:14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</row>
    <row r="528" spans="1:14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</row>
    <row r="529" spans="1:14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</row>
    <row r="530" spans="1:14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</row>
    <row r="531" spans="1:14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</row>
    <row r="532" spans="1:14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</row>
    <row r="533" spans="1:14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</row>
    <row r="534" spans="1:14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</row>
    <row r="535" spans="1:14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</row>
    <row r="536" spans="1:14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</row>
    <row r="537" spans="1:14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</row>
    <row r="538" spans="1:14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</row>
    <row r="539" spans="1:14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</row>
    <row r="540" spans="1:14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</row>
    <row r="541" spans="1:14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</row>
    <row r="542" spans="1:14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</row>
    <row r="543" spans="1:14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</row>
    <row r="544" spans="1:14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</row>
    <row r="545" spans="1:14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</row>
    <row r="546" spans="1:14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</row>
    <row r="547" spans="1:14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</row>
    <row r="548" spans="1:14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</row>
    <row r="549" spans="1:14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</row>
    <row r="550" spans="1:14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</row>
    <row r="551" spans="1:14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</row>
    <row r="552" spans="1:14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</row>
    <row r="553" spans="1:14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</row>
    <row r="554" spans="1:14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</row>
    <row r="555" spans="1:14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</row>
    <row r="556" spans="1:14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</row>
    <row r="557" spans="1:14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</row>
    <row r="558" spans="1:14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</row>
    <row r="559" spans="1:14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</row>
    <row r="560" spans="1:14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</row>
    <row r="561" spans="1:14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</row>
    <row r="562" spans="1:14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</row>
    <row r="563" spans="1:14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</row>
    <row r="564" spans="1:14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</row>
    <row r="565" spans="1:14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</row>
    <row r="566" spans="1:14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</row>
    <row r="567" spans="1:14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</row>
    <row r="568" spans="1:14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</row>
    <row r="569" spans="1:14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</row>
    <row r="570" spans="1:14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</row>
    <row r="571" spans="1:14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</row>
    <row r="572" spans="1:14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</row>
    <row r="573" spans="1:14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</row>
    <row r="574" spans="1:14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</row>
    <row r="575" spans="1:14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</row>
    <row r="576" spans="1:14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</row>
    <row r="577" spans="1:14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</row>
    <row r="578" spans="1:14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</row>
    <row r="579" spans="1:14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</row>
    <row r="580" spans="1:14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</row>
    <row r="581" spans="1:14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</row>
    <row r="582" spans="1:14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</row>
    <row r="583" spans="1:14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</row>
    <row r="584" spans="1:14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</row>
    <row r="585" spans="1:14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</row>
    <row r="586" spans="1:14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</row>
    <row r="587" spans="1:14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</row>
    <row r="588" spans="1:14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</row>
    <row r="589" spans="1:14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</row>
    <row r="590" spans="1:14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</row>
    <row r="591" spans="1:14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</row>
    <row r="592" spans="1:14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</row>
    <row r="593" spans="1:14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</row>
    <row r="594" spans="1:14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</row>
    <row r="595" spans="1:14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</row>
    <row r="596" spans="1:14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</row>
    <row r="597" spans="1:14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</row>
    <row r="598" spans="1:14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</row>
    <row r="599" spans="1:14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</row>
    <row r="600" spans="1:14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</row>
    <row r="601" spans="1:14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</row>
    <row r="602" spans="1:14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</row>
    <row r="603" spans="1:14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</row>
    <row r="604" spans="1:14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</row>
    <row r="605" spans="1:14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</row>
    <row r="606" spans="1:14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</row>
  </sheetData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ColWidth="9.33203125" defaultRowHeight="12.75"/>
  <cols>
    <col min="1" max="1" width="9.33203125" style="122"/>
    <col min="2" max="2" width="54" style="122" bestFit="1" customWidth="1"/>
    <col min="3" max="3" width="10.5" style="122" bestFit="1" customWidth="1"/>
    <col min="4" max="16384" width="9.33203125" style="122"/>
  </cols>
  <sheetData>
    <row r="1" spans="1:5" ht="15.75">
      <c r="A1" s="213" t="s">
        <v>139</v>
      </c>
    </row>
    <row r="3" spans="1:5" ht="15.75">
      <c r="A3" s="214" t="s">
        <v>140</v>
      </c>
    </row>
    <row r="5" spans="1:5" ht="15.75">
      <c r="A5" s="215"/>
      <c r="B5" s="215"/>
      <c r="C5" s="216" t="s">
        <v>141</v>
      </c>
    </row>
    <row r="6" spans="1:5" ht="15.75">
      <c r="A6" s="215"/>
      <c r="B6" s="215"/>
      <c r="C6" s="216" t="s">
        <v>142</v>
      </c>
    </row>
    <row r="7" spans="1:5" ht="15.75">
      <c r="A7" s="565" t="s">
        <v>143</v>
      </c>
      <c r="B7" s="565"/>
      <c r="C7" s="217" t="s">
        <v>144</v>
      </c>
    </row>
    <row r="8" spans="1:5" ht="15.75">
      <c r="A8" s="218"/>
      <c r="B8" s="218"/>
      <c r="C8" s="219"/>
    </row>
    <row r="9" spans="1:5" ht="15.75">
      <c r="A9" s="151"/>
      <c r="B9" s="215"/>
      <c r="C9" s="215"/>
    </row>
    <row r="10" spans="1:5" ht="15.75">
      <c r="A10" s="220" t="s">
        <v>145</v>
      </c>
      <c r="B10" s="215"/>
      <c r="C10" s="221"/>
    </row>
    <row r="11" spans="1:5" ht="15.75">
      <c r="A11" s="215"/>
      <c r="B11" s="215" t="s">
        <v>146</v>
      </c>
      <c r="C11" s="516">
        <v>9.7999999999999997E-3</v>
      </c>
      <c r="E11" s="200"/>
    </row>
    <row r="12" spans="1:5" ht="15.75">
      <c r="A12" s="215"/>
      <c r="B12" s="215" t="s">
        <v>147</v>
      </c>
      <c r="C12" s="516">
        <v>0</v>
      </c>
      <c r="E12" s="200"/>
    </row>
    <row r="13" spans="1:5" ht="15.75">
      <c r="A13" s="215"/>
      <c r="B13" s="215" t="s">
        <v>148</v>
      </c>
      <c r="C13" s="221">
        <v>1.54E-2</v>
      </c>
      <c r="E13" s="201"/>
    </row>
    <row r="14" spans="1:5" ht="15.75">
      <c r="A14" s="215"/>
      <c r="B14" s="215" t="s">
        <v>149</v>
      </c>
      <c r="C14" s="221">
        <v>1.43E-2</v>
      </c>
      <c r="E14" s="201"/>
    </row>
    <row r="15" spans="1:5" ht="15.75">
      <c r="A15" s="215"/>
      <c r="B15" s="215" t="s">
        <v>150</v>
      </c>
      <c r="C15" s="221">
        <v>1.9800000000000002E-2</v>
      </c>
      <c r="E15" s="200"/>
    </row>
    <row r="16" spans="1:5" ht="15.75">
      <c r="A16" s="215"/>
      <c r="B16" s="215" t="s">
        <v>151</v>
      </c>
      <c r="C16" s="221">
        <v>4.5999999999999999E-3</v>
      </c>
      <c r="E16" s="200"/>
    </row>
    <row r="17" spans="1:5" ht="15.75">
      <c r="A17" s="215"/>
      <c r="B17" s="222" t="s">
        <v>152</v>
      </c>
      <c r="C17" s="221">
        <v>1.21E-2</v>
      </c>
      <c r="E17" s="200"/>
    </row>
    <row r="18" spans="1:5" ht="15.75">
      <c r="A18" s="215"/>
      <c r="B18" s="222" t="s">
        <v>153</v>
      </c>
      <c r="C18" s="221">
        <v>2.2800000000000001E-2</v>
      </c>
      <c r="E18" s="200"/>
    </row>
    <row r="19" spans="1:5" ht="15.75">
      <c r="A19" s="215"/>
      <c r="B19" s="215" t="s">
        <v>154</v>
      </c>
      <c r="C19" s="221">
        <v>1.7899999999999999E-2</v>
      </c>
      <c r="E19" s="200"/>
    </row>
    <row r="20" spans="1:5" ht="15.75">
      <c r="A20" s="215"/>
      <c r="B20" s="215" t="s">
        <v>155</v>
      </c>
      <c r="C20" s="221">
        <v>2.5999999999999999E-2</v>
      </c>
      <c r="E20" s="200"/>
    </row>
    <row r="21" spans="1:5" ht="15.75">
      <c r="A21" s="215"/>
      <c r="B21" s="222" t="s">
        <v>156</v>
      </c>
      <c r="C21" s="221">
        <v>1.26E-2</v>
      </c>
      <c r="E21" s="200"/>
    </row>
    <row r="22" spans="1:5" ht="15.75">
      <c r="A22" s="215"/>
      <c r="B22" s="230" t="s">
        <v>423</v>
      </c>
      <c r="C22" s="223"/>
    </row>
    <row r="23" spans="1:5" ht="15.75">
      <c r="A23" s="215"/>
      <c r="B23" s="220" t="s">
        <v>157</v>
      </c>
      <c r="C23" s="221"/>
    </row>
    <row r="26" spans="1:5" ht="15.75">
      <c r="A26" s="214" t="s">
        <v>158</v>
      </c>
    </row>
    <row r="28" spans="1:5" ht="15.75">
      <c r="A28" s="224"/>
      <c r="B28" s="224"/>
      <c r="C28" s="216" t="s">
        <v>141</v>
      </c>
    </row>
    <row r="29" spans="1:5" ht="15.75">
      <c r="A29" s="224"/>
      <c r="B29" s="212"/>
      <c r="C29" s="216" t="s">
        <v>142</v>
      </c>
    </row>
    <row r="30" spans="1:5" ht="15.75">
      <c r="A30" s="565" t="s">
        <v>143</v>
      </c>
      <c r="B30" s="565"/>
      <c r="C30" s="217" t="s">
        <v>144</v>
      </c>
    </row>
    <row r="31" spans="1:5" ht="15.75">
      <c r="A31" s="224"/>
      <c r="B31" s="224"/>
      <c r="C31" s="219"/>
    </row>
    <row r="32" spans="1:5" ht="15.75">
      <c r="A32" s="225" t="s">
        <v>159</v>
      </c>
      <c r="B32" s="224"/>
      <c r="C32" s="226"/>
    </row>
    <row r="33" spans="1:5" ht="15.75">
      <c r="A33" s="227" t="s">
        <v>160</v>
      </c>
      <c r="B33" s="228"/>
      <c r="C33" s="229"/>
    </row>
    <row r="34" spans="1:5" ht="15.75">
      <c r="A34" s="224"/>
      <c r="B34" s="230" t="s">
        <v>161</v>
      </c>
      <c r="C34" s="231">
        <v>0</v>
      </c>
      <c r="E34" s="202"/>
    </row>
    <row r="35" spans="1:5" ht="15.75">
      <c r="A35" s="224"/>
      <c r="B35" s="230" t="s">
        <v>146</v>
      </c>
      <c r="C35" s="232">
        <v>3.9199999999999999E-2</v>
      </c>
      <c r="E35" s="202"/>
    </row>
    <row r="36" spans="1:5" ht="15.75">
      <c r="A36" s="224"/>
      <c r="B36" s="230" t="s">
        <v>162</v>
      </c>
      <c r="C36" s="232">
        <v>1.17E-2</v>
      </c>
      <c r="E36" s="202"/>
    </row>
    <row r="37" spans="1:5" ht="15.75">
      <c r="A37" s="224"/>
      <c r="B37" s="230" t="s">
        <v>150</v>
      </c>
      <c r="C37" s="517">
        <v>1.32E-2</v>
      </c>
      <c r="E37" s="202"/>
    </row>
    <row r="38" spans="1:5" ht="15.75">
      <c r="A38" s="224"/>
      <c r="B38" s="230" t="s">
        <v>152</v>
      </c>
      <c r="C38" s="232">
        <v>1.38E-2</v>
      </c>
      <c r="E38" s="202"/>
    </row>
    <row r="39" spans="1:5" ht="15.75">
      <c r="A39" s="224"/>
      <c r="B39" s="230" t="s">
        <v>153</v>
      </c>
      <c r="C39" s="232">
        <v>2.9499999999999998E-2</v>
      </c>
      <c r="E39" s="202"/>
    </row>
    <row r="40" spans="1:5" ht="15.75">
      <c r="A40" s="224"/>
      <c r="B40" s="230" t="s">
        <v>163</v>
      </c>
      <c r="C40" s="232">
        <v>2.52E-2</v>
      </c>
      <c r="E40" s="202"/>
    </row>
    <row r="41" spans="1:5" ht="15.75">
      <c r="A41" s="224"/>
      <c r="B41" s="230" t="s">
        <v>155</v>
      </c>
      <c r="C41" s="232">
        <v>1.8499999999999999E-2</v>
      </c>
      <c r="E41" s="202"/>
    </row>
    <row r="42" spans="1:5" ht="15.75">
      <c r="A42" s="224"/>
      <c r="B42" s="230" t="s">
        <v>156</v>
      </c>
      <c r="C42" s="232">
        <v>3.6499999999999998E-2</v>
      </c>
      <c r="E42" s="202"/>
    </row>
    <row r="43" spans="1:5" ht="15.75">
      <c r="A43" s="224"/>
      <c r="B43" s="230" t="s">
        <v>423</v>
      </c>
      <c r="C43" s="232"/>
    </row>
    <row r="44" spans="1:5" ht="15.75">
      <c r="A44" s="228"/>
      <c r="B44" s="220" t="s">
        <v>157</v>
      </c>
      <c r="C44" s="231"/>
    </row>
    <row r="47" spans="1:5">
      <c r="B47" s="233" t="s">
        <v>1015</v>
      </c>
    </row>
    <row r="48" spans="1:5">
      <c r="B48" s="122" t="s">
        <v>424</v>
      </c>
    </row>
    <row r="49" spans="2:2">
      <c r="B49" s="122" t="s">
        <v>425</v>
      </c>
    </row>
  </sheetData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96"/>
  <sheetViews>
    <sheetView workbookViewId="0"/>
  </sheetViews>
  <sheetFormatPr defaultColWidth="9.33203125" defaultRowHeight="15"/>
  <cols>
    <col min="1" max="1" width="9.33203125" style="554"/>
    <col min="2" max="2" width="61" style="327" customWidth="1"/>
    <col min="3" max="3" width="20.83203125" style="309" bestFit="1" customWidth="1"/>
    <col min="4" max="4" width="12.1640625" style="309" customWidth="1"/>
    <col min="5" max="5" width="15.6640625" style="309" customWidth="1"/>
    <col min="6" max="6" width="14.33203125" style="309" customWidth="1"/>
    <col min="7" max="16384" width="9.33203125" style="309"/>
  </cols>
  <sheetData>
    <row r="3" spans="1:6">
      <c r="A3" s="554" t="s">
        <v>130</v>
      </c>
      <c r="B3" s="518"/>
      <c r="C3" s="308"/>
      <c r="D3" s="308"/>
      <c r="E3" s="308"/>
      <c r="F3" s="308"/>
    </row>
    <row r="4" spans="1:6">
      <c r="A4" s="555" t="s">
        <v>886</v>
      </c>
      <c r="B4" s="518"/>
      <c r="C4" s="308"/>
      <c r="D4" s="308"/>
      <c r="E4" s="308"/>
      <c r="F4" s="308"/>
    </row>
    <row r="5" spans="1:6">
      <c r="B5" s="518"/>
      <c r="C5" s="308"/>
      <c r="D5" s="308"/>
      <c r="E5" s="308"/>
      <c r="F5" s="308"/>
    </row>
    <row r="8" spans="1:6">
      <c r="B8" s="518"/>
      <c r="C8" s="308"/>
      <c r="D8" s="308"/>
      <c r="E8" s="308"/>
      <c r="F8" s="308"/>
    </row>
    <row r="9" spans="1:6">
      <c r="A9" s="554" t="s">
        <v>887</v>
      </c>
      <c r="B9" s="556" t="s">
        <v>888</v>
      </c>
      <c r="C9" s="557" t="s">
        <v>889</v>
      </c>
      <c r="D9" s="557" t="s">
        <v>6</v>
      </c>
    </row>
    <row r="10" spans="1:6">
      <c r="A10" s="554" t="s">
        <v>890</v>
      </c>
      <c r="C10" s="309" t="s">
        <v>891</v>
      </c>
    </row>
    <row r="11" spans="1:6">
      <c r="A11" s="558">
        <v>1</v>
      </c>
      <c r="B11" s="327" t="s">
        <v>892</v>
      </c>
      <c r="C11" s="313"/>
      <c r="D11" s="311"/>
    </row>
    <row r="12" spans="1:6">
      <c r="A12" s="558">
        <v>2</v>
      </c>
      <c r="B12" s="310" t="s">
        <v>893</v>
      </c>
      <c r="C12" s="313" t="s">
        <v>894</v>
      </c>
      <c r="D12" s="311">
        <f>'OATT Input Data'!E257</f>
        <v>775075</v>
      </c>
    </row>
    <row r="13" spans="1:6" ht="16.5" customHeight="1">
      <c r="A13" s="558">
        <v>3</v>
      </c>
      <c r="B13" s="310" t="s">
        <v>895</v>
      </c>
      <c r="C13" s="313" t="s">
        <v>896</v>
      </c>
      <c r="D13" s="311">
        <f>'OATT Input Data'!E258</f>
        <v>3038365</v>
      </c>
    </row>
    <row r="14" spans="1:6">
      <c r="A14" s="558">
        <v>4</v>
      </c>
      <c r="B14" s="310" t="s">
        <v>897</v>
      </c>
      <c r="C14" s="313" t="s">
        <v>898</v>
      </c>
      <c r="D14" s="311">
        <f>'OATT Input Data'!E259</f>
        <v>1074136</v>
      </c>
    </row>
    <row r="15" spans="1:6">
      <c r="A15" s="558">
        <v>5</v>
      </c>
      <c r="B15" s="310" t="s">
        <v>899</v>
      </c>
      <c r="C15" s="313" t="s">
        <v>900</v>
      </c>
      <c r="D15" s="311">
        <f>'OATT Input Data'!E260</f>
        <v>0</v>
      </c>
    </row>
    <row r="16" spans="1:6">
      <c r="A16" s="558">
        <v>6</v>
      </c>
      <c r="B16" s="310" t="s">
        <v>901</v>
      </c>
      <c r="C16" s="313" t="s">
        <v>902</v>
      </c>
      <c r="D16" s="311">
        <f>'OATT Input Data'!E261</f>
        <v>1379186</v>
      </c>
    </row>
    <row r="17" spans="1:6">
      <c r="A17" s="558">
        <v>7</v>
      </c>
      <c r="B17" s="310" t="s">
        <v>903</v>
      </c>
      <c r="C17" s="313" t="s">
        <v>904</v>
      </c>
      <c r="D17" s="311">
        <f>'OATT Input Data'!E262</f>
        <v>8149</v>
      </c>
    </row>
    <row r="18" spans="1:6">
      <c r="A18" s="558">
        <v>8</v>
      </c>
      <c r="B18" s="310" t="s">
        <v>905</v>
      </c>
      <c r="C18" s="313" t="s">
        <v>906</v>
      </c>
      <c r="D18" s="311">
        <f>'OATT Input Data'!E263</f>
        <v>0</v>
      </c>
    </row>
    <row r="19" spans="1:6" ht="12.75" customHeight="1">
      <c r="A19" s="558">
        <v>9</v>
      </c>
      <c r="B19" s="310" t="s">
        <v>907</v>
      </c>
      <c r="C19" s="313" t="s">
        <v>908</v>
      </c>
      <c r="D19" s="311">
        <f>'OATT Input Data'!E264</f>
        <v>0</v>
      </c>
    </row>
    <row r="20" spans="1:6">
      <c r="A20" s="558"/>
      <c r="B20" s="310"/>
      <c r="C20" s="308"/>
      <c r="D20" s="311"/>
    </row>
    <row r="21" spans="1:6">
      <c r="A21" s="558">
        <v>10</v>
      </c>
      <c r="B21" s="310" t="s">
        <v>909</v>
      </c>
      <c r="C21" s="313"/>
      <c r="D21" s="311">
        <f>SUM(D11:D19)</f>
        <v>6274911</v>
      </c>
    </row>
    <row r="22" spans="1:6">
      <c r="A22" s="554" t="s">
        <v>821</v>
      </c>
      <c r="B22" s="310"/>
      <c r="C22" s="518"/>
      <c r="D22" s="311"/>
      <c r="E22" s="311"/>
      <c r="F22" s="311"/>
    </row>
    <row r="23" spans="1:6">
      <c r="A23" s="558">
        <v>11</v>
      </c>
      <c r="B23" s="310" t="s">
        <v>822</v>
      </c>
      <c r="C23" s="313">
        <v>398</v>
      </c>
      <c r="D23" s="311">
        <f>'OATT Input Data'!E459</f>
        <v>863504</v>
      </c>
    </row>
    <row r="24" spans="1:6">
      <c r="A24" s="558">
        <v>12</v>
      </c>
      <c r="B24" s="310" t="s">
        <v>824</v>
      </c>
      <c r="C24" s="518"/>
      <c r="D24" s="311">
        <f>'OATT Input Data'!E460</f>
        <v>-801658</v>
      </c>
    </row>
    <row r="25" spans="1:6">
      <c r="A25" s="558"/>
      <c r="B25" s="310"/>
      <c r="C25" s="313"/>
      <c r="D25" s="311"/>
    </row>
    <row r="26" spans="1:6">
      <c r="A26" s="558">
        <v>13</v>
      </c>
      <c r="B26" s="310" t="s">
        <v>827</v>
      </c>
      <c r="C26" s="313" t="s">
        <v>910</v>
      </c>
      <c r="D26" s="311">
        <f>SUM(D23:D24)</f>
        <v>61846</v>
      </c>
    </row>
    <row r="27" spans="1:6">
      <c r="A27" s="558"/>
      <c r="B27" s="310"/>
      <c r="C27" s="313"/>
      <c r="D27" s="311"/>
      <c r="E27" s="311"/>
      <c r="F27" s="311"/>
    </row>
    <row r="28" spans="1:6">
      <c r="A28" s="558">
        <v>14</v>
      </c>
      <c r="B28" s="310" t="s">
        <v>911</v>
      </c>
      <c r="C28" s="313" t="s">
        <v>912</v>
      </c>
      <c r="D28" s="519">
        <f>D21-D26</f>
        <v>6213065</v>
      </c>
      <c r="E28" s="519"/>
      <c r="F28" s="519"/>
    </row>
    <row r="29" spans="1:6">
      <c r="A29" s="558"/>
      <c r="B29" s="310"/>
      <c r="C29" s="313"/>
      <c r="F29" s="311"/>
    </row>
    <row r="30" spans="1:6">
      <c r="A30" s="558">
        <v>15</v>
      </c>
      <c r="B30" s="310" t="s">
        <v>913</v>
      </c>
      <c r="C30" s="308" t="s">
        <v>914</v>
      </c>
      <c r="D30" s="311">
        <f>'NITS Pg 1 of 5'!$J$30</f>
        <v>6638500</v>
      </c>
      <c r="E30" s="311"/>
      <c r="F30" s="311"/>
    </row>
    <row r="31" spans="1:6">
      <c r="A31" s="558"/>
      <c r="B31" s="312"/>
      <c r="C31" s="313"/>
      <c r="E31" s="314"/>
      <c r="F31" s="311"/>
    </row>
    <row r="32" spans="1:6">
      <c r="A32" s="558">
        <v>16</v>
      </c>
      <c r="B32" s="310" t="s">
        <v>915</v>
      </c>
      <c r="C32" s="308" t="s">
        <v>916</v>
      </c>
      <c r="D32" s="520">
        <f>D28/D30</f>
        <v>0.93591398659335689</v>
      </c>
    </row>
    <row r="33" spans="1:6">
      <c r="A33" s="558">
        <v>17</v>
      </c>
      <c r="B33" s="310" t="s">
        <v>917</v>
      </c>
      <c r="C33" s="313" t="s">
        <v>918</v>
      </c>
      <c r="D33" s="520">
        <f>ROUND(D32/12,4)</f>
        <v>7.8E-2</v>
      </c>
    </row>
    <row r="34" spans="1:6">
      <c r="A34" s="558"/>
      <c r="B34" s="312"/>
      <c r="C34" s="313"/>
      <c r="F34" s="311"/>
    </row>
    <row r="35" spans="1:6">
      <c r="A35" s="558"/>
      <c r="B35" s="312"/>
      <c r="C35" s="313"/>
      <c r="E35" s="314"/>
      <c r="F35" s="311"/>
    </row>
    <row r="36" spans="1:6">
      <c r="A36" s="558"/>
      <c r="B36" s="310"/>
      <c r="C36" s="313"/>
      <c r="E36" s="311"/>
      <c r="F36" s="311"/>
    </row>
    <row r="37" spans="1:6">
      <c r="A37" s="558"/>
      <c r="B37" s="315"/>
      <c r="C37" s="316"/>
      <c r="D37" s="317"/>
      <c r="E37" s="317"/>
      <c r="F37" s="318"/>
    </row>
    <row r="38" spans="1:6">
      <c r="A38" s="558"/>
      <c r="B38" s="319"/>
      <c r="C38" s="316"/>
      <c r="D38" s="317"/>
      <c r="E38" s="320"/>
      <c r="F38" s="318"/>
    </row>
    <row r="39" spans="1:6">
      <c r="A39" s="558"/>
      <c r="B39" s="310"/>
      <c r="C39" s="313"/>
      <c r="F39" s="311"/>
    </row>
    <row r="40" spans="1:6">
      <c r="A40" s="558"/>
      <c r="B40" s="310"/>
      <c r="C40" s="313"/>
      <c r="D40" s="311"/>
      <c r="E40" s="311"/>
      <c r="F40" s="311"/>
    </row>
    <row r="41" spans="1:6">
      <c r="A41" s="558"/>
      <c r="B41" s="310"/>
      <c r="C41" s="313"/>
      <c r="D41" s="311"/>
      <c r="E41" s="311"/>
      <c r="F41" s="311"/>
    </row>
    <row r="42" spans="1:6">
      <c r="A42" s="558"/>
      <c r="B42" s="310"/>
      <c r="C42" s="313"/>
      <c r="D42" s="311"/>
      <c r="E42" s="311"/>
      <c r="F42" s="311"/>
    </row>
    <row r="43" spans="1:6">
      <c r="A43" s="558"/>
      <c r="B43" s="310"/>
      <c r="C43" s="313"/>
      <c r="D43" s="311"/>
      <c r="E43" s="311"/>
      <c r="F43" s="311"/>
    </row>
    <row r="44" spans="1:6">
      <c r="A44" s="558"/>
      <c r="B44" s="310"/>
      <c r="C44" s="308"/>
      <c r="D44" s="321"/>
      <c r="E44" s="321"/>
      <c r="F44" s="321"/>
    </row>
    <row r="45" spans="1:6">
      <c r="A45" s="558"/>
      <c r="B45" s="310"/>
      <c r="C45" s="308"/>
      <c r="D45" s="322"/>
      <c r="E45" s="322"/>
      <c r="F45" s="322"/>
    </row>
    <row r="46" spans="1:6">
      <c r="A46" s="558"/>
      <c r="B46" s="310"/>
      <c r="C46" s="313"/>
    </row>
    <row r="47" spans="1:6">
      <c r="A47" s="558"/>
      <c r="B47" s="310"/>
      <c r="C47" s="308"/>
      <c r="D47" s="311"/>
      <c r="E47" s="311"/>
      <c r="F47" s="311"/>
    </row>
    <row r="48" spans="1:6">
      <c r="A48" s="558"/>
      <c r="B48" s="310"/>
      <c r="C48" s="308"/>
      <c r="D48" s="311"/>
      <c r="E48" s="311"/>
      <c r="F48" s="311"/>
    </row>
    <row r="49" spans="1:6">
      <c r="A49" s="558"/>
      <c r="B49" s="310"/>
      <c r="C49" s="308"/>
      <c r="D49" s="311"/>
      <c r="E49" s="311"/>
      <c r="F49" s="311"/>
    </row>
    <row r="50" spans="1:6">
      <c r="A50" s="558"/>
      <c r="B50" s="310"/>
      <c r="C50" s="308"/>
      <c r="D50" s="311"/>
      <c r="E50" s="311"/>
      <c r="F50" s="311"/>
    </row>
    <row r="51" spans="1:6">
      <c r="A51" s="558"/>
      <c r="B51" s="310"/>
      <c r="C51" s="308"/>
      <c r="D51" s="321"/>
      <c r="E51" s="321"/>
      <c r="F51" s="321"/>
    </row>
    <row r="52" spans="1:6">
      <c r="A52" s="558"/>
      <c r="B52" s="310"/>
      <c r="C52" s="313"/>
      <c r="D52" s="311"/>
      <c r="E52" s="311"/>
      <c r="F52" s="311"/>
    </row>
    <row r="53" spans="1:6">
      <c r="A53" s="558"/>
      <c r="B53" s="310"/>
      <c r="C53" s="313"/>
    </row>
    <row r="54" spans="1:6">
      <c r="A54" s="558"/>
      <c r="B54" s="310"/>
      <c r="C54" s="313"/>
      <c r="D54" s="311"/>
      <c r="E54" s="311"/>
      <c r="F54" s="311"/>
    </row>
    <row r="55" spans="1:6">
      <c r="A55" s="558"/>
      <c r="B55" s="310"/>
      <c r="C55" s="313"/>
      <c r="D55" s="311"/>
      <c r="E55" s="311"/>
      <c r="F55" s="311"/>
    </row>
    <row r="56" spans="1:6">
      <c r="A56" s="558"/>
      <c r="B56" s="310"/>
      <c r="C56" s="313"/>
      <c r="D56" s="311"/>
      <c r="E56" s="311"/>
      <c r="F56" s="311"/>
    </row>
    <row r="57" spans="1:6">
      <c r="A57" s="558"/>
      <c r="B57" s="310"/>
      <c r="C57" s="313"/>
      <c r="D57" s="311"/>
      <c r="E57" s="311"/>
      <c r="F57" s="311"/>
    </row>
    <row r="58" spans="1:6">
      <c r="A58" s="558"/>
      <c r="B58" s="310"/>
      <c r="C58" s="313"/>
      <c r="D58" s="321"/>
      <c r="E58" s="321"/>
      <c r="F58" s="321"/>
    </row>
    <row r="59" spans="1:6">
      <c r="A59" s="558"/>
      <c r="B59" s="312"/>
      <c r="C59" s="313"/>
      <c r="D59" s="311"/>
      <c r="E59" s="311"/>
      <c r="F59" s="311"/>
    </row>
    <row r="60" spans="1:6">
      <c r="A60" s="558"/>
      <c r="B60" s="310"/>
      <c r="C60" s="313"/>
    </row>
    <row r="61" spans="1:6">
      <c r="A61" s="558"/>
      <c r="B61" s="312"/>
      <c r="C61" s="308"/>
      <c r="D61" s="311"/>
      <c r="E61" s="311"/>
      <c r="F61" s="311"/>
    </row>
    <row r="62" spans="1:6">
      <c r="A62" s="558"/>
      <c r="B62" s="310"/>
      <c r="C62" s="308"/>
      <c r="D62" s="311"/>
      <c r="E62" s="311"/>
      <c r="F62" s="311"/>
    </row>
    <row r="63" spans="1:6">
      <c r="A63" s="558"/>
      <c r="B63" s="310"/>
      <c r="C63" s="308"/>
      <c r="D63" s="311"/>
      <c r="E63" s="311"/>
      <c r="F63" s="311"/>
    </row>
    <row r="64" spans="1:6">
      <c r="A64" s="558"/>
      <c r="B64" s="310"/>
      <c r="C64" s="308"/>
      <c r="D64" s="311"/>
      <c r="E64" s="311"/>
      <c r="F64" s="311"/>
    </row>
    <row r="65" spans="1:6">
      <c r="A65" s="558"/>
      <c r="B65" s="310"/>
      <c r="C65" s="308"/>
      <c r="D65" s="321"/>
      <c r="E65" s="321"/>
      <c r="F65" s="321"/>
    </row>
    <row r="66" spans="1:6">
      <c r="A66" s="558"/>
      <c r="B66" s="310"/>
      <c r="C66" s="313"/>
      <c r="D66" s="311"/>
      <c r="E66" s="311"/>
      <c r="F66" s="311"/>
    </row>
    <row r="67" spans="1:6">
      <c r="A67" s="558"/>
      <c r="B67" s="310"/>
      <c r="C67" s="308"/>
      <c r="D67" s="311"/>
      <c r="E67" s="311"/>
      <c r="F67" s="311"/>
    </row>
    <row r="68" spans="1:6">
      <c r="A68" s="558"/>
      <c r="B68" s="310"/>
      <c r="C68" s="313"/>
    </row>
    <row r="69" spans="1:6">
      <c r="A69" s="558"/>
      <c r="B69" s="310"/>
      <c r="C69" s="308"/>
      <c r="D69" s="311"/>
      <c r="E69" s="311"/>
      <c r="F69" s="311"/>
    </row>
    <row r="70" spans="1:6">
      <c r="A70" s="558"/>
      <c r="B70" s="310"/>
      <c r="C70" s="308"/>
      <c r="D70" s="311"/>
      <c r="E70" s="311"/>
      <c r="F70" s="311"/>
    </row>
    <row r="71" spans="1:6" ht="17.25">
      <c r="A71" s="558"/>
      <c r="B71" s="310"/>
      <c r="C71" s="308"/>
      <c r="D71" s="321"/>
      <c r="E71" s="321"/>
      <c r="F71" s="323"/>
    </row>
    <row r="72" spans="1:6">
      <c r="A72" s="558"/>
      <c r="B72" s="310"/>
      <c r="C72" s="313"/>
      <c r="D72" s="322"/>
      <c r="E72" s="322"/>
      <c r="F72" s="322"/>
    </row>
    <row r="73" spans="1:6" ht="15.75" thickBot="1">
      <c r="A73" s="558"/>
      <c r="B73" s="324"/>
      <c r="C73" s="325"/>
      <c r="D73" s="326"/>
      <c r="E73" s="326"/>
      <c r="F73" s="326"/>
    </row>
    <row r="75" spans="1:6">
      <c r="A75" s="558"/>
      <c r="B75" s="310"/>
      <c r="D75" s="311"/>
      <c r="E75" s="311"/>
      <c r="F75" s="311"/>
    </row>
    <row r="76" spans="1:6">
      <c r="A76" s="558"/>
      <c r="B76" s="310"/>
      <c r="D76" s="311"/>
      <c r="E76" s="311"/>
      <c r="F76" s="311"/>
    </row>
    <row r="77" spans="1:6">
      <c r="A77" s="558"/>
      <c r="B77" s="310"/>
      <c r="D77" s="311"/>
      <c r="E77" s="311"/>
      <c r="F77" s="311"/>
    </row>
    <row r="78" spans="1:6">
      <c r="A78" s="558"/>
      <c r="B78" s="310"/>
      <c r="D78" s="311"/>
      <c r="E78" s="311"/>
      <c r="F78" s="311"/>
    </row>
    <row r="79" spans="1:6">
      <c r="A79" s="558"/>
      <c r="B79" s="310"/>
      <c r="D79" s="311"/>
      <c r="E79" s="311"/>
      <c r="F79" s="311"/>
    </row>
    <row r="80" spans="1:6">
      <c r="A80" s="558"/>
      <c r="B80" s="310"/>
      <c r="D80" s="311"/>
      <c r="E80" s="311"/>
      <c r="F80" s="311"/>
    </row>
    <row r="81" spans="1:6">
      <c r="A81" s="558"/>
      <c r="B81" s="310"/>
      <c r="D81" s="311"/>
      <c r="E81" s="311"/>
      <c r="F81" s="311"/>
    </row>
    <row r="82" spans="1:6" ht="17.25">
      <c r="A82" s="558"/>
      <c r="B82" s="310"/>
      <c r="D82" s="323"/>
      <c r="E82" s="323"/>
      <c r="F82" s="323"/>
    </row>
    <row r="83" spans="1:6">
      <c r="A83" s="558"/>
      <c r="B83" s="310"/>
      <c r="D83" s="322"/>
      <c r="E83" s="322"/>
      <c r="F83" s="322"/>
    </row>
    <row r="84" spans="1:6">
      <c r="B84" s="310"/>
    </row>
    <row r="85" spans="1:6">
      <c r="A85" s="558"/>
      <c r="B85" s="312"/>
      <c r="D85" s="311"/>
      <c r="E85" s="311"/>
      <c r="F85" s="311"/>
    </row>
    <row r="86" spans="1:6">
      <c r="A86" s="558"/>
      <c r="B86" s="310"/>
      <c r="D86" s="311"/>
      <c r="E86" s="311"/>
      <c r="F86" s="311"/>
    </row>
    <row r="87" spans="1:6" ht="17.25">
      <c r="A87" s="558"/>
      <c r="B87" s="310"/>
      <c r="D87" s="321"/>
      <c r="E87" s="323"/>
      <c r="F87" s="323"/>
    </row>
    <row r="88" spans="1:6">
      <c r="A88" s="558"/>
      <c r="B88" s="310"/>
      <c r="D88" s="322"/>
      <c r="E88" s="322"/>
      <c r="F88" s="322"/>
    </row>
    <row r="89" spans="1:6">
      <c r="A89" s="558"/>
      <c r="B89" s="310"/>
    </row>
    <row r="90" spans="1:6">
      <c r="B90" s="310"/>
    </row>
    <row r="91" spans="1:6">
      <c r="A91" s="558"/>
      <c r="B91" s="310"/>
      <c r="D91" s="311"/>
      <c r="E91" s="311"/>
      <c r="F91" s="311"/>
    </row>
    <row r="92" spans="1:6">
      <c r="A92" s="558"/>
      <c r="B92" s="310"/>
      <c r="D92" s="311"/>
      <c r="E92" s="311"/>
      <c r="F92" s="311"/>
    </row>
    <row r="93" spans="1:6">
      <c r="A93" s="558"/>
      <c r="B93" s="310"/>
    </row>
    <row r="94" spans="1:6">
      <c r="A94" s="558"/>
      <c r="B94" s="310"/>
      <c r="D94" s="311"/>
      <c r="E94" s="311"/>
      <c r="F94" s="311"/>
    </row>
    <row r="95" spans="1:6">
      <c r="A95" s="558"/>
      <c r="B95" s="310"/>
      <c r="D95" s="311"/>
      <c r="E95" s="311"/>
      <c r="F95" s="311"/>
    </row>
    <row r="96" spans="1:6">
      <c r="A96" s="558"/>
      <c r="B96" s="310"/>
      <c r="D96" s="311"/>
      <c r="E96" s="311"/>
      <c r="F96" s="311"/>
    </row>
    <row r="97" spans="1:6" ht="17.25">
      <c r="A97" s="558"/>
      <c r="B97" s="310"/>
      <c r="D97" s="321"/>
      <c r="E97" s="321"/>
      <c r="F97" s="323"/>
    </row>
    <row r="98" spans="1:6">
      <c r="A98" s="558"/>
      <c r="B98" s="310"/>
      <c r="D98" s="311"/>
      <c r="E98" s="311"/>
      <c r="F98" s="311"/>
    </row>
    <row r="99" spans="1:6">
      <c r="B99" s="310"/>
    </row>
    <row r="100" spans="1:6">
      <c r="A100" s="558"/>
      <c r="B100" s="312"/>
    </row>
    <row r="101" spans="1:6">
      <c r="A101" s="558"/>
      <c r="B101" s="312"/>
    </row>
    <row r="102" spans="1:6">
      <c r="A102" s="558"/>
      <c r="B102" s="310"/>
    </row>
    <row r="103" spans="1:6">
      <c r="A103" s="558"/>
      <c r="B103" s="310"/>
      <c r="D103" s="311"/>
      <c r="E103" s="311"/>
      <c r="F103" s="311"/>
    </row>
    <row r="104" spans="1:6">
      <c r="A104" s="558"/>
      <c r="B104" s="310"/>
      <c r="D104" s="311"/>
      <c r="E104" s="311"/>
      <c r="F104" s="311"/>
    </row>
    <row r="105" spans="1:6">
      <c r="A105" s="558"/>
      <c r="B105" s="310"/>
      <c r="D105" s="311"/>
      <c r="E105" s="311"/>
      <c r="F105" s="311"/>
    </row>
    <row r="106" spans="1:6">
      <c r="A106" s="558"/>
      <c r="B106" s="310"/>
      <c r="D106" s="311"/>
      <c r="E106" s="311"/>
      <c r="F106" s="311"/>
    </row>
    <row r="107" spans="1:6">
      <c r="A107" s="558"/>
      <c r="B107" s="312"/>
      <c r="C107" s="313"/>
      <c r="D107" s="311"/>
      <c r="E107" s="311"/>
      <c r="F107" s="311"/>
    </row>
    <row r="108" spans="1:6">
      <c r="A108" s="558"/>
      <c r="B108" s="310"/>
      <c r="D108" s="322"/>
      <c r="E108" s="322"/>
      <c r="F108" s="322"/>
    </row>
    <row r="109" spans="1:6">
      <c r="B109" s="310"/>
    </row>
    <row r="110" spans="1:6">
      <c r="A110" s="558"/>
      <c r="B110" s="310"/>
      <c r="C110" s="313"/>
      <c r="D110" s="322"/>
      <c r="E110" s="322"/>
      <c r="F110" s="322"/>
    </row>
    <row r="111" spans="1:6">
      <c r="A111" s="558"/>
      <c r="B111" s="310"/>
    </row>
    <row r="112" spans="1:6" ht="17.25">
      <c r="A112" s="558"/>
      <c r="B112" s="310"/>
      <c r="D112" s="321"/>
      <c r="E112" s="323"/>
      <c r="F112" s="323"/>
    </row>
    <row r="113" spans="1:6">
      <c r="A113" s="558"/>
      <c r="B113" s="310"/>
      <c r="D113" s="311"/>
      <c r="E113" s="311"/>
      <c r="F113" s="311"/>
    </row>
    <row r="114" spans="1:6">
      <c r="A114" s="558"/>
      <c r="B114" s="310"/>
    </row>
    <row r="115" spans="1:6">
      <c r="B115" s="310"/>
    </row>
    <row r="116" spans="1:6">
      <c r="A116" s="558"/>
      <c r="B116" s="312"/>
      <c r="C116" s="313"/>
      <c r="D116" s="322"/>
      <c r="E116" s="322"/>
      <c r="F116" s="322"/>
    </row>
    <row r="117" spans="1:6">
      <c r="A117" s="558"/>
      <c r="B117" s="310"/>
      <c r="D117" s="328"/>
      <c r="E117" s="321"/>
      <c r="F117" s="321"/>
    </row>
    <row r="118" spans="1:6">
      <c r="A118" s="558"/>
      <c r="B118" s="310"/>
      <c r="C118" s="329"/>
      <c r="D118" s="322"/>
      <c r="E118" s="322"/>
      <c r="F118" s="322"/>
    </row>
    <row r="119" spans="1:6">
      <c r="A119" s="558"/>
      <c r="B119" s="310"/>
    </row>
    <row r="120" spans="1:6">
      <c r="A120" s="558"/>
      <c r="B120" s="310"/>
    </row>
    <row r="121" spans="1:6">
      <c r="A121" s="558"/>
      <c r="B121" s="310"/>
    </row>
    <row r="122" spans="1:6">
      <c r="B122" s="310"/>
    </row>
    <row r="123" spans="1:6">
      <c r="A123" s="558"/>
      <c r="B123" s="310"/>
      <c r="D123" s="311"/>
      <c r="E123" s="311"/>
      <c r="F123" s="311"/>
    </row>
    <row r="124" spans="1:6">
      <c r="A124" s="558"/>
      <c r="B124" s="310"/>
      <c r="D124" s="311"/>
      <c r="E124" s="311"/>
      <c r="F124" s="311"/>
    </row>
    <row r="125" spans="1:6">
      <c r="A125" s="558"/>
      <c r="B125" s="310"/>
      <c r="D125" s="311"/>
      <c r="E125" s="311"/>
      <c r="F125" s="311"/>
    </row>
    <row r="126" spans="1:6" ht="17.25">
      <c r="A126" s="558"/>
      <c r="B126" s="310"/>
      <c r="D126" s="323"/>
      <c r="E126" s="323"/>
      <c r="F126" s="323"/>
    </row>
    <row r="127" spans="1:6">
      <c r="A127" s="558"/>
      <c r="B127" s="310"/>
      <c r="D127" s="311"/>
      <c r="E127" s="311"/>
      <c r="F127" s="311"/>
    </row>
    <row r="128" spans="1:6">
      <c r="B128" s="312"/>
    </row>
    <row r="129" spans="1:6">
      <c r="B129" s="310"/>
    </row>
    <row r="130" spans="1:6">
      <c r="A130" s="558"/>
      <c r="B130" s="310"/>
      <c r="D130" s="311"/>
      <c r="E130" s="311"/>
      <c r="F130" s="311"/>
    </row>
    <row r="131" spans="1:6">
      <c r="A131" s="558"/>
      <c r="B131" s="310"/>
      <c r="D131" s="311"/>
      <c r="E131" s="311"/>
      <c r="F131" s="311"/>
    </row>
    <row r="132" spans="1:6" ht="17.25">
      <c r="A132" s="558"/>
      <c r="B132" s="310"/>
      <c r="D132" s="321"/>
      <c r="E132" s="323"/>
      <c r="F132" s="323"/>
    </row>
    <row r="133" spans="1:6">
      <c r="A133" s="558"/>
      <c r="B133" s="310"/>
      <c r="D133" s="311"/>
      <c r="E133" s="311"/>
      <c r="F133" s="311"/>
    </row>
    <row r="135" spans="1:6">
      <c r="A135" s="558"/>
      <c r="D135" s="311"/>
      <c r="E135" s="311"/>
      <c r="F135" s="311"/>
    </row>
    <row r="136" spans="1:6">
      <c r="A136" s="558"/>
      <c r="C136" s="329"/>
      <c r="D136" s="311"/>
      <c r="E136" s="311"/>
      <c r="F136" s="311"/>
    </row>
    <row r="137" spans="1:6">
      <c r="B137" s="310"/>
    </row>
    <row r="138" spans="1:6">
      <c r="A138" s="558"/>
      <c r="B138" s="310"/>
      <c r="C138" s="329"/>
      <c r="D138" s="311"/>
      <c r="E138" s="311"/>
      <c r="F138" s="311"/>
    </row>
    <row r="139" spans="1:6">
      <c r="A139" s="558"/>
      <c r="B139" s="310"/>
      <c r="D139" s="311"/>
      <c r="E139" s="311"/>
      <c r="F139" s="311"/>
    </row>
    <row r="140" spans="1:6" ht="17.25">
      <c r="A140" s="558"/>
      <c r="B140" s="312"/>
      <c r="D140" s="321"/>
      <c r="E140" s="323"/>
      <c r="F140" s="323"/>
    </row>
    <row r="141" spans="1:6">
      <c r="A141" s="558"/>
      <c r="B141" s="310"/>
      <c r="D141" s="311"/>
      <c r="E141" s="311"/>
      <c r="F141" s="311"/>
    </row>
    <row r="142" spans="1:6">
      <c r="B142" s="310"/>
    </row>
    <row r="143" spans="1:6">
      <c r="A143" s="558"/>
      <c r="B143" s="310"/>
      <c r="D143" s="311"/>
      <c r="E143" s="311"/>
      <c r="F143" s="311"/>
    </row>
    <row r="144" spans="1:6">
      <c r="A144" s="558"/>
      <c r="B144" s="310"/>
      <c r="D144" s="311"/>
      <c r="E144" s="311"/>
      <c r="F144" s="311"/>
    </row>
    <row r="145" spans="1:6" ht="17.25">
      <c r="A145" s="558"/>
      <c r="B145" s="310"/>
      <c r="D145" s="321"/>
      <c r="E145" s="323"/>
      <c r="F145" s="323"/>
    </row>
    <row r="146" spans="1:6">
      <c r="A146" s="558"/>
      <c r="B146" s="310"/>
      <c r="D146" s="311"/>
      <c r="E146" s="311"/>
      <c r="F146" s="311"/>
    </row>
    <row r="147" spans="1:6">
      <c r="B147" s="310"/>
    </row>
    <row r="148" spans="1:6">
      <c r="B148" s="310"/>
    </row>
    <row r="149" spans="1:6">
      <c r="A149" s="558"/>
      <c r="B149" s="310"/>
    </row>
    <row r="150" spans="1:6">
      <c r="A150" s="558"/>
      <c r="B150" s="310"/>
      <c r="D150" s="311"/>
      <c r="E150" s="311"/>
      <c r="F150" s="311"/>
    </row>
    <row r="151" spans="1:6" ht="17.25">
      <c r="A151" s="558"/>
      <c r="B151" s="310"/>
      <c r="D151" s="323"/>
      <c r="E151" s="323"/>
      <c r="F151" s="323"/>
    </row>
    <row r="152" spans="1:6">
      <c r="A152" s="558"/>
      <c r="B152" s="310"/>
      <c r="D152" s="311"/>
      <c r="E152" s="311"/>
      <c r="F152" s="311"/>
    </row>
    <row r="153" spans="1:6">
      <c r="A153" s="558"/>
      <c r="B153" s="310"/>
      <c r="D153" s="311"/>
      <c r="E153" s="311"/>
      <c r="F153" s="311"/>
    </row>
    <row r="154" spans="1:6">
      <c r="A154" s="558"/>
      <c r="B154" s="310"/>
    </row>
    <row r="155" spans="1:6">
      <c r="A155" s="558"/>
      <c r="B155" s="310"/>
      <c r="D155" s="311"/>
      <c r="E155" s="311"/>
      <c r="F155" s="311"/>
    </row>
    <row r="156" spans="1:6" ht="17.25">
      <c r="A156" s="558"/>
      <c r="B156" s="310"/>
      <c r="D156" s="323"/>
      <c r="E156" s="323"/>
      <c r="F156" s="323"/>
    </row>
    <row r="157" spans="1:6">
      <c r="A157" s="558"/>
      <c r="B157" s="310"/>
      <c r="D157" s="311"/>
      <c r="E157" s="311"/>
      <c r="F157" s="311"/>
    </row>
    <row r="158" spans="1:6">
      <c r="B158" s="312"/>
    </row>
    <row r="159" spans="1:6">
      <c r="B159" s="310"/>
    </row>
    <row r="160" spans="1:6">
      <c r="B160" s="312"/>
    </row>
    <row r="161" spans="2:2">
      <c r="B161" s="310"/>
    </row>
    <row r="162" spans="2:2">
      <c r="B162" s="310"/>
    </row>
    <row r="163" spans="2:2">
      <c r="B163" s="312"/>
    </row>
    <row r="164" spans="2:2">
      <c r="B164" s="310"/>
    </row>
    <row r="165" spans="2:2">
      <c r="B165" s="312"/>
    </row>
    <row r="166" spans="2:2">
      <c r="B166" s="312"/>
    </row>
    <row r="167" spans="2:2">
      <c r="B167" s="310"/>
    </row>
    <row r="168" spans="2:2">
      <c r="B168" s="312"/>
    </row>
    <row r="169" spans="2:2">
      <c r="B169" s="310"/>
    </row>
    <row r="170" spans="2:2">
      <c r="B170" s="312"/>
    </row>
    <row r="171" spans="2:2">
      <c r="B171" s="312"/>
    </row>
    <row r="172" spans="2:2">
      <c r="B172" s="312"/>
    </row>
    <row r="173" spans="2:2">
      <c r="B173" s="312"/>
    </row>
    <row r="174" spans="2:2">
      <c r="B174" s="310"/>
    </row>
    <row r="175" spans="2:2">
      <c r="B175" s="312"/>
    </row>
    <row r="176" spans="2:2">
      <c r="B176" s="310"/>
    </row>
    <row r="177" spans="2:2">
      <c r="B177" s="310"/>
    </row>
    <row r="178" spans="2:2">
      <c r="B178" s="312"/>
    </row>
    <row r="179" spans="2:2">
      <c r="B179" s="310"/>
    </row>
    <row r="180" spans="2:2">
      <c r="B180" s="312"/>
    </row>
    <row r="181" spans="2:2">
      <c r="B181" s="312"/>
    </row>
    <row r="182" spans="2:2">
      <c r="B182" s="310"/>
    </row>
    <row r="183" spans="2:2">
      <c r="B183" s="312"/>
    </row>
    <row r="184" spans="2:2">
      <c r="B184" s="310"/>
    </row>
    <row r="185" spans="2:2">
      <c r="B185" s="312"/>
    </row>
    <row r="186" spans="2:2">
      <c r="B186" s="312"/>
    </row>
    <row r="187" spans="2:2">
      <c r="B187" s="310"/>
    </row>
    <row r="188" spans="2:2">
      <c r="B188" s="312"/>
    </row>
    <row r="189" spans="2:2">
      <c r="B189" s="310"/>
    </row>
    <row r="190" spans="2:2">
      <c r="B190" s="312"/>
    </row>
    <row r="191" spans="2:2">
      <c r="B191" s="312"/>
    </row>
    <row r="192" spans="2:2">
      <c r="B192" s="310"/>
    </row>
    <row r="193" spans="2:2">
      <c r="B193" s="312"/>
    </row>
    <row r="194" spans="2:2">
      <c r="B194" s="310"/>
    </row>
    <row r="195" spans="2:2">
      <c r="B195" s="312"/>
    </row>
    <row r="196" spans="2:2">
      <c r="B196" s="312"/>
    </row>
  </sheetData>
  <printOptions horizontalCentered="1"/>
  <pageMargins left="0.75" right="0.75" top="1" bottom="1" header="0.5" footer="0.5"/>
  <pageSetup scale="96"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2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.75"/>
  <cols>
    <col min="1" max="1" width="38.83203125" style="16" customWidth="1"/>
    <col min="2" max="2" width="34" style="16" customWidth="1"/>
    <col min="3" max="3" width="23.83203125" style="16" customWidth="1"/>
    <col min="4" max="4" width="21.33203125" style="16" customWidth="1"/>
    <col min="5" max="5" width="18.6640625" style="16" customWidth="1"/>
    <col min="6" max="6" width="20.33203125" style="16" customWidth="1"/>
    <col min="7" max="7" width="9.33203125" style="16"/>
    <col min="8" max="8" width="79.5" style="16" customWidth="1"/>
    <col min="9" max="9" width="13.83203125" style="16" customWidth="1"/>
    <col min="10" max="11" width="18.33203125" style="16" customWidth="1"/>
    <col min="12" max="12" width="9.5" style="16" bestFit="1" customWidth="1"/>
    <col min="13" max="15" width="13.5" style="16" bestFit="1" customWidth="1"/>
    <col min="16" max="16" width="10.83203125" style="16" bestFit="1" customWidth="1"/>
    <col min="17" max="16384" width="9.33203125" style="16"/>
  </cols>
  <sheetData>
    <row r="1" spans="1:9" ht="18.75">
      <c r="A1" s="351" t="s">
        <v>931</v>
      </c>
    </row>
    <row r="2" spans="1:9">
      <c r="A2" s="236"/>
      <c r="B2" s="236"/>
      <c r="C2" s="236"/>
      <c r="D2" s="236"/>
      <c r="E2" s="236"/>
      <c r="F2" s="236"/>
      <c r="G2" s="236"/>
      <c r="H2" s="236"/>
      <c r="I2" s="236"/>
    </row>
    <row r="3" spans="1:9">
      <c r="A3" s="16" t="s">
        <v>430</v>
      </c>
      <c r="H3" s="332" t="s">
        <v>934</v>
      </c>
    </row>
    <row r="4" spans="1:9">
      <c r="A4" s="243" t="s">
        <v>431</v>
      </c>
      <c r="B4" s="337">
        <v>42369</v>
      </c>
      <c r="H4" s="341" t="s">
        <v>452</v>
      </c>
    </row>
    <row r="5" spans="1:9">
      <c r="H5" s="342" t="s">
        <v>454</v>
      </c>
    </row>
    <row r="6" spans="1:9" ht="15">
      <c r="A6" s="16" t="s">
        <v>432</v>
      </c>
      <c r="C6" s="352" t="s">
        <v>433</v>
      </c>
      <c r="D6" s="352" t="s">
        <v>434</v>
      </c>
      <c r="E6" s="352" t="s">
        <v>435</v>
      </c>
    </row>
    <row r="7" spans="1:9">
      <c r="A7" s="16" t="s">
        <v>436</v>
      </c>
      <c r="C7" s="338">
        <v>0</v>
      </c>
      <c r="D7" s="338">
        <v>0</v>
      </c>
      <c r="E7" s="16">
        <f>C7+D7</f>
        <v>0</v>
      </c>
      <c r="F7" s="336" t="s">
        <v>437</v>
      </c>
      <c r="H7" s="336" t="s">
        <v>438</v>
      </c>
    </row>
    <row r="8" spans="1:9">
      <c r="A8" s="16" t="s">
        <v>439</v>
      </c>
      <c r="C8" s="338">
        <v>0</v>
      </c>
      <c r="D8" s="338">
        <v>0</v>
      </c>
      <c r="E8" s="16">
        <f>C8+D8</f>
        <v>0</v>
      </c>
      <c r="F8" s="339" t="s">
        <v>440</v>
      </c>
      <c r="H8" s="339" t="s">
        <v>441</v>
      </c>
    </row>
    <row r="9" spans="1:9">
      <c r="C9" s="239"/>
      <c r="D9" s="239"/>
      <c r="F9" s="238"/>
      <c r="H9" s="339" t="s">
        <v>442</v>
      </c>
    </row>
    <row r="10" spans="1:9">
      <c r="H10" s="336" t="s">
        <v>443</v>
      </c>
    </row>
    <row r="11" spans="1:9" ht="15">
      <c r="A11" s="235" t="s">
        <v>444</v>
      </c>
      <c r="B11" s="238" t="s">
        <v>445</v>
      </c>
      <c r="C11" s="352" t="s">
        <v>433</v>
      </c>
      <c r="D11" s="352" t="s">
        <v>434</v>
      </c>
      <c r="E11" s="352" t="s">
        <v>435</v>
      </c>
    </row>
    <row r="12" spans="1:9">
      <c r="A12" s="251" t="s">
        <v>446</v>
      </c>
      <c r="B12" s="243" t="s">
        <v>447</v>
      </c>
      <c r="C12" s="340">
        <v>4860000</v>
      </c>
      <c r="D12" s="340">
        <v>1973000</v>
      </c>
      <c r="E12" s="16">
        <f>C12+D12</f>
        <v>6833000</v>
      </c>
      <c r="G12" s="243"/>
    </row>
    <row r="13" spans="1:9">
      <c r="A13" s="251" t="s">
        <v>448</v>
      </c>
      <c r="B13" s="242"/>
      <c r="C13" s="340">
        <v>5112000</v>
      </c>
      <c r="D13" s="340">
        <v>1967000</v>
      </c>
      <c r="E13" s="16">
        <f t="shared" ref="E13:E23" si="0">C13+D13</f>
        <v>7079000</v>
      </c>
      <c r="G13" s="243"/>
    </row>
    <row r="14" spans="1:9">
      <c r="A14" s="251" t="s">
        <v>449</v>
      </c>
      <c r="B14" s="243"/>
      <c r="C14" s="340">
        <v>4261000</v>
      </c>
      <c r="D14" s="340">
        <v>1712000</v>
      </c>
      <c r="E14" s="16">
        <f t="shared" si="0"/>
        <v>5973000</v>
      </c>
      <c r="G14" s="243"/>
    </row>
    <row r="15" spans="1:9">
      <c r="A15" s="251" t="s">
        <v>450</v>
      </c>
      <c r="B15" s="243"/>
      <c r="C15" s="340">
        <v>2716000</v>
      </c>
      <c r="D15" s="340">
        <v>1524000</v>
      </c>
      <c r="E15" s="16">
        <f t="shared" si="0"/>
        <v>4240000</v>
      </c>
      <c r="G15" s="243"/>
    </row>
    <row r="16" spans="1:9">
      <c r="A16" s="251" t="s">
        <v>451</v>
      </c>
      <c r="B16" s="243"/>
      <c r="C16" s="340">
        <v>3284000</v>
      </c>
      <c r="D16" s="340">
        <v>2023000</v>
      </c>
      <c r="E16" s="16">
        <f t="shared" si="0"/>
        <v>5307000</v>
      </c>
      <c r="G16" s="243"/>
    </row>
    <row r="17" spans="1:8">
      <c r="A17" s="251" t="s">
        <v>453</v>
      </c>
      <c r="B17" s="243"/>
      <c r="C17" s="340">
        <v>3790000</v>
      </c>
      <c r="D17" s="340">
        <v>2472000</v>
      </c>
      <c r="E17" s="16">
        <f t="shared" si="0"/>
        <v>6262000</v>
      </c>
      <c r="G17" s="243"/>
    </row>
    <row r="18" spans="1:8">
      <c r="A18" s="251" t="s">
        <v>455</v>
      </c>
      <c r="B18" s="243"/>
      <c r="C18" s="340">
        <v>3807000</v>
      </c>
      <c r="D18" s="340">
        <v>2585000</v>
      </c>
      <c r="E18" s="16">
        <f t="shared" si="0"/>
        <v>6392000</v>
      </c>
      <c r="G18" s="243"/>
    </row>
    <row r="19" spans="1:8">
      <c r="A19" s="251" t="s">
        <v>456</v>
      </c>
      <c r="B19" s="243"/>
      <c r="C19" s="340">
        <v>3724000</v>
      </c>
      <c r="D19" s="340">
        <v>2484000</v>
      </c>
      <c r="E19" s="16">
        <f t="shared" si="0"/>
        <v>6208000</v>
      </c>
      <c r="G19" s="243"/>
    </row>
    <row r="20" spans="1:8">
      <c r="A20" s="251" t="s">
        <v>457</v>
      </c>
      <c r="B20" s="243"/>
      <c r="C20" s="340">
        <v>3756000</v>
      </c>
      <c r="D20" s="340">
        <v>2443000</v>
      </c>
      <c r="E20" s="16">
        <f t="shared" si="0"/>
        <v>6199000</v>
      </c>
      <c r="G20" s="243"/>
    </row>
    <row r="21" spans="1:8">
      <c r="A21" s="251" t="s">
        <v>458</v>
      </c>
      <c r="B21" s="243"/>
      <c r="C21" s="340">
        <v>3005000</v>
      </c>
      <c r="D21" s="340">
        <v>1797000</v>
      </c>
      <c r="E21" s="16">
        <f t="shared" si="0"/>
        <v>4802000</v>
      </c>
      <c r="G21" s="243"/>
    </row>
    <row r="22" spans="1:8">
      <c r="A22" s="251" t="s">
        <v>459</v>
      </c>
      <c r="B22" s="243"/>
      <c r="C22" s="340">
        <v>3445000</v>
      </c>
      <c r="D22" s="340">
        <v>1570000</v>
      </c>
      <c r="E22" s="16">
        <f t="shared" si="0"/>
        <v>5015000</v>
      </c>
      <c r="G22" s="243"/>
    </row>
    <row r="23" spans="1:8">
      <c r="A23" s="251" t="s">
        <v>460</v>
      </c>
      <c r="B23" s="243"/>
      <c r="C23" s="340">
        <v>3456000</v>
      </c>
      <c r="D23" s="340">
        <v>1570000</v>
      </c>
      <c r="E23" s="16">
        <f t="shared" si="0"/>
        <v>5026000</v>
      </c>
      <c r="G23" s="243"/>
    </row>
    <row r="24" spans="1:8">
      <c r="A24" s="251"/>
      <c r="B24" s="243"/>
      <c r="G24" s="243"/>
    </row>
    <row r="25" spans="1:8">
      <c r="A25" s="251" t="s">
        <v>461</v>
      </c>
      <c r="B25" s="243"/>
      <c r="C25" s="16">
        <f>AVERAGE(C12:C23)</f>
        <v>3768000</v>
      </c>
      <c r="D25" s="16">
        <f>AVERAGE(D12:D23)</f>
        <v>2010000</v>
      </c>
      <c r="E25" s="16">
        <f>ROUND(AVERAGE(E12:E23),-3)</f>
        <v>5778000</v>
      </c>
      <c r="F25" s="339" t="s">
        <v>462</v>
      </c>
      <c r="G25" s="243"/>
    </row>
    <row r="26" spans="1:8">
      <c r="B26" s="243"/>
      <c r="D26" s="332" t="s">
        <v>926</v>
      </c>
      <c r="E26" s="333" t="str">
        <f>IF($E$25='NITS Pg 1 of 5'!$J$23,"ok","err on NITS pg 1")</f>
        <v>ok</v>
      </c>
      <c r="F26" s="238"/>
      <c r="G26" s="243"/>
    </row>
    <row r="27" spans="1:8">
      <c r="B27" s="243"/>
      <c r="D27" s="332" t="s">
        <v>927</v>
      </c>
      <c r="E27" s="333" t="str">
        <f>IF($E$25='PTP Pg 1 of 5'!$J$23,"ok","err on PTP pg 1")</f>
        <v>ok</v>
      </c>
      <c r="F27" s="238"/>
      <c r="G27" s="243"/>
    </row>
    <row r="28" spans="1:8">
      <c r="B28" s="243"/>
      <c r="G28" s="243"/>
    </row>
    <row r="29" spans="1:8" ht="15">
      <c r="A29" s="235" t="s">
        <v>463</v>
      </c>
      <c r="B29" s="242" t="s">
        <v>464</v>
      </c>
      <c r="C29" s="352" t="s">
        <v>433</v>
      </c>
      <c r="D29" s="352" t="s">
        <v>434</v>
      </c>
      <c r="E29" s="352" t="s">
        <v>435</v>
      </c>
      <c r="G29" s="243"/>
    </row>
    <row r="30" spans="1:8">
      <c r="A30" s="251" t="s">
        <v>446</v>
      </c>
      <c r="B30" s="242" t="s">
        <v>465</v>
      </c>
      <c r="C30" s="340">
        <v>0</v>
      </c>
      <c r="D30" s="340">
        <v>0</v>
      </c>
      <c r="E30" s="16">
        <f>C30+D30</f>
        <v>0</v>
      </c>
      <c r="G30" s="243"/>
      <c r="H30" s="477" t="s">
        <v>949</v>
      </c>
    </row>
    <row r="31" spans="1:8">
      <c r="A31" s="251" t="s">
        <v>448</v>
      </c>
      <c r="B31" s="242" t="s">
        <v>466</v>
      </c>
      <c r="C31" s="340">
        <v>0</v>
      </c>
      <c r="D31" s="340">
        <v>0</v>
      </c>
      <c r="E31" s="16">
        <f t="shared" ref="E31:E41" si="1">C31+D31</f>
        <v>0</v>
      </c>
      <c r="G31" s="243"/>
    </row>
    <row r="32" spans="1:8">
      <c r="A32" s="251" t="s">
        <v>449</v>
      </c>
      <c r="B32" s="526" t="s">
        <v>467</v>
      </c>
      <c r="C32" s="340">
        <v>0</v>
      </c>
      <c r="D32" s="340">
        <v>0</v>
      </c>
      <c r="E32" s="16">
        <f t="shared" si="1"/>
        <v>0</v>
      </c>
      <c r="G32" s="243"/>
    </row>
    <row r="33" spans="1:7">
      <c r="A33" s="251" t="s">
        <v>450</v>
      </c>
      <c r="B33" s="243" t="s">
        <v>447</v>
      </c>
      <c r="C33" s="340">
        <v>0</v>
      </c>
      <c r="D33" s="340">
        <v>0</v>
      </c>
      <c r="E33" s="16">
        <f t="shared" si="1"/>
        <v>0</v>
      </c>
      <c r="G33" s="243"/>
    </row>
    <row r="34" spans="1:7">
      <c r="A34" s="251" t="s">
        <v>451</v>
      </c>
      <c r="B34" s="243"/>
      <c r="C34" s="340">
        <v>0</v>
      </c>
      <c r="D34" s="340">
        <v>0</v>
      </c>
      <c r="E34" s="16">
        <f t="shared" si="1"/>
        <v>0</v>
      </c>
      <c r="G34" s="243"/>
    </row>
    <row r="35" spans="1:7">
      <c r="A35" s="251" t="s">
        <v>453</v>
      </c>
      <c r="B35" s="243"/>
      <c r="C35" s="340">
        <v>0</v>
      </c>
      <c r="D35" s="340">
        <v>0</v>
      </c>
      <c r="E35" s="16">
        <f t="shared" si="1"/>
        <v>0</v>
      </c>
      <c r="G35" s="243"/>
    </row>
    <row r="36" spans="1:7">
      <c r="A36" s="251" t="s">
        <v>455</v>
      </c>
      <c r="B36" s="243"/>
      <c r="C36" s="340">
        <v>0</v>
      </c>
      <c r="D36" s="340">
        <v>0</v>
      </c>
      <c r="E36" s="16">
        <f t="shared" si="1"/>
        <v>0</v>
      </c>
      <c r="G36" s="243"/>
    </row>
    <row r="37" spans="1:7">
      <c r="A37" s="251" t="s">
        <v>456</v>
      </c>
      <c r="B37" s="243"/>
      <c r="C37" s="340">
        <v>0</v>
      </c>
      <c r="D37" s="340">
        <v>0</v>
      </c>
      <c r="E37" s="16">
        <f t="shared" si="1"/>
        <v>0</v>
      </c>
      <c r="G37" s="243"/>
    </row>
    <row r="38" spans="1:7">
      <c r="A38" s="251" t="s">
        <v>457</v>
      </c>
      <c r="B38" s="243"/>
      <c r="C38" s="340">
        <v>0</v>
      </c>
      <c r="D38" s="340">
        <v>0</v>
      </c>
      <c r="E38" s="16">
        <f t="shared" si="1"/>
        <v>0</v>
      </c>
      <c r="G38" s="243"/>
    </row>
    <row r="39" spans="1:7">
      <c r="A39" s="251" t="s">
        <v>458</v>
      </c>
      <c r="B39" s="243"/>
      <c r="C39" s="340">
        <v>0</v>
      </c>
      <c r="D39" s="340">
        <v>0</v>
      </c>
      <c r="E39" s="16">
        <f t="shared" si="1"/>
        <v>0</v>
      </c>
      <c r="G39" s="243"/>
    </row>
    <row r="40" spans="1:7">
      <c r="A40" s="251" t="s">
        <v>459</v>
      </c>
      <c r="B40" s="243"/>
      <c r="C40" s="340">
        <v>0</v>
      </c>
      <c r="D40" s="340">
        <v>0</v>
      </c>
      <c r="E40" s="16">
        <f t="shared" si="1"/>
        <v>0</v>
      </c>
      <c r="G40" s="243"/>
    </row>
    <row r="41" spans="1:7">
      <c r="A41" s="251" t="s">
        <v>460</v>
      </c>
      <c r="B41" s="243"/>
      <c r="C41" s="340">
        <v>0</v>
      </c>
      <c r="D41" s="340">
        <v>0</v>
      </c>
      <c r="E41" s="16">
        <f t="shared" si="1"/>
        <v>0</v>
      </c>
      <c r="G41" s="243"/>
    </row>
    <row r="42" spans="1:7">
      <c r="A42" s="251"/>
      <c r="B42" s="243"/>
      <c r="G42" s="243"/>
    </row>
    <row r="43" spans="1:7">
      <c r="A43" s="251" t="s">
        <v>6</v>
      </c>
      <c r="B43" s="243"/>
      <c r="C43" s="16">
        <f>SUM(C30:C41)</f>
        <v>0</v>
      </c>
      <c r="D43" s="16">
        <f>SUM(D30:D41)</f>
        <v>0</v>
      </c>
      <c r="E43" s="16">
        <f>SUM(E30:E41)</f>
        <v>0</v>
      </c>
      <c r="F43" s="339" t="s">
        <v>468</v>
      </c>
      <c r="G43" s="243"/>
    </row>
    <row r="44" spans="1:7">
      <c r="B44" s="243"/>
      <c r="D44" s="332" t="s">
        <v>926</v>
      </c>
      <c r="E44" s="333" t="str">
        <f>IF($E$43='NITS Pg 1 of 5'!$J$24,"ok","err on NITS pg 1")</f>
        <v>ok</v>
      </c>
      <c r="F44" s="238"/>
      <c r="G44" s="243"/>
    </row>
    <row r="45" spans="1:7">
      <c r="B45" s="243"/>
      <c r="D45" s="332" t="s">
        <v>927</v>
      </c>
      <c r="E45" s="333" t="str">
        <f>IF($E$43='PTP Pg 1 of 5'!$J$24,"ok","err on PTP pg 1")</f>
        <v>ok</v>
      </c>
      <c r="F45" s="238"/>
      <c r="G45" s="243"/>
    </row>
    <row r="46" spans="1:7">
      <c r="B46" s="243"/>
      <c r="G46" s="243"/>
    </row>
    <row r="47" spans="1:7" ht="15">
      <c r="A47" s="235" t="s">
        <v>469</v>
      </c>
      <c r="B47" s="242" t="s">
        <v>470</v>
      </c>
      <c r="C47" s="352" t="s">
        <v>471</v>
      </c>
      <c r="D47" s="352" t="s">
        <v>472</v>
      </c>
      <c r="E47" s="352" t="s">
        <v>473</v>
      </c>
      <c r="F47" s="352" t="s">
        <v>435</v>
      </c>
      <c r="G47" s="243"/>
    </row>
    <row r="48" spans="1:7">
      <c r="A48" s="251" t="s">
        <v>446</v>
      </c>
      <c r="B48" s="243" t="s">
        <v>447</v>
      </c>
      <c r="C48" s="340">
        <v>548000</v>
      </c>
      <c r="D48" s="340">
        <v>0</v>
      </c>
      <c r="E48" s="340">
        <v>254000</v>
      </c>
      <c r="F48" s="16">
        <f>C48+D48+E48</f>
        <v>802000</v>
      </c>
      <c r="G48" s="243"/>
    </row>
    <row r="49" spans="1:7">
      <c r="A49" s="251" t="s">
        <v>448</v>
      </c>
      <c r="B49" s="242" t="s">
        <v>950</v>
      </c>
      <c r="C49" s="340">
        <v>566000</v>
      </c>
      <c r="D49" s="340">
        <v>0</v>
      </c>
      <c r="E49" s="340">
        <v>262000</v>
      </c>
      <c r="F49" s="16">
        <f t="shared" ref="F49:F59" si="2">C49+D49+E49</f>
        <v>828000</v>
      </c>
      <c r="G49" s="243"/>
    </row>
    <row r="50" spans="1:7">
      <c r="A50" s="251" t="s">
        <v>449</v>
      </c>
      <c r="B50" s="526"/>
      <c r="C50" s="340">
        <v>485000</v>
      </c>
      <c r="D50" s="340">
        <v>0</v>
      </c>
      <c r="E50" s="340">
        <v>225000</v>
      </c>
      <c r="F50" s="16">
        <f t="shared" si="2"/>
        <v>710000</v>
      </c>
      <c r="G50" s="243"/>
    </row>
    <row r="51" spans="1:7">
      <c r="A51" s="251" t="s">
        <v>450</v>
      </c>
      <c r="B51" s="243"/>
      <c r="C51" s="340">
        <v>281000</v>
      </c>
      <c r="D51" s="340">
        <v>0</v>
      </c>
      <c r="E51" s="340">
        <v>130000</v>
      </c>
      <c r="F51" s="16">
        <f t="shared" si="2"/>
        <v>411000</v>
      </c>
      <c r="G51" s="243"/>
    </row>
    <row r="52" spans="1:7">
      <c r="A52" s="251" t="s">
        <v>451</v>
      </c>
      <c r="B52" s="243"/>
      <c r="C52" s="340">
        <v>400000</v>
      </c>
      <c r="D52" s="340">
        <v>0</v>
      </c>
      <c r="E52" s="340">
        <v>186000</v>
      </c>
      <c r="F52" s="16">
        <f t="shared" si="2"/>
        <v>586000</v>
      </c>
      <c r="G52" s="243"/>
    </row>
    <row r="53" spans="1:7">
      <c r="A53" s="251" t="s">
        <v>453</v>
      </c>
      <c r="B53" s="243"/>
      <c r="C53" s="340">
        <v>525000</v>
      </c>
      <c r="D53" s="340">
        <v>0</v>
      </c>
      <c r="E53" s="340">
        <v>243000</v>
      </c>
      <c r="F53" s="16">
        <f t="shared" si="2"/>
        <v>768000</v>
      </c>
      <c r="G53" s="243"/>
    </row>
    <row r="54" spans="1:7">
      <c r="A54" s="251" t="s">
        <v>455</v>
      </c>
      <c r="B54" s="243"/>
      <c r="C54" s="340">
        <v>490000</v>
      </c>
      <c r="D54" s="340">
        <v>0</v>
      </c>
      <c r="E54" s="340">
        <v>233000</v>
      </c>
      <c r="F54" s="16">
        <f t="shared" si="2"/>
        <v>723000</v>
      </c>
      <c r="G54" s="243"/>
    </row>
    <row r="55" spans="1:7">
      <c r="A55" s="251" t="s">
        <v>456</v>
      </c>
      <c r="B55" s="243"/>
      <c r="C55" s="340">
        <v>548000</v>
      </c>
      <c r="D55" s="340">
        <v>0</v>
      </c>
      <c r="E55" s="340">
        <v>260000</v>
      </c>
      <c r="F55" s="16">
        <f t="shared" si="2"/>
        <v>808000</v>
      </c>
      <c r="G55" s="243"/>
    </row>
    <row r="56" spans="1:7">
      <c r="A56" s="251" t="s">
        <v>457</v>
      </c>
      <c r="B56" s="243"/>
      <c r="C56" s="340">
        <v>515000</v>
      </c>
      <c r="D56" s="340">
        <v>0</v>
      </c>
      <c r="E56" s="340">
        <v>245000</v>
      </c>
      <c r="F56" s="16">
        <f t="shared" si="2"/>
        <v>760000</v>
      </c>
      <c r="G56" s="243"/>
    </row>
    <row r="57" spans="1:7">
      <c r="A57" s="251" t="s">
        <v>458</v>
      </c>
      <c r="B57" s="243"/>
      <c r="C57" s="340">
        <v>315000</v>
      </c>
      <c r="D57" s="340">
        <v>0</v>
      </c>
      <c r="E57" s="340">
        <v>151000</v>
      </c>
      <c r="F57" s="16">
        <f t="shared" si="2"/>
        <v>466000</v>
      </c>
      <c r="G57" s="243"/>
    </row>
    <row r="58" spans="1:7">
      <c r="A58" s="251" t="s">
        <v>459</v>
      </c>
      <c r="B58" s="243"/>
      <c r="C58" s="340">
        <v>437000</v>
      </c>
      <c r="D58" s="340">
        <v>0</v>
      </c>
      <c r="E58" s="340">
        <v>208000</v>
      </c>
      <c r="F58" s="16">
        <f t="shared" si="2"/>
        <v>645000</v>
      </c>
      <c r="G58" s="243"/>
    </row>
    <row r="59" spans="1:7">
      <c r="A59" s="251" t="s">
        <v>460</v>
      </c>
      <c r="B59" s="243"/>
      <c r="C59" s="340">
        <v>425000</v>
      </c>
      <c r="D59" s="340">
        <v>0</v>
      </c>
      <c r="E59" s="340">
        <v>202000</v>
      </c>
      <c r="F59" s="16">
        <f t="shared" si="2"/>
        <v>627000</v>
      </c>
      <c r="G59" s="243"/>
    </row>
    <row r="60" spans="1:7">
      <c r="A60" s="251"/>
      <c r="B60" s="243"/>
      <c r="G60" s="243"/>
    </row>
    <row r="61" spans="1:7">
      <c r="A61" s="251" t="s">
        <v>461</v>
      </c>
      <c r="B61" s="243"/>
      <c r="C61" s="16">
        <f>AVERAGE(C48:C59)</f>
        <v>461250</v>
      </c>
      <c r="D61" s="16">
        <f>AVERAGE(D48:D59)</f>
        <v>0</v>
      </c>
      <c r="E61" s="16">
        <f>AVERAGE(E48:E59)</f>
        <v>216583.33333333334</v>
      </c>
      <c r="F61" s="16">
        <f>ROUND(AVERAGE(F48:F59),-3)</f>
        <v>678000</v>
      </c>
      <c r="G61" s="343" t="s">
        <v>474</v>
      </c>
    </row>
    <row r="62" spans="1:7">
      <c r="B62" s="243"/>
      <c r="E62" s="332" t="s">
        <v>926</v>
      </c>
      <c r="F62" s="333" t="str">
        <f>IF($F$61='NITS Pg 1 of 5'!$J$25,"ok","err on NITS pg 1")</f>
        <v>ok</v>
      </c>
      <c r="G62" s="242"/>
    </row>
    <row r="63" spans="1:7">
      <c r="B63" s="243"/>
      <c r="E63" s="332" t="s">
        <v>927</v>
      </c>
      <c r="F63" s="333" t="str">
        <f>IF($F$61='PTP Pg 1 of 5'!$J$25,"ok","err on PTP pg 1")</f>
        <v>ok</v>
      </c>
      <c r="G63" s="242"/>
    </row>
    <row r="64" spans="1:7">
      <c r="B64" s="243"/>
      <c r="G64" s="243"/>
    </row>
    <row r="65" spans="1:8" ht="15">
      <c r="A65" s="235" t="s">
        <v>932</v>
      </c>
      <c r="B65" s="242"/>
      <c r="C65" s="352" t="s">
        <v>433</v>
      </c>
      <c r="D65" s="352" t="s">
        <v>434</v>
      </c>
      <c r="E65" s="352" t="s">
        <v>435</v>
      </c>
      <c r="G65" s="243"/>
      <c r="H65" s="336" t="s">
        <v>475</v>
      </c>
    </row>
    <row r="66" spans="1:8">
      <c r="A66" s="251" t="s">
        <v>446</v>
      </c>
      <c r="B66" s="243"/>
      <c r="C66" s="237"/>
      <c r="D66" s="237"/>
      <c r="E66" s="16">
        <f>C66+D66</f>
        <v>0</v>
      </c>
      <c r="G66" s="243"/>
      <c r="H66" s="339" t="s">
        <v>476</v>
      </c>
    </row>
    <row r="67" spans="1:8">
      <c r="A67" s="251" t="s">
        <v>448</v>
      </c>
      <c r="B67" s="242"/>
      <c r="C67" s="237"/>
      <c r="D67" s="237"/>
      <c r="E67" s="16">
        <f t="shared" ref="E67:E77" si="3">C67+D67</f>
        <v>0</v>
      </c>
      <c r="G67" s="243"/>
      <c r="H67" s="336" t="s">
        <v>477</v>
      </c>
    </row>
    <row r="68" spans="1:8">
      <c r="A68" s="251" t="s">
        <v>449</v>
      </c>
      <c r="B68" s="526"/>
      <c r="C68" s="237"/>
      <c r="D68" s="237"/>
      <c r="E68" s="16">
        <f t="shared" si="3"/>
        <v>0</v>
      </c>
      <c r="G68" s="243"/>
      <c r="H68" s="336" t="s">
        <v>478</v>
      </c>
    </row>
    <row r="69" spans="1:8">
      <c r="A69" s="251" t="s">
        <v>450</v>
      </c>
      <c r="B69" s="243"/>
      <c r="C69" s="237"/>
      <c r="D69" s="237"/>
      <c r="E69" s="16">
        <f t="shared" si="3"/>
        <v>0</v>
      </c>
      <c r="G69" s="243"/>
      <c r="H69" s="336" t="s">
        <v>479</v>
      </c>
    </row>
    <row r="70" spans="1:8">
      <c r="A70" s="251" t="s">
        <v>451</v>
      </c>
      <c r="B70" s="243"/>
      <c r="C70" s="237"/>
      <c r="D70" s="237"/>
      <c r="E70" s="16">
        <f t="shared" si="3"/>
        <v>0</v>
      </c>
      <c r="G70" s="243"/>
      <c r="H70" s="339" t="s">
        <v>480</v>
      </c>
    </row>
    <row r="71" spans="1:8">
      <c r="A71" s="251" t="s">
        <v>453</v>
      </c>
      <c r="B71" s="243"/>
      <c r="C71" s="237"/>
      <c r="D71" s="237"/>
      <c r="E71" s="16">
        <f t="shared" si="3"/>
        <v>0</v>
      </c>
      <c r="G71" s="243"/>
      <c r="H71" s="336" t="s">
        <v>481</v>
      </c>
    </row>
    <row r="72" spans="1:8">
      <c r="A72" s="251" t="s">
        <v>455</v>
      </c>
      <c r="B72" s="243"/>
      <c r="C72" s="237"/>
      <c r="D72" s="237"/>
      <c r="E72" s="16">
        <f t="shared" si="3"/>
        <v>0</v>
      </c>
      <c r="G72" s="243"/>
    </row>
    <row r="73" spans="1:8">
      <c r="A73" s="251" t="s">
        <v>456</v>
      </c>
      <c r="B73" s="243"/>
      <c r="C73" s="237"/>
      <c r="D73" s="237"/>
      <c r="E73" s="16">
        <f t="shared" si="3"/>
        <v>0</v>
      </c>
      <c r="G73" s="243"/>
    </row>
    <row r="74" spans="1:8">
      <c r="A74" s="251" t="s">
        <v>457</v>
      </c>
      <c r="B74" s="243"/>
      <c r="C74" s="237"/>
      <c r="D74" s="237"/>
      <c r="E74" s="16">
        <f t="shared" si="3"/>
        <v>0</v>
      </c>
      <c r="G74" s="243"/>
    </row>
    <row r="75" spans="1:8">
      <c r="A75" s="251" t="s">
        <v>458</v>
      </c>
      <c r="B75" s="243"/>
      <c r="C75" s="237"/>
      <c r="D75" s="237"/>
      <c r="E75" s="16">
        <f t="shared" si="3"/>
        <v>0</v>
      </c>
      <c r="G75" s="243"/>
    </row>
    <row r="76" spans="1:8">
      <c r="A76" s="251" t="s">
        <v>459</v>
      </c>
      <c r="B76" s="243"/>
      <c r="C76" s="237"/>
      <c r="D76" s="237"/>
      <c r="E76" s="16">
        <f t="shared" si="3"/>
        <v>0</v>
      </c>
      <c r="G76" s="243"/>
    </row>
    <row r="77" spans="1:8">
      <c r="A77" s="251" t="s">
        <v>460</v>
      </c>
      <c r="B77" s="243"/>
      <c r="C77" s="237"/>
      <c r="D77" s="237"/>
      <c r="E77" s="16">
        <f t="shared" si="3"/>
        <v>0</v>
      </c>
      <c r="G77" s="243"/>
    </row>
    <row r="78" spans="1:8">
      <c r="A78" s="251"/>
      <c r="B78" s="243"/>
      <c r="G78" s="243"/>
    </row>
    <row r="79" spans="1:8">
      <c r="A79" s="251" t="s">
        <v>461</v>
      </c>
      <c r="B79" s="243"/>
      <c r="C79" s="16" t="str">
        <f>IFERROR(AVERAGE(C66:C77),"")</f>
        <v/>
      </c>
      <c r="D79" s="16" t="str">
        <f>IFERROR(AVERAGE(D66:D77),"")</f>
        <v/>
      </c>
      <c r="E79" s="16">
        <f>ROUND(AVERAGE(E66:E77),-3)</f>
        <v>0</v>
      </c>
      <c r="F79" s="339" t="s">
        <v>482</v>
      </c>
      <c r="G79" s="243"/>
    </row>
    <row r="80" spans="1:8">
      <c r="B80" s="243"/>
      <c r="D80" s="332" t="s">
        <v>926</v>
      </c>
      <c r="E80" s="333" t="str">
        <f>IF($E$79='NITS Pg 1 of 5'!$J$26,"ok","err on NITS pg 1")</f>
        <v>ok</v>
      </c>
      <c r="F80" s="238"/>
      <c r="G80" s="243"/>
    </row>
    <row r="81" spans="1:7">
      <c r="B81" s="243"/>
      <c r="D81" s="332" t="s">
        <v>927</v>
      </c>
      <c r="E81" s="333" t="str">
        <f>IF($E$79='PTP Pg 1 of 5'!$J$26,"ok","err on PTP pg 1")</f>
        <v>ok</v>
      </c>
      <c r="F81" s="238"/>
      <c r="G81" s="243"/>
    </row>
    <row r="82" spans="1:7">
      <c r="B82" s="243"/>
      <c r="G82" s="243"/>
    </row>
    <row r="83" spans="1:7" ht="27.75">
      <c r="A83" s="235" t="s">
        <v>483</v>
      </c>
      <c r="B83" s="242" t="s">
        <v>484</v>
      </c>
      <c r="C83" s="352" t="s">
        <v>433</v>
      </c>
      <c r="D83" s="352" t="s">
        <v>434</v>
      </c>
      <c r="E83" s="352" t="s">
        <v>435</v>
      </c>
      <c r="G83" s="243"/>
    </row>
    <row r="84" spans="1:7">
      <c r="A84" s="251" t="s">
        <v>446</v>
      </c>
      <c r="B84" s="243" t="s">
        <v>447</v>
      </c>
      <c r="C84" s="340">
        <v>419000</v>
      </c>
      <c r="D84" s="340">
        <v>191000</v>
      </c>
      <c r="E84" s="16">
        <f>C84+D84</f>
        <v>610000</v>
      </c>
      <c r="G84" s="243"/>
    </row>
    <row r="85" spans="1:7">
      <c r="A85" s="251" t="s">
        <v>448</v>
      </c>
      <c r="B85" s="242"/>
      <c r="C85" s="340">
        <v>419000</v>
      </c>
      <c r="D85" s="340">
        <v>191000</v>
      </c>
      <c r="E85" s="16">
        <f t="shared" ref="E85:E95" si="4">C85+D85</f>
        <v>610000</v>
      </c>
      <c r="G85" s="243"/>
    </row>
    <row r="86" spans="1:7">
      <c r="A86" s="251" t="s">
        <v>449</v>
      </c>
      <c r="B86" s="526"/>
      <c r="C86" s="340">
        <v>419000</v>
      </c>
      <c r="D86" s="340">
        <v>191000</v>
      </c>
      <c r="E86" s="16">
        <f t="shared" si="4"/>
        <v>610000</v>
      </c>
      <c r="G86" s="243"/>
    </row>
    <row r="87" spans="1:7">
      <c r="A87" s="251" t="s">
        <v>450</v>
      </c>
      <c r="B87" s="243"/>
      <c r="C87" s="340">
        <v>419000</v>
      </c>
      <c r="D87" s="340">
        <v>191000</v>
      </c>
      <c r="E87" s="16">
        <f t="shared" si="4"/>
        <v>610000</v>
      </c>
      <c r="G87" s="243"/>
    </row>
    <row r="88" spans="1:7">
      <c r="A88" s="251" t="s">
        <v>451</v>
      </c>
      <c r="B88" s="243"/>
      <c r="C88" s="340">
        <v>419000</v>
      </c>
      <c r="D88" s="340">
        <v>191000</v>
      </c>
      <c r="E88" s="16">
        <f t="shared" si="4"/>
        <v>610000</v>
      </c>
      <c r="G88" s="243"/>
    </row>
    <row r="89" spans="1:7">
      <c r="A89" s="251" t="s">
        <v>453</v>
      </c>
      <c r="B89" s="243"/>
      <c r="C89" s="340">
        <v>419000</v>
      </c>
      <c r="D89" s="340">
        <v>191000</v>
      </c>
      <c r="E89" s="16">
        <f t="shared" si="4"/>
        <v>610000</v>
      </c>
      <c r="G89" s="243"/>
    </row>
    <row r="90" spans="1:7">
      <c r="A90" s="251" t="s">
        <v>455</v>
      </c>
      <c r="B90" s="243"/>
      <c r="C90" s="340">
        <v>415000</v>
      </c>
      <c r="D90" s="340">
        <v>194000</v>
      </c>
      <c r="E90" s="16">
        <f t="shared" si="4"/>
        <v>609000</v>
      </c>
      <c r="G90" s="243"/>
    </row>
    <row r="91" spans="1:7">
      <c r="A91" s="251" t="s">
        <v>456</v>
      </c>
      <c r="B91" s="243"/>
      <c r="C91" s="340">
        <v>415000</v>
      </c>
      <c r="D91" s="340">
        <v>194000</v>
      </c>
      <c r="E91" s="16">
        <f t="shared" si="4"/>
        <v>609000</v>
      </c>
      <c r="G91" s="243"/>
    </row>
    <row r="92" spans="1:7">
      <c r="A92" s="251" t="s">
        <v>457</v>
      </c>
      <c r="B92" s="243"/>
      <c r="C92" s="340">
        <v>415000</v>
      </c>
      <c r="D92" s="340">
        <v>194000</v>
      </c>
      <c r="E92" s="16">
        <f t="shared" si="4"/>
        <v>609000</v>
      </c>
      <c r="G92" s="243"/>
    </row>
    <row r="93" spans="1:7">
      <c r="A93" s="251" t="s">
        <v>458</v>
      </c>
      <c r="B93" s="243"/>
      <c r="C93" s="340">
        <v>415000</v>
      </c>
      <c r="D93" s="340">
        <v>194000</v>
      </c>
      <c r="E93" s="16">
        <f t="shared" si="4"/>
        <v>609000</v>
      </c>
      <c r="G93" s="243"/>
    </row>
    <row r="94" spans="1:7">
      <c r="A94" s="251" t="s">
        <v>459</v>
      </c>
      <c r="B94" s="243"/>
      <c r="C94" s="340">
        <v>415000</v>
      </c>
      <c r="D94" s="340">
        <v>194000</v>
      </c>
      <c r="E94" s="16">
        <f t="shared" si="4"/>
        <v>609000</v>
      </c>
      <c r="G94" s="243"/>
    </row>
    <row r="95" spans="1:7">
      <c r="A95" s="251" t="s">
        <v>460</v>
      </c>
      <c r="B95" s="243"/>
      <c r="C95" s="340">
        <v>415000</v>
      </c>
      <c r="D95" s="340">
        <v>194000</v>
      </c>
      <c r="E95" s="16">
        <f t="shared" si="4"/>
        <v>609000</v>
      </c>
      <c r="G95" s="243"/>
    </row>
    <row r="96" spans="1:7">
      <c r="A96" s="251"/>
      <c r="B96" s="243"/>
      <c r="G96" s="243"/>
    </row>
    <row r="97" spans="1:11">
      <c r="A97" s="251" t="s">
        <v>461</v>
      </c>
      <c r="B97" s="243"/>
      <c r="C97" s="16">
        <f>AVERAGE(C84:C95)</f>
        <v>417000</v>
      </c>
      <c r="D97" s="16">
        <f>AVERAGE(D84:D95)</f>
        <v>192500</v>
      </c>
      <c r="G97" s="243"/>
    </row>
    <row r="98" spans="1:11">
      <c r="A98" s="254" t="s">
        <v>485</v>
      </c>
      <c r="B98" s="243"/>
      <c r="C98" s="380"/>
      <c r="E98" s="16">
        <f>C97+D97+C98</f>
        <v>609500</v>
      </c>
      <c r="F98" s="339" t="s">
        <v>486</v>
      </c>
      <c r="G98" s="243"/>
      <c r="H98" s="339" t="s">
        <v>933</v>
      </c>
    </row>
    <row r="99" spans="1:11">
      <c r="A99" s="238"/>
      <c r="B99" s="243"/>
      <c r="D99" s="332" t="s">
        <v>926</v>
      </c>
      <c r="E99" s="333" t="str">
        <f>IF($E$98='NITS Pg 1 of 5'!$J$27,"ok","err on NITS pg 1")</f>
        <v>ok</v>
      </c>
      <c r="F99" s="238"/>
      <c r="G99" s="243"/>
      <c r="H99" s="238"/>
    </row>
    <row r="100" spans="1:11">
      <c r="A100" s="238"/>
      <c r="B100" s="243"/>
      <c r="D100" s="332" t="s">
        <v>927</v>
      </c>
      <c r="E100" s="333" t="str">
        <f>IF(ROUND($E$98,0)='PTP Pg 1 of 5'!$J$27,"ok","err on PTP pg 1")</f>
        <v>ok</v>
      </c>
      <c r="F100" s="238"/>
      <c r="G100" s="243"/>
      <c r="H100" s="238"/>
    </row>
    <row r="101" spans="1:11">
      <c r="B101" s="243"/>
      <c r="G101" s="243"/>
    </row>
    <row r="102" spans="1:11">
      <c r="A102" s="16" t="s">
        <v>487</v>
      </c>
      <c r="B102" s="243"/>
      <c r="G102" s="243"/>
    </row>
    <row r="103" spans="1:11" ht="15">
      <c r="C103" s="352" t="s">
        <v>433</v>
      </c>
      <c r="D103" s="352" t="s">
        <v>434</v>
      </c>
      <c r="E103" s="352" t="s">
        <v>435</v>
      </c>
      <c r="G103" s="243"/>
    </row>
    <row r="104" spans="1:11">
      <c r="A104" s="238" t="s">
        <v>488</v>
      </c>
      <c r="C104" s="332" t="s">
        <v>927</v>
      </c>
      <c r="D104" s="333" t="str">
        <f>IF(ROUND($E$104,0)='PTP Pg 1 of 5'!$J$28,"ok","err on PTP pg 1")</f>
        <v>ok</v>
      </c>
      <c r="E104" s="485">
        <f>ROUND(2000*1000/12,0)</f>
        <v>166667</v>
      </c>
      <c r="F104" s="339" t="s">
        <v>489</v>
      </c>
      <c r="G104" s="243"/>
      <c r="H104" s="339" t="s">
        <v>490</v>
      </c>
    </row>
    <row r="105" spans="1:11">
      <c r="A105" s="238" t="s">
        <v>491</v>
      </c>
      <c r="C105" s="332" t="s">
        <v>927</v>
      </c>
      <c r="D105" s="333" t="str">
        <f>IF(ROUND($E$105,0)*-1='PTP Pg 1 of 5'!$J$29,"ok","err on PTP pg 1")</f>
        <v>ok</v>
      </c>
      <c r="E105" s="485">
        <v>427000</v>
      </c>
      <c r="F105" s="339" t="s">
        <v>492</v>
      </c>
      <c r="G105" s="243"/>
      <c r="H105" s="339" t="s">
        <v>493</v>
      </c>
    </row>
    <row r="106" spans="1:11">
      <c r="A106" s="238"/>
      <c r="F106" s="238"/>
      <c r="G106" s="243"/>
      <c r="H106" s="336" t="s">
        <v>494</v>
      </c>
    </row>
    <row r="107" spans="1:11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</row>
    <row r="108" spans="1:11" ht="15">
      <c r="A108" s="244" t="s">
        <v>123</v>
      </c>
    </row>
    <row r="109" spans="1:11" ht="15">
      <c r="A109" s="245" t="s">
        <v>30</v>
      </c>
      <c r="B109" s="181"/>
      <c r="C109" s="352" t="s">
        <v>433</v>
      </c>
      <c r="D109" s="352" t="s">
        <v>434</v>
      </c>
      <c r="E109" s="352" t="s">
        <v>435</v>
      </c>
    </row>
    <row r="110" spans="1:11">
      <c r="A110" s="246" t="s">
        <v>495</v>
      </c>
      <c r="B110" s="184" t="s">
        <v>496</v>
      </c>
      <c r="C110" s="340">
        <v>92355301</v>
      </c>
      <c r="D110" s="340">
        <v>2240</v>
      </c>
      <c r="E110" s="16">
        <f t="shared" ref="E110:E114" si="5">C110+D110</f>
        <v>92357541</v>
      </c>
      <c r="F110" s="339" t="s">
        <v>497</v>
      </c>
      <c r="G110" s="243"/>
    </row>
    <row r="111" spans="1:11">
      <c r="A111" s="246" t="s">
        <v>498</v>
      </c>
      <c r="B111" s="187" t="s">
        <v>499</v>
      </c>
      <c r="C111" s="340">
        <v>6074705324</v>
      </c>
      <c r="D111" s="340">
        <v>3205686729</v>
      </c>
      <c r="E111" s="16">
        <f t="shared" si="5"/>
        <v>9280392053</v>
      </c>
      <c r="F111" s="339" t="s">
        <v>500</v>
      </c>
      <c r="G111" s="243"/>
    </row>
    <row r="112" spans="1:11">
      <c r="A112" s="247" t="s">
        <v>24</v>
      </c>
      <c r="B112" s="184" t="s">
        <v>501</v>
      </c>
      <c r="C112" s="340">
        <v>807382026</v>
      </c>
      <c r="D112" s="340">
        <v>382269319</v>
      </c>
      <c r="E112" s="16">
        <f t="shared" si="5"/>
        <v>1189651345</v>
      </c>
      <c r="F112" s="339" t="s">
        <v>502</v>
      </c>
      <c r="G112" s="243"/>
      <c r="I112" s="16" t="s">
        <v>868</v>
      </c>
    </row>
    <row r="113" spans="1:14">
      <c r="A113" s="247" t="s">
        <v>503</v>
      </c>
      <c r="B113" s="184" t="s">
        <v>504</v>
      </c>
      <c r="C113" s="340">
        <v>1662186831</v>
      </c>
      <c r="D113" s="340">
        <v>1232856010</v>
      </c>
      <c r="E113" s="16">
        <f t="shared" si="5"/>
        <v>2895042841</v>
      </c>
      <c r="F113" s="339" t="s">
        <v>505</v>
      </c>
      <c r="G113" s="243"/>
      <c r="H113" s="339" t="s">
        <v>867</v>
      </c>
      <c r="I113" s="340">
        <v>265943525</v>
      </c>
      <c r="J113" s="243"/>
    </row>
    <row r="114" spans="1:14">
      <c r="A114" s="247" t="s">
        <v>506</v>
      </c>
      <c r="B114" s="184" t="s">
        <v>507</v>
      </c>
      <c r="C114" s="340">
        <v>177718823</v>
      </c>
      <c r="D114" s="340">
        <v>17651756</v>
      </c>
      <c r="E114" s="16">
        <f t="shared" si="5"/>
        <v>195370579</v>
      </c>
      <c r="F114" s="339" t="s">
        <v>497</v>
      </c>
      <c r="G114" s="243"/>
      <c r="H114" s="336" t="s">
        <v>866</v>
      </c>
      <c r="I114" s="382">
        <v>0.7</v>
      </c>
      <c r="J114" s="243"/>
    </row>
    <row r="115" spans="1:14">
      <c r="A115" s="247" t="s">
        <v>43</v>
      </c>
      <c r="B115" s="184" t="s">
        <v>508</v>
      </c>
      <c r="C115" s="243" t="s">
        <v>509</v>
      </c>
      <c r="D115" s="243">
        <f>I115</f>
        <v>186160467.5</v>
      </c>
      <c r="E115" s="16">
        <f>D115</f>
        <v>186160467.5</v>
      </c>
      <c r="F115" s="339" t="s">
        <v>510</v>
      </c>
      <c r="G115" s="243"/>
      <c r="I115" s="16">
        <f>I113*I114</f>
        <v>186160467.5</v>
      </c>
      <c r="J115" s="243"/>
    </row>
    <row r="116" spans="1:14">
      <c r="A116" s="247"/>
      <c r="B116" s="184"/>
      <c r="C116" s="333" t="s">
        <v>928</v>
      </c>
      <c r="D116" s="333"/>
      <c r="E116" s="333">
        <f>ROUND(SUM(E110:E115),0)</f>
        <v>13838974827</v>
      </c>
      <c r="F116" s="238"/>
      <c r="G116" s="243"/>
      <c r="J116" s="243"/>
    </row>
    <row r="117" spans="1:14">
      <c r="B117" s="243"/>
      <c r="C117" s="333"/>
      <c r="D117" s="332" t="s">
        <v>926</v>
      </c>
      <c r="E117" s="333" t="str">
        <f>IF($E$116='NITS Pg 2 of 5'!$E$19,"ok","err on NITS pg 2")</f>
        <v>ok</v>
      </c>
      <c r="G117" s="243"/>
      <c r="J117" s="561" t="s">
        <v>1012</v>
      </c>
      <c r="K117" s="561"/>
    </row>
    <row r="118" spans="1:14">
      <c r="B118" s="527"/>
      <c r="C118" s="333"/>
      <c r="D118" s="332" t="s">
        <v>927</v>
      </c>
      <c r="E118" s="333" t="str">
        <f>IF($E$116='PTP Pg 2 of 5'!$E$19,"ok","err on PTP pg 2")</f>
        <v>ok</v>
      </c>
      <c r="G118" s="243"/>
      <c r="I118" s="238"/>
      <c r="J118" s="561"/>
      <c r="K118" s="561"/>
      <c r="M118" s="238" t="s">
        <v>511</v>
      </c>
    </row>
    <row r="119" spans="1:14" ht="15">
      <c r="A119" s="245" t="s">
        <v>40</v>
      </c>
      <c r="B119" s="187"/>
      <c r="C119" s="352" t="s">
        <v>433</v>
      </c>
      <c r="D119" s="352" t="s">
        <v>434</v>
      </c>
      <c r="E119" s="352" t="s">
        <v>435</v>
      </c>
      <c r="G119" s="243"/>
      <c r="J119" s="352" t="s">
        <v>433</v>
      </c>
      <c r="K119" s="352" t="s">
        <v>434</v>
      </c>
      <c r="M119" s="352" t="s">
        <v>433</v>
      </c>
      <c r="N119" s="352" t="s">
        <v>434</v>
      </c>
    </row>
    <row r="120" spans="1:14">
      <c r="A120" s="246" t="s">
        <v>495</v>
      </c>
      <c r="B120" s="187" t="s">
        <v>512</v>
      </c>
      <c r="C120" s="239">
        <f>J120-M120</f>
        <v>49298609.759999998</v>
      </c>
      <c r="D120" s="239">
        <f t="shared" ref="D120:D126" si="6">K120-N120</f>
        <v>0</v>
      </c>
      <c r="E120" s="16">
        <f t="shared" ref="E120:E126" si="7">C120+D120</f>
        <v>49298609.759999998</v>
      </c>
      <c r="F120" s="339" t="s">
        <v>513</v>
      </c>
      <c r="G120" s="243"/>
      <c r="I120" s="528" t="s">
        <v>495</v>
      </c>
      <c r="J120" s="340">
        <v>44427523</v>
      </c>
      <c r="K120" s="340">
        <v>0</v>
      </c>
      <c r="L120" s="243"/>
      <c r="M120" s="338">
        <v>-4871086.76</v>
      </c>
      <c r="N120" s="379"/>
    </row>
    <row r="121" spans="1:14">
      <c r="A121" s="246" t="s">
        <v>514</v>
      </c>
      <c r="B121" s="184" t="s">
        <v>515</v>
      </c>
      <c r="C121" s="239">
        <f t="shared" ref="C121:C126" si="8">J121-M121</f>
        <v>1556772298.99</v>
      </c>
      <c r="D121" s="239">
        <f t="shared" si="6"/>
        <v>893300629.51999998</v>
      </c>
      <c r="E121" s="16">
        <f t="shared" si="7"/>
        <v>2450072928.5100002</v>
      </c>
      <c r="F121" s="339" t="s">
        <v>516</v>
      </c>
      <c r="G121" s="243"/>
      <c r="I121" s="528" t="s">
        <v>517</v>
      </c>
      <c r="J121" s="340">
        <v>1515970573</v>
      </c>
      <c r="K121" s="340">
        <v>842929463</v>
      </c>
      <c r="L121" s="243"/>
      <c r="M121" s="338">
        <v>-40801725.990000002</v>
      </c>
      <c r="N121" s="338">
        <v>-50371166.520000003</v>
      </c>
    </row>
    <row r="122" spans="1:14">
      <c r="A122" s="246" t="s">
        <v>518</v>
      </c>
      <c r="B122" s="184" t="s">
        <v>519</v>
      </c>
      <c r="C122" s="239">
        <f t="shared" si="8"/>
        <v>8172348.71</v>
      </c>
      <c r="D122" s="239">
        <f t="shared" si="6"/>
        <v>5220508.5299999993</v>
      </c>
      <c r="E122" s="16">
        <f t="shared" si="7"/>
        <v>13392857.239999998</v>
      </c>
      <c r="F122" s="339" t="s">
        <v>516</v>
      </c>
      <c r="G122" s="243"/>
      <c r="I122" s="528" t="s">
        <v>520</v>
      </c>
      <c r="J122" s="340">
        <v>10701471</v>
      </c>
      <c r="K122" s="340">
        <v>8761689</v>
      </c>
      <c r="L122" s="243"/>
      <c r="M122" s="338">
        <v>2529122.29</v>
      </c>
      <c r="N122" s="338">
        <v>3541180.47</v>
      </c>
    </row>
    <row r="123" spans="1:14">
      <c r="A123" s="246" t="s">
        <v>521</v>
      </c>
      <c r="B123" s="184" t="s">
        <v>522</v>
      </c>
      <c r="C123" s="239">
        <f t="shared" si="8"/>
        <v>237816024.34</v>
      </c>
      <c r="D123" s="239">
        <f t="shared" si="6"/>
        <v>103097335.12</v>
      </c>
      <c r="E123" s="16">
        <f t="shared" si="7"/>
        <v>340913359.46000004</v>
      </c>
      <c r="F123" s="339" t="s">
        <v>516</v>
      </c>
      <c r="G123" s="243"/>
      <c r="I123" s="528" t="s">
        <v>523</v>
      </c>
      <c r="J123" s="340">
        <v>248160618</v>
      </c>
      <c r="K123" s="340">
        <v>107168895</v>
      </c>
      <c r="L123" s="243"/>
      <c r="M123" s="338">
        <v>10344593.66</v>
      </c>
      <c r="N123" s="338">
        <v>4071559.88</v>
      </c>
    </row>
    <row r="124" spans="1:14">
      <c r="A124" s="246" t="s">
        <v>24</v>
      </c>
      <c r="B124" s="184" t="s">
        <v>524</v>
      </c>
      <c r="C124" s="239">
        <f t="shared" si="8"/>
        <v>333231626.36000001</v>
      </c>
      <c r="D124" s="239">
        <f t="shared" si="6"/>
        <v>147437907.03</v>
      </c>
      <c r="E124" s="16">
        <f t="shared" si="7"/>
        <v>480669533.38999999</v>
      </c>
      <c r="F124" s="339" t="s">
        <v>525</v>
      </c>
      <c r="G124" s="243"/>
      <c r="I124" s="528" t="s">
        <v>24</v>
      </c>
      <c r="J124" s="340">
        <v>332446842</v>
      </c>
      <c r="K124" s="340">
        <v>147408544</v>
      </c>
      <c r="L124" s="243"/>
      <c r="M124" s="338">
        <v>-784784.36</v>
      </c>
      <c r="N124" s="338">
        <v>-29363.03</v>
      </c>
    </row>
    <row r="125" spans="1:14">
      <c r="A125" s="246" t="s">
        <v>503</v>
      </c>
      <c r="B125" s="184" t="s">
        <v>526</v>
      </c>
      <c r="C125" s="239">
        <f t="shared" si="8"/>
        <v>632116290.16999996</v>
      </c>
      <c r="D125" s="239">
        <f t="shared" si="6"/>
        <v>466285934.56</v>
      </c>
      <c r="E125" s="16">
        <f t="shared" si="7"/>
        <v>1098402224.73</v>
      </c>
      <c r="F125" s="339" t="s">
        <v>527</v>
      </c>
      <c r="G125" s="243"/>
      <c r="I125" s="528" t="s">
        <v>503</v>
      </c>
      <c r="J125" s="340">
        <v>638252808</v>
      </c>
      <c r="K125" s="340">
        <v>475589914</v>
      </c>
      <c r="L125" s="243"/>
      <c r="M125" s="338">
        <v>6136517.8300000001</v>
      </c>
      <c r="N125" s="338">
        <v>9303979.4399999995</v>
      </c>
    </row>
    <row r="126" spans="1:14">
      <c r="A126" s="246" t="s">
        <v>506</v>
      </c>
      <c r="B126" s="184" t="s">
        <v>528</v>
      </c>
      <c r="C126" s="239">
        <f t="shared" si="8"/>
        <v>55183008.609999999</v>
      </c>
      <c r="D126" s="239">
        <f t="shared" si="6"/>
        <v>7788327.7199999997</v>
      </c>
      <c r="E126" s="16">
        <f t="shared" si="7"/>
        <v>62971336.329999998</v>
      </c>
      <c r="F126" s="339" t="s">
        <v>513</v>
      </c>
      <c r="G126" s="243"/>
      <c r="I126" s="528" t="s">
        <v>506</v>
      </c>
      <c r="J126" s="340">
        <v>59892154</v>
      </c>
      <c r="K126" s="340">
        <v>7357244</v>
      </c>
      <c r="L126" s="243"/>
      <c r="M126" s="338">
        <v>4709145.3899999997</v>
      </c>
      <c r="N126" s="338">
        <v>-431083.72</v>
      </c>
    </row>
    <row r="127" spans="1:14">
      <c r="A127" s="246" t="s">
        <v>43</v>
      </c>
      <c r="B127" s="184" t="s">
        <v>508</v>
      </c>
      <c r="C127" s="243" t="s">
        <v>509</v>
      </c>
      <c r="D127" s="239">
        <f>K127-N127</f>
        <v>104974058.37199999</v>
      </c>
      <c r="E127" s="16">
        <f>D127</f>
        <v>104974058.37199999</v>
      </c>
      <c r="F127" s="339" t="s">
        <v>529</v>
      </c>
      <c r="G127" s="243"/>
      <c r="I127" s="528" t="s">
        <v>43</v>
      </c>
      <c r="J127" s="243" t="s">
        <v>509</v>
      </c>
      <c r="K127" s="340">
        <v>96876366</v>
      </c>
      <c r="L127" s="243"/>
      <c r="M127" s="243"/>
      <c r="N127" s="338">
        <f>-5198652.39*0.7-6369479.57*0.7</f>
        <v>-8097692.3719999995</v>
      </c>
    </row>
    <row r="128" spans="1:14">
      <c r="A128" s="246"/>
      <c r="B128" s="184"/>
      <c r="C128" s="333" t="s">
        <v>929</v>
      </c>
      <c r="D128" s="334"/>
      <c r="E128" s="333">
        <f>ROUND(SUM(E120:E127),0)</f>
        <v>4600694908</v>
      </c>
      <c r="F128" s="238"/>
      <c r="G128" s="243"/>
      <c r="I128" s="528"/>
      <c r="J128" s="243"/>
      <c r="K128" s="240"/>
      <c r="L128" s="243"/>
      <c r="M128" s="243"/>
      <c r="N128" s="237"/>
    </row>
    <row r="129" spans="1:8">
      <c r="B129" s="243"/>
      <c r="C129" s="333"/>
      <c r="D129" s="332" t="s">
        <v>926</v>
      </c>
      <c r="E129" s="333" t="str">
        <f>IF($E$128='NITS Pg 2 of 5'!$E$27,"ok","err on NITS pg 2")</f>
        <v>ok</v>
      </c>
      <c r="G129" s="243"/>
    </row>
    <row r="130" spans="1:8">
      <c r="A130" s="247"/>
      <c r="B130" s="243"/>
      <c r="C130" s="333"/>
      <c r="D130" s="332" t="s">
        <v>927</v>
      </c>
      <c r="E130" s="333" t="str">
        <f>IF($E$128='PTP Pg 2 of 5'!$E$27,"ok","err on PTP pg 2")</f>
        <v>ok</v>
      </c>
      <c r="G130" s="243"/>
    </row>
    <row r="131" spans="1:8">
      <c r="B131" s="243"/>
      <c r="G131" s="243"/>
    </row>
    <row r="132" spans="1:8" ht="15">
      <c r="A132" s="245" t="s">
        <v>530</v>
      </c>
      <c r="B132" s="187"/>
      <c r="C132" s="352" t="s">
        <v>433</v>
      </c>
      <c r="D132" s="352" t="s">
        <v>434</v>
      </c>
      <c r="E132" s="352" t="s">
        <v>435</v>
      </c>
      <c r="G132" s="243"/>
    </row>
    <row r="133" spans="1:8">
      <c r="A133" s="247" t="s">
        <v>531</v>
      </c>
      <c r="B133" s="184" t="s">
        <v>532</v>
      </c>
      <c r="C133" s="340">
        <v>0</v>
      </c>
      <c r="D133" s="340">
        <v>0</v>
      </c>
      <c r="E133" s="16">
        <f>C133+D133</f>
        <v>0</v>
      </c>
      <c r="F133" s="339" t="s">
        <v>533</v>
      </c>
      <c r="G133" s="243"/>
    </row>
    <row r="134" spans="1:8">
      <c r="A134" s="247" t="s">
        <v>534</v>
      </c>
      <c r="B134" s="184" t="s">
        <v>535</v>
      </c>
      <c r="C134" s="340">
        <v>1272308390</v>
      </c>
      <c r="D134" s="340">
        <v>738214075</v>
      </c>
      <c r="E134" s="16">
        <f>C134+D134</f>
        <v>2010522465</v>
      </c>
      <c r="F134" s="339" t="s">
        <v>536</v>
      </c>
      <c r="G134" s="243"/>
    </row>
    <row r="135" spans="1:8">
      <c r="A135" s="247" t="s">
        <v>537</v>
      </c>
      <c r="B135" s="184" t="s">
        <v>538</v>
      </c>
      <c r="C135" s="340">
        <v>146850085</v>
      </c>
      <c r="D135" s="340">
        <v>154021334</v>
      </c>
      <c r="F135" s="238"/>
      <c r="G135" s="243"/>
    </row>
    <row r="136" spans="1:8">
      <c r="A136" s="265" t="s">
        <v>539</v>
      </c>
      <c r="B136" s="184" t="s">
        <v>540</v>
      </c>
      <c r="C136" s="340">
        <v>19581644</v>
      </c>
      <c r="D136" s="340">
        <v>36169661</v>
      </c>
      <c r="F136" s="238"/>
      <c r="G136" s="243"/>
    </row>
    <row r="137" spans="1:8">
      <c r="A137" s="265" t="s">
        <v>541</v>
      </c>
      <c r="B137" s="184" t="s">
        <v>542</v>
      </c>
      <c r="C137" s="340">
        <v>5049395</v>
      </c>
      <c r="D137" s="340">
        <v>10151221</v>
      </c>
      <c r="G137" s="243"/>
      <c r="H137" s="336" t="s">
        <v>543</v>
      </c>
    </row>
    <row r="138" spans="1:8">
      <c r="A138" s="247" t="s">
        <v>544</v>
      </c>
      <c r="B138" s="184"/>
      <c r="C138" s="243">
        <f>C135-C136+C137</f>
        <v>132317836</v>
      </c>
      <c r="D138" s="243">
        <f>D135-D136+D137</f>
        <v>128002894</v>
      </c>
      <c r="E138" s="16">
        <f>C138+D138</f>
        <v>260320730</v>
      </c>
      <c r="F138" s="339" t="s">
        <v>545</v>
      </c>
      <c r="G138" s="243"/>
    </row>
    <row r="139" spans="1:8">
      <c r="A139" s="247" t="s">
        <v>546</v>
      </c>
      <c r="B139" s="184" t="s">
        <v>547</v>
      </c>
      <c r="C139" s="340">
        <v>372206512</v>
      </c>
      <c r="D139" s="340">
        <v>244937160</v>
      </c>
      <c r="F139" s="238"/>
      <c r="G139" s="243"/>
    </row>
    <row r="140" spans="1:8">
      <c r="A140" s="265" t="s">
        <v>548</v>
      </c>
      <c r="B140" s="184" t="s">
        <v>549</v>
      </c>
      <c r="C140" s="340">
        <v>31995746</v>
      </c>
      <c r="D140" s="340">
        <v>41839523</v>
      </c>
      <c r="F140" s="238"/>
      <c r="G140" s="243"/>
    </row>
    <row r="141" spans="1:8">
      <c r="A141" s="265" t="s">
        <v>550</v>
      </c>
      <c r="B141" s="184" t="s">
        <v>551</v>
      </c>
      <c r="C141" s="340">
        <v>17319755</v>
      </c>
      <c r="D141" s="340">
        <v>16312969</v>
      </c>
      <c r="G141" s="243"/>
      <c r="H141" s="336" t="s">
        <v>543</v>
      </c>
    </row>
    <row r="142" spans="1:8">
      <c r="A142" s="247" t="s">
        <v>552</v>
      </c>
      <c r="B142" s="184"/>
      <c r="C142" s="243">
        <f>C139-C140+C141</f>
        <v>357530521</v>
      </c>
      <c r="D142" s="243">
        <f>D139-D140+D141</f>
        <v>219410606</v>
      </c>
      <c r="E142" s="16">
        <f>C142+D142</f>
        <v>576941127</v>
      </c>
      <c r="F142" s="339" t="s">
        <v>553</v>
      </c>
      <c r="G142" s="243"/>
      <c r="H142" s="238"/>
    </row>
    <row r="143" spans="1:8">
      <c r="A143" s="349" t="s">
        <v>554</v>
      </c>
      <c r="B143" s="260" t="s">
        <v>555</v>
      </c>
      <c r="C143" s="340">
        <v>0</v>
      </c>
      <c r="D143" s="243" t="s">
        <v>509</v>
      </c>
      <c r="E143" s="16">
        <f>C143</f>
        <v>0</v>
      </c>
      <c r="F143" s="339" t="s">
        <v>556</v>
      </c>
      <c r="G143" s="243"/>
      <c r="H143" s="336" t="s">
        <v>557</v>
      </c>
    </row>
    <row r="144" spans="1:8">
      <c r="B144" s="80"/>
      <c r="G144" s="243"/>
    </row>
    <row r="145" spans="1:15">
      <c r="A145" s="238" t="s">
        <v>635</v>
      </c>
      <c r="B145" s="184" t="s">
        <v>558</v>
      </c>
      <c r="C145" s="340">
        <v>413450</v>
      </c>
      <c r="D145" s="340">
        <v>218085</v>
      </c>
      <c r="E145" s="16">
        <f t="shared" ref="E145:E146" si="9">C145+D145</f>
        <v>631535</v>
      </c>
      <c r="F145" s="238"/>
      <c r="G145" s="243"/>
    </row>
    <row r="146" spans="1:15">
      <c r="A146" s="16" t="s">
        <v>559</v>
      </c>
      <c r="B146" s="175" t="s">
        <v>951</v>
      </c>
      <c r="C146" s="338">
        <v>43701.11</v>
      </c>
      <c r="D146" s="338">
        <v>24596.49</v>
      </c>
      <c r="E146" s="16">
        <f t="shared" si="9"/>
        <v>68297.600000000006</v>
      </c>
      <c r="F146" s="238"/>
      <c r="G146" s="243"/>
    </row>
    <row r="147" spans="1:15">
      <c r="B147" s="182"/>
      <c r="C147" s="239"/>
      <c r="D147" s="239"/>
      <c r="E147" s="16">
        <f>E145-E146</f>
        <v>563237.4</v>
      </c>
      <c r="F147" s="339" t="s">
        <v>560</v>
      </c>
      <c r="G147" s="243"/>
    </row>
    <row r="148" spans="1:15">
      <c r="A148" s="238" t="s">
        <v>872</v>
      </c>
      <c r="B148" s="175" t="s">
        <v>873</v>
      </c>
      <c r="C148" s="243" t="s">
        <v>509</v>
      </c>
      <c r="D148" s="340">
        <v>0</v>
      </c>
      <c r="E148" s="16">
        <f>D148</f>
        <v>0</v>
      </c>
      <c r="F148" s="238"/>
      <c r="G148" s="243"/>
      <c r="H148" s="336" t="s">
        <v>561</v>
      </c>
    </row>
    <row r="149" spans="1:15">
      <c r="A149" s="16" t="s">
        <v>562</v>
      </c>
      <c r="B149" s="175" t="s">
        <v>952</v>
      </c>
      <c r="C149" s="243" t="s">
        <v>509</v>
      </c>
      <c r="D149" s="338">
        <v>0</v>
      </c>
      <c r="E149" s="16">
        <f>D149</f>
        <v>0</v>
      </c>
      <c r="F149" s="238"/>
      <c r="G149" s="243"/>
      <c r="H149" s="336" t="s">
        <v>561</v>
      </c>
    </row>
    <row r="150" spans="1:15">
      <c r="B150" s="182"/>
      <c r="C150" s="239"/>
      <c r="D150" s="239"/>
      <c r="E150" s="16">
        <f>E148-E149</f>
        <v>0</v>
      </c>
      <c r="F150" s="339" t="s">
        <v>871</v>
      </c>
      <c r="G150" s="243"/>
    </row>
    <row r="151" spans="1:15">
      <c r="A151" s="16" t="s">
        <v>925</v>
      </c>
      <c r="B151" s="182"/>
      <c r="C151" s="239"/>
      <c r="D151" s="239"/>
      <c r="F151" s="238"/>
      <c r="G151" s="243"/>
    </row>
    <row r="152" spans="1:15">
      <c r="A152" s="251" t="s">
        <v>564</v>
      </c>
      <c r="E152" s="338">
        <v>2118536</v>
      </c>
      <c r="G152" s="243"/>
      <c r="I152" s="339" t="s">
        <v>954</v>
      </c>
    </row>
    <row r="153" spans="1:15">
      <c r="A153" s="251" t="s">
        <v>566</v>
      </c>
      <c r="E153" s="239">
        <f>E152*$I$161</f>
        <v>95728.132014187548</v>
      </c>
      <c r="F153" s="238"/>
      <c r="G153" s="243"/>
    </row>
    <row r="154" spans="1:15">
      <c r="A154" s="251" t="s">
        <v>1005</v>
      </c>
      <c r="E154" s="16">
        <f>E152-E153</f>
        <v>2022807.8679858125</v>
      </c>
      <c r="F154" s="238"/>
      <c r="G154" s="243"/>
    </row>
    <row r="155" spans="1:15">
      <c r="A155" s="254" t="s">
        <v>570</v>
      </c>
      <c r="E155" s="338">
        <v>0</v>
      </c>
      <c r="F155" s="238"/>
      <c r="G155" s="243"/>
      <c r="H155" s="336" t="s">
        <v>563</v>
      </c>
    </row>
    <row r="156" spans="1:15">
      <c r="A156" s="241" t="s">
        <v>572</v>
      </c>
      <c r="E156" s="16">
        <f>E154+E155</f>
        <v>2022807.8679858125</v>
      </c>
      <c r="F156" s="339" t="s">
        <v>870</v>
      </c>
      <c r="G156" s="243"/>
      <c r="H156" s="336" t="s">
        <v>998</v>
      </c>
    </row>
    <row r="157" spans="1:15">
      <c r="A157" s="241"/>
      <c r="F157" s="238"/>
      <c r="G157" s="243"/>
    </row>
    <row r="158" spans="1:15">
      <c r="A158" s="241" t="s">
        <v>924</v>
      </c>
      <c r="F158" s="238"/>
      <c r="G158" s="243"/>
    </row>
    <row r="159" spans="1:15">
      <c r="A159" s="251" t="s">
        <v>564</v>
      </c>
      <c r="E159" s="338">
        <v>8056328.6920770183</v>
      </c>
      <c r="G159" s="243"/>
      <c r="L159" s="336" t="s">
        <v>565</v>
      </c>
      <c r="M159" s="239">
        <f>C124</f>
        <v>333231626.36000001</v>
      </c>
      <c r="N159" s="239">
        <f>D124</f>
        <v>147437907.03</v>
      </c>
      <c r="O159" s="16">
        <f>M159+N159</f>
        <v>480669533.38999999</v>
      </c>
    </row>
    <row r="160" spans="1:15">
      <c r="A160" s="251" t="s">
        <v>566</v>
      </c>
      <c r="E160" s="239">
        <f>E159*$I$161</f>
        <v>364033.13259006961</v>
      </c>
      <c r="G160" s="243"/>
      <c r="H160" s="336" t="s">
        <v>567</v>
      </c>
      <c r="L160" s="336" t="s">
        <v>568</v>
      </c>
      <c r="M160" s="239">
        <f>C208</f>
        <v>14686805.800000001</v>
      </c>
      <c r="N160" s="239">
        <f>D208</f>
        <v>7032719.6399999997</v>
      </c>
      <c r="O160" s="16">
        <f>M160+N160</f>
        <v>21719525.440000001</v>
      </c>
    </row>
    <row r="161" spans="1:10">
      <c r="A161" s="251" t="s">
        <v>569</v>
      </c>
      <c r="E161" s="16">
        <f>E159-E160</f>
        <v>7692295.5594869489</v>
      </c>
      <c r="G161" s="243"/>
      <c r="H161" s="252">
        <f>E160/E159</f>
        <v>4.5185983157325409E-2</v>
      </c>
      <c r="I161" s="248">
        <f>O160/O159</f>
        <v>4.5185983157325409E-2</v>
      </c>
      <c r="J161" s="253"/>
    </row>
    <row r="162" spans="1:10">
      <c r="A162" s="254" t="s">
        <v>570</v>
      </c>
      <c r="E162" s="338">
        <v>0</v>
      </c>
      <c r="G162" s="243"/>
      <c r="H162" s="336" t="s">
        <v>571</v>
      </c>
      <c r="I162" s="339" t="s">
        <v>953</v>
      </c>
    </row>
    <row r="163" spans="1:10">
      <c r="A163" s="241" t="s">
        <v>572</v>
      </c>
      <c r="E163" s="16">
        <f>E161+E162</f>
        <v>7692295.5594869489</v>
      </c>
      <c r="F163" s="339" t="s">
        <v>869</v>
      </c>
      <c r="G163" s="243"/>
      <c r="I163" s="339" t="s">
        <v>1004</v>
      </c>
    </row>
    <row r="164" spans="1:10">
      <c r="A164" s="241"/>
      <c r="F164" s="339"/>
      <c r="G164" s="243"/>
      <c r="I164" s="339"/>
    </row>
    <row r="165" spans="1:10">
      <c r="A165" s="241" t="s">
        <v>573</v>
      </c>
      <c r="B165" s="238" t="s">
        <v>574</v>
      </c>
      <c r="C165" s="338">
        <v>0</v>
      </c>
      <c r="D165" s="338">
        <v>0</v>
      </c>
      <c r="E165" s="16">
        <f t="shared" ref="E165" si="10">C165+D165</f>
        <v>0</v>
      </c>
      <c r="F165" s="339" t="s">
        <v>575</v>
      </c>
      <c r="G165" s="243"/>
      <c r="H165" s="339" t="s">
        <v>576</v>
      </c>
    </row>
    <row r="166" spans="1:10">
      <c r="A166" s="241"/>
      <c r="B166" s="238"/>
      <c r="C166" s="332" t="s">
        <v>923</v>
      </c>
      <c r="D166" s="332"/>
      <c r="E166" s="333">
        <f>ROUND(E133-E134-E138+E142-E143-E147-E150-E156-E163,0)</f>
        <v>-1704180409</v>
      </c>
      <c r="F166" s="238"/>
      <c r="G166" s="243"/>
      <c r="H166" s="339" t="s">
        <v>999</v>
      </c>
    </row>
    <row r="167" spans="1:10">
      <c r="A167" s="241"/>
      <c r="B167" s="238"/>
      <c r="C167" s="332"/>
      <c r="D167" s="332" t="s">
        <v>926</v>
      </c>
      <c r="E167" s="333" t="str">
        <f>IF(E166='NITS Pg 2 of 5'!$E$47,"ok","err on NITS pg 2")</f>
        <v>ok</v>
      </c>
      <c r="F167" s="238"/>
      <c r="G167" s="243"/>
    </row>
    <row r="168" spans="1:10">
      <c r="A168" s="241"/>
      <c r="B168" s="242"/>
      <c r="C168" s="332"/>
      <c r="D168" s="332" t="s">
        <v>927</v>
      </c>
      <c r="E168" s="333" t="str">
        <f>IF(E166='PTP Pg 2 of 5'!$E$47,"ok","err on PTP pg 2")</f>
        <v>ok</v>
      </c>
      <c r="F168" s="238"/>
      <c r="G168" s="243"/>
    </row>
    <row r="169" spans="1:10">
      <c r="A169" s="241" t="s">
        <v>24</v>
      </c>
      <c r="B169" s="242" t="s">
        <v>577</v>
      </c>
      <c r="C169" s="340">
        <v>5816467</v>
      </c>
      <c r="D169" s="340">
        <v>3003481</v>
      </c>
      <c r="F169" s="238"/>
      <c r="G169" s="243"/>
    </row>
    <row r="170" spans="1:10">
      <c r="A170" s="241" t="s">
        <v>578</v>
      </c>
      <c r="B170" s="242" t="s">
        <v>579</v>
      </c>
      <c r="C170" s="340">
        <v>9371630</v>
      </c>
      <c r="D170" s="340">
        <v>5546728</v>
      </c>
      <c r="F170" s="238"/>
      <c r="G170" s="243"/>
    </row>
    <row r="171" spans="1:10">
      <c r="A171" s="241"/>
      <c r="B171" s="242"/>
      <c r="C171" s="255">
        <f>C170*C176</f>
        <v>1323591.8411437063</v>
      </c>
      <c r="D171" s="255">
        <f>D170*D176</f>
        <v>528269.03095408424</v>
      </c>
      <c r="F171" s="238"/>
      <c r="G171" s="243"/>
    </row>
    <row r="172" spans="1:10">
      <c r="A172" s="241"/>
      <c r="B172" s="242"/>
      <c r="C172" s="256">
        <f>C169+C171</f>
        <v>7140058.8411437068</v>
      </c>
      <c r="D172" s="256">
        <f>D169+D171</f>
        <v>3531750.0309540844</v>
      </c>
      <c r="E172" s="16">
        <f>C172+D172</f>
        <v>10671808.87209779</v>
      </c>
      <c r="F172" s="339" t="s">
        <v>920</v>
      </c>
      <c r="G172" s="243"/>
    </row>
    <row r="173" spans="1:10">
      <c r="A173" s="241"/>
      <c r="B173" s="242"/>
      <c r="C173" s="256"/>
      <c r="D173" s="332" t="s">
        <v>926</v>
      </c>
      <c r="E173" s="333" t="str">
        <f>IF(E172='NITS Pg 2 of 5'!$E$53,"ok","err on NITS pg 2")</f>
        <v>ok</v>
      </c>
      <c r="F173" s="238"/>
      <c r="G173" s="243"/>
    </row>
    <row r="174" spans="1:10">
      <c r="A174" s="241"/>
      <c r="B174" s="242"/>
      <c r="C174" s="256"/>
      <c r="D174" s="332" t="s">
        <v>927</v>
      </c>
      <c r="E174" s="333" t="str">
        <f>IF(E172='PTP Pg 2 of 5'!$E$53,"ok","err on PTP pg 2")</f>
        <v>ok</v>
      </c>
      <c r="F174" s="238"/>
      <c r="G174" s="243"/>
    </row>
    <row r="175" spans="1:10">
      <c r="A175" s="241" t="s">
        <v>580</v>
      </c>
      <c r="B175" s="242" t="s">
        <v>581</v>
      </c>
      <c r="C175" s="340">
        <v>41183222</v>
      </c>
      <c r="D175" s="340">
        <f>32048293-512293</f>
        <v>31536000</v>
      </c>
      <c r="E175" s="243">
        <f>C175+D175</f>
        <v>72719222</v>
      </c>
      <c r="F175" s="238"/>
      <c r="G175" s="243"/>
    </row>
    <row r="176" spans="1:10">
      <c r="A176" s="251"/>
      <c r="B176" s="242" t="s">
        <v>582</v>
      </c>
      <c r="C176" s="257">
        <f>C169/C175</f>
        <v>0.1412338986007457</v>
      </c>
      <c r="D176" s="257">
        <f>D169/D175</f>
        <v>9.5239757737189248E-2</v>
      </c>
      <c r="E176" s="243"/>
      <c r="F176" s="238"/>
      <c r="G176" s="243"/>
    </row>
    <row r="177" spans="1:13">
      <c r="A177" s="251"/>
      <c r="B177" s="242"/>
      <c r="C177" s="256"/>
      <c r="D177" s="256"/>
      <c r="F177" s="238"/>
      <c r="G177" s="243"/>
    </row>
    <row r="178" spans="1:13">
      <c r="A178" s="241" t="s">
        <v>583</v>
      </c>
      <c r="B178" s="242" t="s">
        <v>584</v>
      </c>
      <c r="C178" s="340">
        <v>7513311</v>
      </c>
      <c r="D178" s="340">
        <v>6472537</v>
      </c>
      <c r="E178" s="16">
        <f t="shared" ref="E178" si="11">C178+D178</f>
        <v>13985848</v>
      </c>
      <c r="F178" s="339" t="s">
        <v>585</v>
      </c>
      <c r="G178" s="243"/>
    </row>
    <row r="179" spans="1:13">
      <c r="A179" s="241"/>
      <c r="B179" s="242"/>
      <c r="D179" s="332" t="s">
        <v>926</v>
      </c>
      <c r="E179" s="333" t="str">
        <f>IF(E178='NITS Pg 2 of 5'!$E$54,"ok","err on NITS pg 2")</f>
        <v>ok</v>
      </c>
      <c r="F179" s="238"/>
      <c r="G179" s="243"/>
    </row>
    <row r="180" spans="1:13">
      <c r="A180" s="241"/>
      <c r="B180" s="238"/>
      <c r="D180" s="332" t="s">
        <v>927</v>
      </c>
      <c r="E180" s="333" t="str">
        <f>IF(E178='PTP Pg 2 of 5'!$E$54,"ok","err on PTP pg 2")</f>
        <v>ok</v>
      </c>
      <c r="F180" s="238"/>
      <c r="G180" s="243"/>
    </row>
    <row r="181" spans="1:13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</row>
    <row r="182" spans="1:13" ht="15">
      <c r="A182" s="258" t="s">
        <v>124</v>
      </c>
    </row>
    <row r="183" spans="1:13" ht="15">
      <c r="A183" s="245" t="s">
        <v>55</v>
      </c>
      <c r="B183" s="181"/>
      <c r="C183" s="352" t="s">
        <v>433</v>
      </c>
      <c r="D183" s="352" t="s">
        <v>434</v>
      </c>
      <c r="E183" s="352" t="s">
        <v>435</v>
      </c>
    </row>
    <row r="184" spans="1:13">
      <c r="A184" s="250" t="s">
        <v>586</v>
      </c>
      <c r="B184" s="184" t="s">
        <v>587</v>
      </c>
      <c r="C184" s="340">
        <v>31782982</v>
      </c>
      <c r="D184" s="340">
        <v>14487246</v>
      </c>
      <c r="G184" s="243"/>
      <c r="H184" s="336" t="s">
        <v>588</v>
      </c>
    </row>
    <row r="185" spans="1:13">
      <c r="A185" s="247" t="s">
        <v>589</v>
      </c>
      <c r="B185" s="187"/>
      <c r="C185" s="243"/>
      <c r="D185" s="243"/>
      <c r="G185" s="243"/>
      <c r="H185" s="336" t="s">
        <v>590</v>
      </c>
    </row>
    <row r="186" spans="1:13">
      <c r="A186" s="265" t="s">
        <v>591</v>
      </c>
      <c r="B186" s="187"/>
      <c r="C186" s="379"/>
      <c r="D186" s="379"/>
      <c r="E186" s="336" t="s">
        <v>874</v>
      </c>
      <c r="G186" s="243"/>
      <c r="H186" s="336" t="s">
        <v>592</v>
      </c>
    </row>
    <row r="187" spans="1:13">
      <c r="A187" s="265" t="s">
        <v>593</v>
      </c>
      <c r="B187" s="187"/>
      <c r="C187" s="239"/>
      <c r="D187" s="239"/>
      <c r="G187" s="243"/>
      <c r="H187" s="336" t="s">
        <v>594</v>
      </c>
    </row>
    <row r="188" spans="1:13">
      <c r="A188" s="265" t="s">
        <v>595</v>
      </c>
      <c r="B188" s="187"/>
      <c r="C188" s="338">
        <v>76391.55</v>
      </c>
      <c r="D188" s="338">
        <v>3481.66</v>
      </c>
      <c r="E188" s="336" t="s">
        <v>875</v>
      </c>
      <c r="G188" s="243"/>
      <c r="H188" s="336" t="s">
        <v>596</v>
      </c>
    </row>
    <row r="189" spans="1:13" ht="15">
      <c r="A189" s="250" t="s">
        <v>597</v>
      </c>
      <c r="B189" s="187"/>
      <c r="C189" s="243">
        <f>C184-SUM(C186:C188)</f>
        <v>31706590.449999999</v>
      </c>
      <c r="D189" s="243">
        <f>D184-SUM(D186:D188)</f>
        <v>14483764.34</v>
      </c>
      <c r="E189" s="16">
        <f>C189+D189</f>
        <v>46190354.789999999</v>
      </c>
      <c r="F189" s="339" t="s">
        <v>598</v>
      </c>
      <c r="G189" s="243"/>
      <c r="H189" s="339" t="s">
        <v>599</v>
      </c>
      <c r="I189" s="559" t="s">
        <v>433</v>
      </c>
      <c r="J189" s="560"/>
      <c r="K189" s="559" t="s">
        <v>434</v>
      </c>
      <c r="L189" s="560"/>
      <c r="M189" s="243"/>
    </row>
    <row r="190" spans="1:13">
      <c r="A190" s="247" t="s">
        <v>600</v>
      </c>
      <c r="B190" s="184" t="s">
        <v>601</v>
      </c>
      <c r="C190" s="340">
        <v>3381568</v>
      </c>
      <c r="D190" s="340">
        <v>792961</v>
      </c>
      <c r="E190" s="16">
        <f>C190+D190</f>
        <v>4174529</v>
      </c>
      <c r="F190" s="339" t="s">
        <v>602</v>
      </c>
      <c r="G190" s="243"/>
      <c r="I190" s="478">
        <v>2421324</v>
      </c>
      <c r="J190" s="479">
        <v>35310</v>
      </c>
      <c r="K190" s="478">
        <v>1373412</v>
      </c>
      <c r="L190" s="479">
        <v>18190</v>
      </c>
      <c r="M190" s="243"/>
    </row>
    <row r="191" spans="1:13">
      <c r="A191" s="247"/>
      <c r="B191" s="184"/>
      <c r="C191" s="175"/>
      <c r="D191" s="175"/>
      <c r="F191" s="238"/>
      <c r="G191" s="243"/>
      <c r="I191" s="478">
        <v>25448</v>
      </c>
      <c r="J191" s="479">
        <v>9280</v>
      </c>
      <c r="K191" s="478">
        <v>13703</v>
      </c>
      <c r="L191" s="479">
        <v>7760</v>
      </c>
      <c r="M191" s="243"/>
    </row>
    <row r="192" spans="1:13">
      <c r="A192" s="250" t="s">
        <v>56</v>
      </c>
      <c r="B192" s="184" t="s">
        <v>603</v>
      </c>
      <c r="C192" s="340">
        <v>120848660</v>
      </c>
      <c r="D192" s="340">
        <v>84250434</v>
      </c>
      <c r="E192" s="16">
        <f>C192+D192</f>
        <v>205099094</v>
      </c>
      <c r="F192" s="339" t="s">
        <v>604</v>
      </c>
      <c r="G192" s="243"/>
      <c r="I192" s="478">
        <v>13795</v>
      </c>
      <c r="J192" s="479"/>
      <c r="K192" s="478">
        <v>97560</v>
      </c>
      <c r="L192" s="479"/>
      <c r="M192" s="243"/>
    </row>
    <row r="193" spans="1:14">
      <c r="A193" s="250"/>
      <c r="B193" s="184"/>
      <c r="C193" s="175"/>
      <c r="D193" s="175"/>
      <c r="F193" s="238"/>
      <c r="G193" s="243"/>
      <c r="I193" s="478">
        <v>102440</v>
      </c>
      <c r="J193" s="479"/>
      <c r="K193" s="478">
        <v>52500</v>
      </c>
      <c r="L193" s="479"/>
      <c r="M193" s="243"/>
    </row>
    <row r="194" spans="1:14">
      <c r="A194" s="250" t="s">
        <v>605</v>
      </c>
      <c r="B194" s="187" t="s">
        <v>606</v>
      </c>
      <c r="C194" s="340">
        <v>406748</v>
      </c>
      <c r="D194" s="340">
        <v>350592</v>
      </c>
      <c r="E194" s="16">
        <f>C194+D194</f>
        <v>757340</v>
      </c>
      <c r="F194" s="339" t="s">
        <v>607</v>
      </c>
      <c r="G194" s="243"/>
      <c r="I194" s="480">
        <v>97500</v>
      </c>
      <c r="J194" s="481"/>
      <c r="K194" s="480">
        <v>5220</v>
      </c>
      <c r="L194" s="481"/>
      <c r="M194" s="243"/>
    </row>
    <row r="195" spans="1:14">
      <c r="A195" s="259" t="s">
        <v>608</v>
      </c>
      <c r="B195" s="184" t="s">
        <v>609</v>
      </c>
      <c r="C195" s="239">
        <f>SUM(I190:J194)</f>
        <v>2705097</v>
      </c>
      <c r="D195" s="239">
        <f>SUM(K190:L194)</f>
        <v>1568345</v>
      </c>
      <c r="G195" s="243"/>
      <c r="H195" s="345" t="s">
        <v>610</v>
      </c>
      <c r="M195" s="243"/>
    </row>
    <row r="196" spans="1:14">
      <c r="A196" s="259" t="s">
        <v>611</v>
      </c>
      <c r="B196" s="184" t="s">
        <v>612</v>
      </c>
      <c r="C196" s="340">
        <v>118945</v>
      </c>
      <c r="D196" s="340">
        <v>116028</v>
      </c>
      <c r="F196" s="238"/>
      <c r="G196" s="243"/>
      <c r="H196" s="346" t="s">
        <v>613</v>
      </c>
      <c r="I196" s="339" t="s">
        <v>614</v>
      </c>
    </row>
    <row r="197" spans="1:14">
      <c r="A197" s="259" t="s">
        <v>877</v>
      </c>
      <c r="B197" s="184" t="s">
        <v>956</v>
      </c>
      <c r="C197" s="340">
        <v>1665507</v>
      </c>
      <c r="D197" s="340">
        <v>1209879</v>
      </c>
      <c r="F197" s="238"/>
      <c r="G197" s="243"/>
      <c r="I197" s="260"/>
    </row>
    <row r="198" spans="1:14">
      <c r="A198" s="259" t="s">
        <v>615</v>
      </c>
      <c r="B198" s="184" t="s">
        <v>1009</v>
      </c>
      <c r="C198" s="340">
        <v>47507</v>
      </c>
      <c r="D198" s="340">
        <v>30527</v>
      </c>
      <c r="F198" s="238"/>
      <c r="G198" s="243"/>
      <c r="H198" s="339" t="s">
        <v>876</v>
      </c>
      <c r="I198" s="260"/>
    </row>
    <row r="199" spans="1:14">
      <c r="A199" s="259" t="s">
        <v>616</v>
      </c>
      <c r="B199" s="184" t="s">
        <v>1010</v>
      </c>
      <c r="C199" s="340">
        <v>0</v>
      </c>
      <c r="D199" s="340">
        <v>188645</v>
      </c>
      <c r="F199" s="238"/>
      <c r="G199" s="243"/>
      <c r="I199" s="260"/>
    </row>
    <row r="200" spans="1:14">
      <c r="A200" s="250"/>
      <c r="B200" s="184"/>
      <c r="C200" s="243">
        <f>-C194+SUM(C195:C197)-SUM(C198:C199)</f>
        <v>4035294</v>
      </c>
      <c r="D200" s="243">
        <f>-D194+SUM(D195:D197)-SUM(D198:D199)</f>
        <v>2324488</v>
      </c>
      <c r="E200" s="16">
        <f>C200+D200</f>
        <v>6359782</v>
      </c>
      <c r="F200" s="339" t="s">
        <v>617</v>
      </c>
      <c r="G200" s="243"/>
      <c r="H200" s="347" t="s">
        <v>618</v>
      </c>
    </row>
    <row r="201" spans="1:14" ht="25.5">
      <c r="A201" s="261" t="s">
        <v>619</v>
      </c>
      <c r="B201" s="262" t="s">
        <v>620</v>
      </c>
      <c r="C201" s="338">
        <v>231846</v>
      </c>
      <c r="D201" s="338">
        <v>213861</v>
      </c>
      <c r="E201" s="16">
        <f>C201+D201</f>
        <v>445707</v>
      </c>
      <c r="F201" s="339" t="s">
        <v>623</v>
      </c>
      <c r="G201" s="243"/>
      <c r="H201" s="346" t="s">
        <v>621</v>
      </c>
    </row>
    <row r="202" spans="1:14">
      <c r="A202" s="245" t="s">
        <v>37</v>
      </c>
      <c r="B202" s="175" t="s">
        <v>622</v>
      </c>
      <c r="C202" s="243" t="s">
        <v>509</v>
      </c>
      <c r="D202" s="340">
        <v>0</v>
      </c>
      <c r="E202" s="16">
        <f>D202</f>
        <v>0</v>
      </c>
      <c r="F202" s="339" t="s">
        <v>626</v>
      </c>
      <c r="G202" s="243"/>
      <c r="H202" s="347" t="s">
        <v>624</v>
      </c>
    </row>
    <row r="203" spans="1:14">
      <c r="A203" s="245" t="s">
        <v>625</v>
      </c>
      <c r="B203" s="181"/>
      <c r="C203" s="338">
        <v>0</v>
      </c>
      <c r="D203" s="338">
        <v>0</v>
      </c>
      <c r="E203" s="16">
        <f>C203+D203</f>
        <v>0</v>
      </c>
      <c r="F203" s="339" t="s">
        <v>1006</v>
      </c>
      <c r="G203" s="243"/>
      <c r="H203" s="336" t="s">
        <v>627</v>
      </c>
    </row>
    <row r="204" spans="1:14">
      <c r="B204" s="181"/>
      <c r="C204" s="333" t="s">
        <v>921</v>
      </c>
      <c r="D204" s="333"/>
      <c r="E204" s="333">
        <f>ROUND(E189-E190+E192-E194-E200+E201+E202+E203,0)</f>
        <v>240443505</v>
      </c>
      <c r="G204" s="243"/>
    </row>
    <row r="205" spans="1:14">
      <c r="A205" s="245"/>
      <c r="B205" s="181"/>
      <c r="C205" s="333"/>
      <c r="D205" s="332" t="s">
        <v>926</v>
      </c>
      <c r="E205" s="333" t="str">
        <f>IF(E204='NITS Pg 3 of 5'!E22,"ok","err on NITS pg 3")</f>
        <v>ok</v>
      </c>
      <c r="G205" s="243"/>
      <c r="J205" s="561" t="s">
        <v>1011</v>
      </c>
      <c r="K205" s="561"/>
    </row>
    <row r="206" spans="1:14">
      <c r="B206" s="181"/>
      <c r="C206" s="333"/>
      <c r="D206" s="332" t="s">
        <v>927</v>
      </c>
      <c r="E206" s="333" t="str">
        <f>IF(E204='PTP Pg 3 of 5'!E22,"ok","err on PTP pg 3")</f>
        <v>ok</v>
      </c>
      <c r="G206" s="243"/>
      <c r="J206" s="561"/>
      <c r="K206" s="561"/>
      <c r="M206" s="238" t="s">
        <v>955</v>
      </c>
    </row>
    <row r="207" spans="1:14" ht="15">
      <c r="A207" s="245" t="s">
        <v>628</v>
      </c>
      <c r="B207" s="181"/>
      <c r="G207" s="243"/>
      <c r="J207" s="352" t="s">
        <v>433</v>
      </c>
      <c r="K207" s="352" t="s">
        <v>434</v>
      </c>
      <c r="L207" s="243"/>
      <c r="M207" s="352" t="s">
        <v>433</v>
      </c>
      <c r="N207" s="352" t="s">
        <v>434</v>
      </c>
    </row>
    <row r="208" spans="1:14">
      <c r="A208" s="245" t="s">
        <v>24</v>
      </c>
      <c r="B208" s="184" t="s">
        <v>629</v>
      </c>
      <c r="C208" s="239">
        <f t="shared" ref="C208:D210" si="12">J208-M208</f>
        <v>14686805.800000001</v>
      </c>
      <c r="D208" s="239">
        <f t="shared" si="12"/>
        <v>7032719.6399999997</v>
      </c>
      <c r="E208" s="16">
        <f>C208+D208</f>
        <v>21719525.440000001</v>
      </c>
      <c r="F208" s="339" t="s">
        <v>632</v>
      </c>
      <c r="G208" s="243"/>
      <c r="I208" s="336" t="s">
        <v>24</v>
      </c>
      <c r="J208" s="340">
        <v>14413824</v>
      </c>
      <c r="K208" s="340">
        <v>7018552</v>
      </c>
      <c r="L208" s="243"/>
      <c r="M208" s="338">
        <v>-272981.8</v>
      </c>
      <c r="N208" s="338">
        <v>-14167.64</v>
      </c>
    </row>
    <row r="209" spans="1:14">
      <c r="A209" s="245" t="s">
        <v>506</v>
      </c>
      <c r="B209" s="184" t="s">
        <v>630</v>
      </c>
      <c r="C209" s="239">
        <f t="shared" si="12"/>
        <v>9534030.3200000003</v>
      </c>
      <c r="D209" s="239">
        <f t="shared" si="12"/>
        <v>798625.83</v>
      </c>
      <c r="G209" s="243"/>
      <c r="I209" s="336" t="s">
        <v>506</v>
      </c>
      <c r="J209" s="340">
        <v>11533606</v>
      </c>
      <c r="K209" s="340">
        <v>856655</v>
      </c>
      <c r="L209" s="243"/>
      <c r="M209" s="338">
        <v>1999575.68</v>
      </c>
      <c r="N209" s="338">
        <v>58029.17</v>
      </c>
    </row>
    <row r="210" spans="1:14">
      <c r="A210" s="245" t="s">
        <v>495</v>
      </c>
      <c r="B210" s="184" t="s">
        <v>631</v>
      </c>
      <c r="C210" s="239">
        <f t="shared" si="12"/>
        <v>12976036.68</v>
      </c>
      <c r="D210" s="239">
        <f t="shared" si="12"/>
        <v>0</v>
      </c>
      <c r="G210" s="243"/>
      <c r="I210" s="336" t="s">
        <v>495</v>
      </c>
      <c r="J210" s="340">
        <v>10864312</v>
      </c>
      <c r="K210" s="521"/>
      <c r="L210" s="243"/>
      <c r="M210" s="338">
        <v>-2111724.6800000002</v>
      </c>
      <c r="N210" s="379"/>
    </row>
    <row r="211" spans="1:14">
      <c r="A211" s="245"/>
      <c r="B211" s="184"/>
      <c r="C211" s="243">
        <f>C209+C210</f>
        <v>22510067</v>
      </c>
      <c r="D211" s="243">
        <f>D209+D210</f>
        <v>798625.83</v>
      </c>
      <c r="E211" s="16">
        <f>C211+D211</f>
        <v>23308692.829999998</v>
      </c>
      <c r="F211" s="339" t="s">
        <v>634</v>
      </c>
      <c r="G211" s="243"/>
      <c r="I211" s="336" t="s">
        <v>43</v>
      </c>
      <c r="J211" s="378"/>
      <c r="K211" s="340">
        <v>15838253</v>
      </c>
      <c r="L211" s="243"/>
      <c r="N211" s="338">
        <f>-1883537.14-1499749.61</f>
        <v>-3383286.75</v>
      </c>
    </row>
    <row r="212" spans="1:14">
      <c r="A212" s="245" t="s">
        <v>43</v>
      </c>
      <c r="B212" s="184" t="s">
        <v>633</v>
      </c>
      <c r="C212" s="243" t="s">
        <v>509</v>
      </c>
      <c r="D212" s="239">
        <f>K211-N211</f>
        <v>19221539.75</v>
      </c>
      <c r="E212" s="16">
        <f>D212</f>
        <v>19221539.75</v>
      </c>
      <c r="F212" s="339" t="s">
        <v>1007</v>
      </c>
      <c r="G212" s="243"/>
      <c r="L212" s="243"/>
      <c r="M212" s="243"/>
    </row>
    <row r="213" spans="1:14">
      <c r="A213" s="245"/>
      <c r="B213" s="184"/>
      <c r="C213" s="175"/>
      <c r="D213" s="175"/>
      <c r="F213" s="238"/>
      <c r="G213" s="243"/>
      <c r="L213" s="243"/>
    </row>
    <row r="214" spans="1:14">
      <c r="A214" s="245" t="s">
        <v>635</v>
      </c>
      <c r="B214" s="184" t="s">
        <v>636</v>
      </c>
      <c r="C214" s="338">
        <v>0</v>
      </c>
      <c r="D214" s="338">
        <v>0</v>
      </c>
      <c r="E214" s="16">
        <f>C214+D214</f>
        <v>0</v>
      </c>
      <c r="F214" s="339" t="s">
        <v>632</v>
      </c>
      <c r="G214" s="243"/>
      <c r="L214" s="243"/>
    </row>
    <row r="215" spans="1:14">
      <c r="A215" s="245" t="s">
        <v>637</v>
      </c>
      <c r="B215" s="184" t="s">
        <v>638</v>
      </c>
      <c r="C215" s="243" t="s">
        <v>509</v>
      </c>
      <c r="D215" s="338">
        <v>0</v>
      </c>
      <c r="E215" s="16">
        <f>D215</f>
        <v>0</v>
      </c>
      <c r="F215" s="339" t="s">
        <v>1007</v>
      </c>
      <c r="G215" s="243"/>
      <c r="H215" s="336" t="s">
        <v>639</v>
      </c>
    </row>
    <row r="216" spans="1:14">
      <c r="B216" s="243"/>
      <c r="G216" s="243"/>
    </row>
    <row r="217" spans="1:14">
      <c r="B217" s="243"/>
      <c r="C217" s="332" t="s">
        <v>922</v>
      </c>
      <c r="D217" s="333"/>
      <c r="E217" s="333">
        <f>ROUND(E208+E211+E212-E214-E215,0)</f>
        <v>64249758</v>
      </c>
      <c r="G217" s="243"/>
    </row>
    <row r="218" spans="1:14">
      <c r="B218" s="243"/>
      <c r="C218" s="333"/>
      <c r="D218" s="332" t="s">
        <v>926</v>
      </c>
      <c r="E218" s="333" t="str">
        <f>IF(E217='NITS Pg 3 of 5'!E28,"ok","err on NITS pg 3")</f>
        <v>ok</v>
      </c>
      <c r="G218" s="243"/>
    </row>
    <row r="219" spans="1:14">
      <c r="B219" s="243"/>
      <c r="C219" s="333"/>
      <c r="D219" s="332" t="s">
        <v>927</v>
      </c>
      <c r="E219" s="333" t="str">
        <f>IF(E217='PTP Pg 3 of 5'!E28,"ok","err on PTP pg 3")</f>
        <v>ok</v>
      </c>
      <c r="G219" s="243"/>
    </row>
    <row r="220" spans="1:14">
      <c r="A220" s="245" t="s">
        <v>640</v>
      </c>
      <c r="B220" s="80"/>
      <c r="G220" s="243"/>
      <c r="H220" s="345" t="s">
        <v>641</v>
      </c>
    </row>
    <row r="221" spans="1:14">
      <c r="A221" s="245" t="s">
        <v>57</v>
      </c>
      <c r="B221" s="80"/>
      <c r="G221" s="243"/>
      <c r="H221" s="345" t="s">
        <v>642</v>
      </c>
    </row>
    <row r="222" spans="1:14">
      <c r="A222" s="250" t="s">
        <v>59</v>
      </c>
      <c r="B222" s="187" t="s">
        <v>58</v>
      </c>
      <c r="G222" s="243"/>
      <c r="H222" s="345" t="s">
        <v>643</v>
      </c>
    </row>
    <row r="223" spans="1:14">
      <c r="A223" s="263" t="s">
        <v>644</v>
      </c>
      <c r="B223" s="184" t="s">
        <v>645</v>
      </c>
      <c r="C223" s="340">
        <v>9348184</v>
      </c>
      <c r="D223" s="340">
        <v>6749475</v>
      </c>
      <c r="G223" s="243"/>
      <c r="H223" s="347" t="s">
        <v>646</v>
      </c>
    </row>
    <row r="224" spans="1:14">
      <c r="A224" s="263" t="s">
        <v>647</v>
      </c>
      <c r="B224" s="184" t="s">
        <v>1002</v>
      </c>
      <c r="C224" s="340">
        <v>222990</v>
      </c>
      <c r="D224" s="340">
        <v>159007</v>
      </c>
      <c r="G224" s="243"/>
      <c r="H224" s="348" t="s">
        <v>648</v>
      </c>
    </row>
    <row r="225" spans="1:8">
      <c r="A225" s="263" t="s">
        <v>649</v>
      </c>
      <c r="B225" s="184" t="s">
        <v>1000</v>
      </c>
      <c r="C225" s="338" t="s">
        <v>509</v>
      </c>
      <c r="D225" s="338">
        <f>ROUND(58593.16*79%,0)</f>
        <v>46289</v>
      </c>
      <c r="G225" s="243"/>
      <c r="H225" s="186"/>
    </row>
    <row r="226" spans="1:8">
      <c r="A226" s="264" t="s">
        <v>650</v>
      </c>
      <c r="B226" s="187"/>
      <c r="C226" s="243">
        <f>SUM(C223:C224)</f>
        <v>9571174</v>
      </c>
      <c r="D226" s="243">
        <f>SUM(D223:D225)</f>
        <v>6954771</v>
      </c>
      <c r="E226" s="16">
        <f>C226+D226</f>
        <v>16525945</v>
      </c>
      <c r="F226" s="339" t="s">
        <v>653</v>
      </c>
      <c r="G226" s="243"/>
      <c r="H226" s="185"/>
    </row>
    <row r="227" spans="1:8">
      <c r="A227" s="245" t="s">
        <v>651</v>
      </c>
      <c r="B227" s="184" t="s">
        <v>1001</v>
      </c>
      <c r="C227" s="338">
        <v>62321</v>
      </c>
      <c r="D227" s="338">
        <f>ROUND((12524.4+307.99+23384.63)*79%,0)</f>
        <v>28611</v>
      </c>
      <c r="E227" s="16">
        <f>C227+D227</f>
        <v>90932</v>
      </c>
      <c r="F227" s="339" t="s">
        <v>1008</v>
      </c>
      <c r="G227" s="243"/>
      <c r="H227" s="345" t="s">
        <v>654</v>
      </c>
    </row>
    <row r="228" spans="1:8">
      <c r="A228" s="245" t="s">
        <v>60</v>
      </c>
      <c r="B228" s="187" t="s">
        <v>0</v>
      </c>
      <c r="G228" s="243"/>
    </row>
    <row r="229" spans="1:8">
      <c r="A229" s="265" t="s">
        <v>61</v>
      </c>
      <c r="B229" s="184" t="s">
        <v>957</v>
      </c>
      <c r="C229" s="340">
        <v>25680955</v>
      </c>
      <c r="D229" s="340">
        <v>19235773</v>
      </c>
      <c r="E229" s="16">
        <f>C229+D229</f>
        <v>44916728</v>
      </c>
      <c r="F229" s="339" t="s">
        <v>656</v>
      </c>
      <c r="G229" s="243"/>
      <c r="H229" s="345" t="s">
        <v>654</v>
      </c>
    </row>
    <row r="230" spans="1:8">
      <c r="A230" s="265" t="s">
        <v>655</v>
      </c>
      <c r="B230" s="184" t="s">
        <v>652</v>
      </c>
      <c r="C230" s="243" t="s">
        <v>509</v>
      </c>
      <c r="D230" s="243" t="s">
        <v>509</v>
      </c>
      <c r="E230" s="16">
        <v>0</v>
      </c>
      <c r="F230" s="339"/>
      <c r="G230" s="243"/>
      <c r="H230" s="345"/>
    </row>
    <row r="231" spans="1:8">
      <c r="A231" s="265" t="s">
        <v>41</v>
      </c>
      <c r="B231" s="187" t="str">
        <f>+B230</f>
        <v>Page 262-3, Col.(i)</v>
      </c>
      <c r="G231" s="243"/>
    </row>
    <row r="232" spans="1:8">
      <c r="A232" s="266" t="s">
        <v>657</v>
      </c>
      <c r="B232" s="184" t="s">
        <v>658</v>
      </c>
      <c r="C232" s="340">
        <v>2951355</v>
      </c>
      <c r="D232" s="340">
        <v>2121000</v>
      </c>
      <c r="G232" s="243"/>
    </row>
    <row r="233" spans="1:8">
      <c r="A233" s="267" t="s">
        <v>659</v>
      </c>
      <c r="B233" s="184" t="s">
        <v>878</v>
      </c>
      <c r="C233" s="340">
        <v>34857</v>
      </c>
      <c r="D233" s="340">
        <v>0</v>
      </c>
      <c r="G233" s="243"/>
    </row>
    <row r="234" spans="1:8">
      <c r="A234" s="267" t="s">
        <v>660</v>
      </c>
      <c r="B234" s="184" t="s">
        <v>1014</v>
      </c>
      <c r="C234" s="338">
        <v>508</v>
      </c>
      <c r="D234" s="338" t="s">
        <v>509</v>
      </c>
      <c r="G234" s="243"/>
    </row>
    <row r="235" spans="1:8">
      <c r="A235" s="268" t="s">
        <v>661</v>
      </c>
      <c r="B235" s="243"/>
      <c r="C235" s="243">
        <f>SUM(C232:C234)</f>
        <v>2986720</v>
      </c>
      <c r="D235" s="243">
        <f>SUM(D232:D233)</f>
        <v>2121000</v>
      </c>
      <c r="E235" s="16">
        <f>C235+D235</f>
        <v>5107720</v>
      </c>
      <c r="F235" s="339" t="s">
        <v>662</v>
      </c>
      <c r="G235" s="243"/>
      <c r="H235" s="345" t="s">
        <v>654</v>
      </c>
    </row>
    <row r="236" spans="1:8">
      <c r="A236" s="268"/>
      <c r="B236" s="243"/>
      <c r="C236" s="332" t="s">
        <v>661</v>
      </c>
      <c r="D236" s="333"/>
      <c r="E236" s="333">
        <f>ROUND(E226+E227+E229+E230+E235,0)</f>
        <v>66641325</v>
      </c>
      <c r="F236" s="238"/>
      <c r="G236" s="243"/>
      <c r="H236" s="185"/>
    </row>
    <row r="237" spans="1:8">
      <c r="B237" s="243"/>
      <c r="C237" s="333"/>
      <c r="D237" s="332" t="s">
        <v>926</v>
      </c>
      <c r="E237" s="333" t="str">
        <f>IF(E236='NITS Pg 3 of 5'!E38,"ok","err on NITS pg 3")</f>
        <v>ok</v>
      </c>
      <c r="G237" s="243"/>
    </row>
    <row r="238" spans="1:8">
      <c r="B238" s="243"/>
      <c r="C238" s="333"/>
      <c r="D238" s="332" t="s">
        <v>927</v>
      </c>
      <c r="E238" s="333" t="str">
        <f>IF(E236='PTP Pg 3 of 5'!E38,"ok","err on PTP pg 3")</f>
        <v>ok</v>
      </c>
    </row>
    <row r="239" spans="1:8">
      <c r="A239" s="16" t="s">
        <v>663</v>
      </c>
      <c r="B239" s="243"/>
    </row>
    <row r="240" spans="1:8">
      <c r="A240" s="185" t="s">
        <v>104</v>
      </c>
      <c r="B240" s="269">
        <v>0.35</v>
      </c>
      <c r="C240" s="185"/>
      <c r="F240" s="339" t="s">
        <v>1003</v>
      </c>
    </row>
    <row r="241" spans="1:11">
      <c r="A241" s="185" t="s">
        <v>105</v>
      </c>
      <c r="B241" s="269">
        <v>0.06</v>
      </c>
      <c r="C241" s="185" t="s">
        <v>106</v>
      </c>
      <c r="F241" s="339" t="s">
        <v>1003</v>
      </c>
    </row>
    <row r="242" spans="1:11">
      <c r="A242" s="185" t="s">
        <v>107</v>
      </c>
      <c r="B242" s="269">
        <v>0</v>
      </c>
      <c r="C242" s="185" t="s">
        <v>108</v>
      </c>
      <c r="F242" s="339" t="s">
        <v>1003</v>
      </c>
    </row>
    <row r="243" spans="1:11">
      <c r="A243" s="185"/>
      <c r="B243" s="185"/>
      <c r="C243" s="185"/>
    </row>
    <row r="244" spans="1:11" ht="15">
      <c r="B244" s="243"/>
      <c r="C244" s="352" t="s">
        <v>433</v>
      </c>
      <c r="D244" s="352" t="s">
        <v>434</v>
      </c>
    </row>
    <row r="245" spans="1:11">
      <c r="A245" s="270" t="s">
        <v>664</v>
      </c>
      <c r="B245" s="242" t="s">
        <v>665</v>
      </c>
      <c r="C245" s="475">
        <v>-19453420</v>
      </c>
      <c r="D245" s="475">
        <v>-12314375</v>
      </c>
      <c r="E245" s="183"/>
      <c r="G245" s="243"/>
    </row>
    <row r="246" spans="1:11">
      <c r="A246" s="249" t="s">
        <v>666</v>
      </c>
      <c r="B246" s="242" t="s">
        <v>667</v>
      </c>
      <c r="C246" s="475">
        <v>1153593</v>
      </c>
      <c r="D246" s="475">
        <v>1867677</v>
      </c>
      <c r="E246" s="183"/>
      <c r="G246" s="243"/>
    </row>
    <row r="247" spans="1:11">
      <c r="A247" s="175" t="s">
        <v>668</v>
      </c>
      <c r="B247" s="243"/>
      <c r="C247" s="271">
        <f>C226+C227+C229+C235+C245+C246</f>
        <v>20001343</v>
      </c>
      <c r="D247" s="484">
        <f>D226+D227+D229+D235+D245+D246</f>
        <v>17893457</v>
      </c>
      <c r="E247" s="483" t="s">
        <v>669</v>
      </c>
    </row>
    <row r="248" spans="1:11" ht="15.75">
      <c r="A248" s="272"/>
      <c r="B248" s="243"/>
    </row>
    <row r="249" spans="1:11">
      <c r="B249" s="243"/>
    </row>
    <row r="250" spans="1:11">
      <c r="A250" s="16" t="s">
        <v>670</v>
      </c>
      <c r="B250" s="243" t="s">
        <v>671</v>
      </c>
      <c r="C250" s="475">
        <v>0</v>
      </c>
      <c r="D250" s="475">
        <v>0</v>
      </c>
      <c r="E250" s="16">
        <f>C250+D250</f>
        <v>0</v>
      </c>
      <c r="F250" s="339" t="s">
        <v>672</v>
      </c>
      <c r="G250" s="243"/>
      <c r="H250" s="344" t="s">
        <v>673</v>
      </c>
    </row>
    <row r="252" spans="1:11">
      <c r="A252" s="236"/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</row>
    <row r="253" spans="1:11" ht="15">
      <c r="A253" s="258" t="s">
        <v>125</v>
      </c>
    </row>
    <row r="255" spans="1:11" ht="15">
      <c r="A255" s="273" t="s">
        <v>674</v>
      </c>
      <c r="C255" s="352" t="s">
        <v>433</v>
      </c>
      <c r="D255" s="352" t="s">
        <v>434</v>
      </c>
    </row>
    <row r="256" spans="1:11">
      <c r="A256" s="350" t="s">
        <v>675</v>
      </c>
      <c r="B256" s="243"/>
    </row>
    <row r="257" spans="1:8">
      <c r="A257" s="350" t="s">
        <v>676</v>
      </c>
      <c r="B257" s="242" t="s">
        <v>677</v>
      </c>
      <c r="C257" s="475">
        <v>509431</v>
      </c>
      <c r="D257" s="475">
        <v>265644</v>
      </c>
      <c r="E257" s="16">
        <f t="shared" ref="E257:E264" si="13">C257+D257</f>
        <v>775075</v>
      </c>
      <c r="F257" s="336" t="s">
        <v>678</v>
      </c>
      <c r="G257" s="243"/>
    </row>
    <row r="258" spans="1:8">
      <c r="A258" s="350" t="s">
        <v>679</v>
      </c>
      <c r="B258" s="242" t="s">
        <v>680</v>
      </c>
      <c r="C258" s="475">
        <v>1989765</v>
      </c>
      <c r="D258" s="475">
        <v>1048600</v>
      </c>
      <c r="E258" s="16">
        <f t="shared" si="13"/>
        <v>3038365</v>
      </c>
      <c r="F258" s="336" t="s">
        <v>681</v>
      </c>
      <c r="G258" s="243"/>
    </row>
    <row r="259" spans="1:8">
      <c r="A259" s="350" t="s">
        <v>682</v>
      </c>
      <c r="B259" s="242" t="s">
        <v>683</v>
      </c>
      <c r="C259" s="475">
        <v>708930</v>
      </c>
      <c r="D259" s="475">
        <v>365206</v>
      </c>
      <c r="E259" s="16">
        <f t="shared" si="13"/>
        <v>1074136</v>
      </c>
      <c r="F259" s="336" t="s">
        <v>684</v>
      </c>
      <c r="G259" s="243"/>
    </row>
    <row r="260" spans="1:8">
      <c r="A260" s="350" t="s">
        <v>685</v>
      </c>
      <c r="B260" s="242" t="s">
        <v>686</v>
      </c>
      <c r="C260" s="475">
        <v>0</v>
      </c>
      <c r="D260" s="475">
        <v>0</v>
      </c>
      <c r="E260" s="16">
        <f t="shared" si="13"/>
        <v>0</v>
      </c>
      <c r="F260" s="336" t="s">
        <v>687</v>
      </c>
      <c r="G260" s="243"/>
    </row>
    <row r="261" spans="1:8">
      <c r="A261" s="350" t="s">
        <v>688</v>
      </c>
      <c r="B261" s="242" t="s">
        <v>689</v>
      </c>
      <c r="C261" s="475">
        <v>918887</v>
      </c>
      <c r="D261" s="475">
        <v>460299</v>
      </c>
      <c r="E261" s="16">
        <f t="shared" si="13"/>
        <v>1379186</v>
      </c>
      <c r="F261" s="336" t="s">
        <v>690</v>
      </c>
      <c r="G261" s="243"/>
    </row>
    <row r="262" spans="1:8">
      <c r="A262" s="350" t="s">
        <v>691</v>
      </c>
      <c r="B262" s="242" t="s">
        <v>692</v>
      </c>
      <c r="C262" s="475">
        <v>9085</v>
      </c>
      <c r="D262" s="475">
        <v>-936</v>
      </c>
      <c r="E262" s="16">
        <f t="shared" si="13"/>
        <v>8149</v>
      </c>
      <c r="F262" s="336" t="s">
        <v>693</v>
      </c>
      <c r="G262" s="243"/>
    </row>
    <row r="263" spans="1:8">
      <c r="A263" s="350" t="s">
        <v>694</v>
      </c>
      <c r="B263" s="242" t="s">
        <v>695</v>
      </c>
      <c r="C263" s="475">
        <v>0</v>
      </c>
      <c r="D263" s="475">
        <v>0</v>
      </c>
      <c r="E263" s="16">
        <f t="shared" si="13"/>
        <v>0</v>
      </c>
      <c r="F263" s="336" t="s">
        <v>696</v>
      </c>
      <c r="G263" s="243"/>
    </row>
    <row r="264" spans="1:8">
      <c r="A264" s="350" t="s">
        <v>697</v>
      </c>
      <c r="B264" s="242" t="s">
        <v>698</v>
      </c>
      <c r="C264" s="475">
        <v>0</v>
      </c>
      <c r="D264" s="475">
        <v>0</v>
      </c>
      <c r="E264" s="16">
        <f t="shared" si="13"/>
        <v>0</v>
      </c>
      <c r="F264" s="336" t="s">
        <v>699</v>
      </c>
      <c r="G264" s="243"/>
    </row>
    <row r="265" spans="1:8">
      <c r="A265" s="264" t="s">
        <v>6</v>
      </c>
      <c r="B265" s="243"/>
      <c r="C265" s="274">
        <f>SUM(C256:C264)</f>
        <v>4136098</v>
      </c>
      <c r="D265" s="274">
        <f>SUM(D256:D264)</f>
        <v>2138813</v>
      </c>
      <c r="E265" s="16">
        <f>C265+D265</f>
        <v>6274911</v>
      </c>
      <c r="F265" s="339" t="s">
        <v>700</v>
      </c>
      <c r="G265" s="243"/>
      <c r="H265" s="336" t="s">
        <v>701</v>
      </c>
    </row>
    <row r="266" spans="1:8">
      <c r="A266" s="183"/>
      <c r="B266" s="243"/>
      <c r="C266" s="183"/>
      <c r="D266" s="332" t="s">
        <v>926</v>
      </c>
      <c r="E266" s="333" t="str">
        <f>IF(E265='NITS Pg 4 of 5'!J20,"ok","err on NITS pg 4")</f>
        <v>ok</v>
      </c>
      <c r="G266" s="243"/>
    </row>
    <row r="267" spans="1:8">
      <c r="A267" s="183"/>
      <c r="B267" s="243"/>
      <c r="C267" s="183"/>
      <c r="D267" s="332" t="s">
        <v>927</v>
      </c>
      <c r="E267" s="333" t="str">
        <f>IF(E265='PTP Pg 4 of 5'!J20,"ok","err on PTP pg 4")</f>
        <v>ok</v>
      </c>
      <c r="G267" s="243"/>
    </row>
    <row r="268" spans="1:8" ht="15">
      <c r="A268" s="183" t="s">
        <v>702</v>
      </c>
      <c r="B268" s="243"/>
      <c r="C268" s="352" t="s">
        <v>433</v>
      </c>
      <c r="D268" s="352" t="s">
        <v>434</v>
      </c>
      <c r="G268" s="243"/>
    </row>
    <row r="269" spans="1:8">
      <c r="A269" s="247" t="s">
        <v>498</v>
      </c>
      <c r="B269" s="184" t="s">
        <v>703</v>
      </c>
      <c r="C269" s="475">
        <v>44284843</v>
      </c>
      <c r="D269" s="475">
        <v>35088724</v>
      </c>
      <c r="E269" s="243">
        <f t="shared" ref="E269" si="14">C269+D269</f>
        <v>79373567</v>
      </c>
      <c r="F269" s="339" t="s">
        <v>704</v>
      </c>
      <c r="G269" s="243"/>
    </row>
    <row r="270" spans="1:8">
      <c r="A270" s="247" t="s">
        <v>24</v>
      </c>
      <c r="B270" s="184" t="s">
        <v>705</v>
      </c>
      <c r="C270" s="475">
        <v>5940240</v>
      </c>
      <c r="D270" s="475">
        <v>3256660</v>
      </c>
      <c r="E270" s="243">
        <f>C270+D270</f>
        <v>9196900</v>
      </c>
      <c r="F270" s="339" t="s">
        <v>706</v>
      </c>
      <c r="G270" s="243"/>
    </row>
    <row r="271" spans="1:8">
      <c r="A271" s="247" t="s">
        <v>503</v>
      </c>
      <c r="B271" s="184" t="s">
        <v>707</v>
      </c>
      <c r="C271" s="475">
        <v>16009783</v>
      </c>
      <c r="D271" s="475">
        <v>10793951</v>
      </c>
      <c r="E271" s="243">
        <f>C271+D271</f>
        <v>26803734</v>
      </c>
      <c r="F271" s="339" t="s">
        <v>708</v>
      </c>
      <c r="G271" s="243"/>
    </row>
    <row r="272" spans="1:8">
      <c r="A272" s="247" t="s">
        <v>41</v>
      </c>
      <c r="B272" s="187"/>
      <c r="C272" s="476"/>
      <c r="D272" s="476"/>
      <c r="E272" s="243"/>
      <c r="F272" s="238"/>
      <c r="G272" s="243"/>
    </row>
    <row r="273" spans="1:7">
      <c r="A273" s="246" t="s">
        <v>709</v>
      </c>
      <c r="B273" s="184" t="s">
        <v>710</v>
      </c>
      <c r="C273" s="475">
        <v>12088541</v>
      </c>
      <c r="D273" s="475">
        <v>4111598</v>
      </c>
      <c r="E273" s="243"/>
      <c r="G273" s="243"/>
    </row>
    <row r="274" spans="1:7">
      <c r="A274" s="246" t="s">
        <v>711</v>
      </c>
      <c r="B274" s="184" t="s">
        <v>712</v>
      </c>
      <c r="C274" s="475">
        <v>1086053</v>
      </c>
      <c r="D274" s="475">
        <v>744996</v>
      </c>
      <c r="E274" s="243"/>
      <c r="G274" s="243"/>
    </row>
    <row r="275" spans="1:7">
      <c r="A275" s="246" t="s">
        <v>713</v>
      </c>
      <c r="B275" s="184" t="s">
        <v>714</v>
      </c>
      <c r="C275" s="475">
        <v>0</v>
      </c>
      <c r="D275" s="475">
        <v>0</v>
      </c>
      <c r="E275" s="243"/>
      <c r="G275" s="243"/>
    </row>
    <row r="276" spans="1:7">
      <c r="B276" s="243"/>
      <c r="C276" s="16">
        <f>SUM(C273:C275)</f>
        <v>13174594</v>
      </c>
      <c r="D276" s="16">
        <f>SUM(D273:D275)</f>
        <v>4856594</v>
      </c>
      <c r="E276" s="243">
        <f t="shared" ref="E276" si="15">C276+D276</f>
        <v>18031188</v>
      </c>
      <c r="F276" s="339" t="s">
        <v>715</v>
      </c>
      <c r="G276" s="243"/>
    </row>
    <row r="277" spans="1:7">
      <c r="B277" s="243"/>
      <c r="C277" s="333" t="s">
        <v>930</v>
      </c>
      <c r="D277" s="333"/>
      <c r="E277" s="333">
        <f>SUM(E269:E276)</f>
        <v>133405389</v>
      </c>
      <c r="G277" s="243"/>
    </row>
    <row r="278" spans="1:7">
      <c r="C278" s="333"/>
      <c r="D278" s="332" t="s">
        <v>926</v>
      </c>
      <c r="E278" s="333" t="str">
        <f>IF(E277='NITS Pg 4 of 5'!E33,"ok","err on NITS pg 4")</f>
        <v>ok</v>
      </c>
      <c r="G278" s="243"/>
    </row>
    <row r="279" spans="1:7">
      <c r="C279" s="335"/>
      <c r="D279" s="332" t="s">
        <v>927</v>
      </c>
      <c r="E279" s="333" t="str">
        <f>IF(E277='PTP Pg 4 of 5'!E33,"ok","err on PTP pg 4")</f>
        <v>ok</v>
      </c>
      <c r="G279" s="243"/>
    </row>
    <row r="280" spans="1:7" ht="15">
      <c r="A280" s="245" t="s">
        <v>716</v>
      </c>
      <c r="B280" s="187"/>
      <c r="C280" s="352" t="s">
        <v>433</v>
      </c>
      <c r="D280" s="352" t="s">
        <v>434</v>
      </c>
      <c r="G280" s="243"/>
    </row>
    <row r="281" spans="1:7">
      <c r="A281" s="245" t="s">
        <v>71</v>
      </c>
      <c r="B281" s="184" t="s">
        <v>717</v>
      </c>
      <c r="C281" s="475">
        <v>7232591744</v>
      </c>
      <c r="D281" s="475">
        <v>3748677590</v>
      </c>
      <c r="E281" s="16">
        <f>C281+D281</f>
        <v>10981269334</v>
      </c>
      <c r="F281" s="339" t="s">
        <v>718</v>
      </c>
      <c r="G281" s="243"/>
    </row>
    <row r="282" spans="1:7">
      <c r="A282" s="245" t="s">
        <v>73</v>
      </c>
      <c r="B282" s="184" t="s">
        <v>719</v>
      </c>
      <c r="C282" s="475">
        <v>0</v>
      </c>
      <c r="D282" s="475">
        <v>966619554</v>
      </c>
      <c r="E282" s="16">
        <f>C282+D282</f>
        <v>966619554</v>
      </c>
      <c r="F282" s="339" t="s">
        <v>720</v>
      </c>
      <c r="G282" s="243"/>
    </row>
    <row r="283" spans="1:7">
      <c r="A283" s="275" t="s">
        <v>75</v>
      </c>
      <c r="B283" s="273" t="s">
        <v>721</v>
      </c>
      <c r="C283" s="475">
        <v>0</v>
      </c>
      <c r="D283" s="475">
        <v>0</v>
      </c>
      <c r="E283" s="16">
        <f>C283+D283</f>
        <v>0</v>
      </c>
      <c r="F283" s="339" t="s">
        <v>722</v>
      </c>
      <c r="G283" s="243"/>
    </row>
    <row r="284" spans="1:7">
      <c r="A284" s="275"/>
      <c r="B284" s="273"/>
      <c r="C284" s="332" t="s">
        <v>231</v>
      </c>
      <c r="D284" s="333"/>
      <c r="E284" s="333">
        <f>SUM(E281:E283)</f>
        <v>11947888888</v>
      </c>
      <c r="F284" s="238"/>
      <c r="G284" s="243"/>
    </row>
    <row r="285" spans="1:7">
      <c r="A285" s="275"/>
      <c r="B285" s="273"/>
      <c r="C285" s="333"/>
      <c r="D285" s="332" t="s">
        <v>926</v>
      </c>
      <c r="E285" s="333" t="str">
        <f>IF(E284='NITS Pg 4 of 5'!E40,"ok","err on NITS pg 4")</f>
        <v>ok</v>
      </c>
      <c r="F285" s="238"/>
      <c r="G285" s="243"/>
    </row>
    <row r="286" spans="1:7">
      <c r="A286" s="245"/>
      <c r="B286" s="187"/>
      <c r="C286" s="335"/>
      <c r="D286" s="332" t="s">
        <v>927</v>
      </c>
      <c r="E286" s="333" t="str">
        <f>IF(E284='PTP Pg 4 of 5'!E40,"ok","err on PTP pg 4")</f>
        <v>ok</v>
      </c>
      <c r="G286" s="243"/>
    </row>
    <row r="287" spans="1:7">
      <c r="A287" s="245" t="s">
        <v>723</v>
      </c>
      <c r="B287" s="187"/>
      <c r="C287" s="181"/>
      <c r="G287" s="243"/>
    </row>
    <row r="288" spans="1:7">
      <c r="A288" s="175" t="s">
        <v>77</v>
      </c>
      <c r="B288" s="243"/>
      <c r="G288" s="243"/>
    </row>
    <row r="289" spans="1:7">
      <c r="A289" s="175" t="s">
        <v>724</v>
      </c>
      <c r="B289" s="184" t="s">
        <v>725</v>
      </c>
      <c r="C289" s="475">
        <v>75653843</v>
      </c>
      <c r="D289" s="475">
        <v>50809850</v>
      </c>
      <c r="F289" s="238"/>
      <c r="G289" s="243"/>
    </row>
    <row r="290" spans="1:7">
      <c r="A290" s="16" t="s">
        <v>726</v>
      </c>
      <c r="B290" s="243"/>
      <c r="C290" s="378"/>
      <c r="D290" s="378"/>
      <c r="G290" s="243"/>
    </row>
    <row r="291" spans="1:7">
      <c r="A291" s="276" t="s">
        <v>727</v>
      </c>
      <c r="B291" s="184" t="s">
        <v>725</v>
      </c>
      <c r="C291" s="475">
        <v>75653843</v>
      </c>
      <c r="D291" s="475">
        <v>50809850</v>
      </c>
      <c r="G291" s="243"/>
    </row>
    <row r="292" spans="1:7">
      <c r="A292" s="276" t="s">
        <v>728</v>
      </c>
      <c r="B292" s="242" t="s">
        <v>729</v>
      </c>
      <c r="C292" s="475">
        <v>75807104</v>
      </c>
      <c r="D292" s="475">
        <v>50718552</v>
      </c>
      <c r="G292" s="243"/>
    </row>
    <row r="293" spans="1:7">
      <c r="A293" s="175" t="s">
        <v>730</v>
      </c>
      <c r="B293" s="184" t="s">
        <v>731</v>
      </c>
      <c r="C293" s="475">
        <v>2958222</v>
      </c>
      <c r="D293" s="475">
        <v>2470268</v>
      </c>
      <c r="F293" s="238"/>
      <c r="G293" s="243"/>
    </row>
    <row r="294" spans="1:7">
      <c r="A294" s="175" t="s">
        <v>732</v>
      </c>
      <c r="B294" s="184" t="s">
        <v>733</v>
      </c>
      <c r="C294" s="475">
        <v>683508</v>
      </c>
      <c r="D294" s="475">
        <v>1167401</v>
      </c>
      <c r="F294" s="238"/>
      <c r="G294" s="243"/>
    </row>
    <row r="295" spans="1:7">
      <c r="A295" s="175" t="s">
        <v>734</v>
      </c>
      <c r="B295" s="184" t="s">
        <v>735</v>
      </c>
      <c r="C295" s="475">
        <v>0</v>
      </c>
      <c r="D295" s="475">
        <v>0</v>
      </c>
      <c r="F295" s="238"/>
      <c r="G295" s="243"/>
    </row>
    <row r="296" spans="1:7">
      <c r="A296" s="175" t="s">
        <v>736</v>
      </c>
      <c r="B296" s="184" t="s">
        <v>737</v>
      </c>
      <c r="C296" s="475">
        <v>0</v>
      </c>
      <c r="D296" s="475">
        <v>0</v>
      </c>
      <c r="F296" s="238"/>
      <c r="G296" s="243"/>
    </row>
    <row r="297" spans="1:7">
      <c r="A297" s="175" t="s">
        <v>738</v>
      </c>
      <c r="B297" s="184" t="s">
        <v>739</v>
      </c>
      <c r="C297" s="475">
        <v>1170</v>
      </c>
      <c r="D297" s="475">
        <v>5661</v>
      </c>
      <c r="F297" s="238"/>
      <c r="G297" s="243"/>
    </row>
    <row r="298" spans="1:7">
      <c r="A298" s="175"/>
      <c r="B298" s="175"/>
      <c r="C298" s="16">
        <f>SUM(C289,-C291,C292:C297)</f>
        <v>79450004</v>
      </c>
      <c r="D298" s="16">
        <f>SUM(D289,-D291,D292:D297)</f>
        <v>54361882</v>
      </c>
      <c r="E298" s="16">
        <f t="shared" ref="E298" si="16">C298+D298</f>
        <v>133811886</v>
      </c>
      <c r="F298" s="339" t="s">
        <v>740</v>
      </c>
      <c r="G298" s="243"/>
    </row>
    <row r="299" spans="1:7">
      <c r="A299" s="175"/>
      <c r="B299" s="175"/>
      <c r="D299" s="332" t="s">
        <v>926</v>
      </c>
      <c r="E299" s="333" t="str">
        <f>IF(E298='NITS Pg 4 of 5'!E44,"ok","err on NITS pg 4")</f>
        <v>ok</v>
      </c>
      <c r="F299" s="238"/>
      <c r="G299" s="243"/>
    </row>
    <row r="300" spans="1:7">
      <c r="A300" s="175"/>
      <c r="B300" s="184"/>
      <c r="D300" s="332" t="s">
        <v>927</v>
      </c>
      <c r="E300" s="333" t="str">
        <f>IF(E298='PTP Pg 4 of 5'!E44,"ok","err on PTP pg 4")</f>
        <v>ok</v>
      </c>
      <c r="F300" s="238"/>
      <c r="G300" s="243"/>
    </row>
    <row r="301" spans="1:7">
      <c r="B301" s="243"/>
      <c r="G301" s="243"/>
    </row>
    <row r="302" spans="1:7">
      <c r="A302" s="175" t="s">
        <v>126</v>
      </c>
      <c r="B302" s="187" t="s">
        <v>741</v>
      </c>
      <c r="C302" s="475">
        <v>0</v>
      </c>
      <c r="D302" s="475">
        <v>0</v>
      </c>
      <c r="E302" s="16">
        <f t="shared" ref="E302" si="17">C302+D302</f>
        <v>0</v>
      </c>
      <c r="F302" s="339" t="s">
        <v>742</v>
      </c>
      <c r="G302" s="243"/>
    </row>
    <row r="303" spans="1:7">
      <c r="B303" s="243"/>
      <c r="C303" s="378"/>
      <c r="D303" s="378"/>
      <c r="G303" s="243"/>
    </row>
    <row r="304" spans="1:7">
      <c r="A304" s="175" t="s">
        <v>78</v>
      </c>
      <c r="B304" s="184" t="s">
        <v>743</v>
      </c>
      <c r="C304" s="475">
        <v>3286531337</v>
      </c>
      <c r="D304" s="475">
        <v>2330399677</v>
      </c>
      <c r="E304" s="16">
        <f t="shared" ref="E304:E313" si="18">C304+D304</f>
        <v>5616931014</v>
      </c>
      <c r="F304" s="238"/>
      <c r="G304" s="243"/>
    </row>
    <row r="305" spans="1:7">
      <c r="A305" s="16" t="s">
        <v>726</v>
      </c>
      <c r="B305" s="243"/>
      <c r="C305" s="378"/>
      <c r="D305" s="378"/>
      <c r="G305" s="243"/>
    </row>
    <row r="306" spans="1:7">
      <c r="A306" s="276" t="s">
        <v>744</v>
      </c>
      <c r="B306" s="243" t="s">
        <v>745</v>
      </c>
      <c r="C306" s="475">
        <v>2596446834</v>
      </c>
      <c r="D306" s="475">
        <v>1611167368</v>
      </c>
      <c r="E306" s="16">
        <f t="shared" si="18"/>
        <v>4207614202</v>
      </c>
      <c r="G306" s="243"/>
    </row>
    <row r="307" spans="1:7">
      <c r="A307" s="276" t="s">
        <v>746</v>
      </c>
      <c r="B307" s="243" t="s">
        <v>747</v>
      </c>
      <c r="C307" s="475">
        <v>563858083</v>
      </c>
      <c r="D307" s="475">
        <v>417081499</v>
      </c>
      <c r="E307" s="16">
        <f t="shared" si="18"/>
        <v>980939582</v>
      </c>
      <c r="G307" s="243"/>
    </row>
    <row r="308" spans="1:7">
      <c r="A308" s="251" t="s">
        <v>748</v>
      </c>
      <c r="B308" s="242" t="s">
        <v>749</v>
      </c>
      <c r="C308" s="475">
        <v>382553214</v>
      </c>
      <c r="D308" s="475">
        <v>294897774</v>
      </c>
      <c r="E308" s="16">
        <f t="shared" si="18"/>
        <v>677450988</v>
      </c>
      <c r="G308" s="243"/>
    </row>
    <row r="309" spans="1:7">
      <c r="A309" s="254" t="s">
        <v>750</v>
      </c>
      <c r="B309" s="242" t="s">
        <v>751</v>
      </c>
      <c r="C309" s="475">
        <v>1809303187</v>
      </c>
      <c r="D309" s="475">
        <v>1098854463</v>
      </c>
      <c r="E309" s="16">
        <f t="shared" si="18"/>
        <v>2908157650</v>
      </c>
      <c r="G309" s="243"/>
    </row>
    <row r="310" spans="1:7">
      <c r="A310" s="276" t="s">
        <v>752</v>
      </c>
      <c r="B310" s="243" t="s">
        <v>753</v>
      </c>
      <c r="C310" s="475">
        <v>0</v>
      </c>
      <c r="D310" s="475">
        <v>0</v>
      </c>
      <c r="E310" s="16">
        <f t="shared" si="18"/>
        <v>0</v>
      </c>
      <c r="G310" s="243"/>
    </row>
    <row r="311" spans="1:7">
      <c r="A311" s="276" t="s">
        <v>754</v>
      </c>
      <c r="B311" s="243" t="s">
        <v>755</v>
      </c>
      <c r="C311" s="475">
        <v>0</v>
      </c>
      <c r="D311" s="475">
        <v>0</v>
      </c>
      <c r="E311" s="16">
        <f t="shared" si="18"/>
        <v>0</v>
      </c>
      <c r="G311" s="243"/>
    </row>
    <row r="312" spans="1:7">
      <c r="A312" s="276" t="s">
        <v>756</v>
      </c>
      <c r="B312" s="242" t="s">
        <v>757</v>
      </c>
      <c r="C312" s="475">
        <v>-287400</v>
      </c>
      <c r="D312" s="475">
        <v>0</v>
      </c>
      <c r="E312" s="16">
        <f t="shared" si="18"/>
        <v>-287400</v>
      </c>
      <c r="G312" s="243"/>
    </row>
    <row r="313" spans="1:7">
      <c r="A313" s="276" t="s">
        <v>758</v>
      </c>
      <c r="B313" s="242" t="s">
        <v>759</v>
      </c>
      <c r="C313" s="475">
        <v>-1627215</v>
      </c>
      <c r="D313" s="475">
        <v>0</v>
      </c>
      <c r="E313" s="16">
        <f t="shared" si="18"/>
        <v>-1627215</v>
      </c>
      <c r="G313" s="243"/>
    </row>
    <row r="314" spans="1:7">
      <c r="A314" s="238" t="s">
        <v>760</v>
      </c>
      <c r="B314" s="243"/>
      <c r="C314" s="16">
        <f>C304-C306+C307-C308+C309-C310+C311-C312+C313</f>
        <v>2679352744</v>
      </c>
      <c r="D314" s="16">
        <f>D304-D306+D307-D308+D309-D310+D311-D312+D313</f>
        <v>1940270497</v>
      </c>
      <c r="E314" s="16">
        <f t="shared" ref="E314" si="19">C314+D314</f>
        <v>4619623241</v>
      </c>
      <c r="F314" s="339" t="s">
        <v>761</v>
      </c>
      <c r="G314" s="243"/>
    </row>
    <row r="315" spans="1:7">
      <c r="B315" s="243"/>
      <c r="D315" s="332" t="s">
        <v>926</v>
      </c>
      <c r="E315" s="333" t="str">
        <f>IF(E314='NITS Pg 4 of 5'!E47,"ok","err on NITS pg 4")</f>
        <v>ok</v>
      </c>
      <c r="G315" s="243"/>
    </row>
    <row r="316" spans="1:7">
      <c r="B316" s="243"/>
      <c r="D316" s="332" t="s">
        <v>927</v>
      </c>
      <c r="E316" s="333" t="str">
        <f>IF(E314='PTP Pg 4 of 5'!E47,"ok","err on PTP pg 4")</f>
        <v>ok</v>
      </c>
      <c r="G316" s="243"/>
    </row>
    <row r="317" spans="1:7">
      <c r="A317" s="16" t="s">
        <v>762</v>
      </c>
      <c r="B317" s="243"/>
      <c r="G317" s="243"/>
    </row>
    <row r="318" spans="1:7">
      <c r="A318" s="16" t="s">
        <v>763</v>
      </c>
      <c r="B318" s="243" t="s">
        <v>753</v>
      </c>
      <c r="C318" s="187">
        <f>C310</f>
        <v>0</v>
      </c>
      <c r="D318" s="187">
        <f>D310</f>
        <v>0</v>
      </c>
      <c r="G318" s="243"/>
    </row>
    <row r="319" spans="1:7">
      <c r="A319" s="238" t="s">
        <v>764</v>
      </c>
      <c r="B319" s="242" t="s">
        <v>757</v>
      </c>
      <c r="C319" s="187">
        <f>C312</f>
        <v>-287400</v>
      </c>
      <c r="D319" s="187">
        <f>D312</f>
        <v>0</v>
      </c>
      <c r="G319" s="243"/>
    </row>
    <row r="320" spans="1:7">
      <c r="A320" s="16" t="s">
        <v>726</v>
      </c>
      <c r="B320" s="243"/>
      <c r="G320" s="243"/>
    </row>
    <row r="321" spans="1:7">
      <c r="A321" s="276" t="s">
        <v>752</v>
      </c>
      <c r="B321" s="243" t="s">
        <v>753</v>
      </c>
      <c r="C321" s="187">
        <f>C318</f>
        <v>0</v>
      </c>
      <c r="D321" s="187">
        <f>D318</f>
        <v>0</v>
      </c>
      <c r="G321" s="243"/>
    </row>
    <row r="322" spans="1:7">
      <c r="A322" s="276" t="s">
        <v>746</v>
      </c>
      <c r="B322" s="243" t="s">
        <v>755</v>
      </c>
      <c r="C322" s="187">
        <f t="shared" ref="C322:D324" si="20">C311</f>
        <v>0</v>
      </c>
      <c r="D322" s="187">
        <f t="shared" si="20"/>
        <v>0</v>
      </c>
      <c r="G322" s="243"/>
    </row>
    <row r="323" spans="1:7">
      <c r="A323" s="276" t="s">
        <v>756</v>
      </c>
      <c r="B323" s="242" t="s">
        <v>757</v>
      </c>
      <c r="C323" s="187">
        <f t="shared" si="20"/>
        <v>-287400</v>
      </c>
      <c r="D323" s="187">
        <f t="shared" si="20"/>
        <v>0</v>
      </c>
      <c r="G323" s="243"/>
    </row>
    <row r="324" spans="1:7">
      <c r="A324" s="276" t="s">
        <v>758</v>
      </c>
      <c r="B324" s="242" t="s">
        <v>759</v>
      </c>
      <c r="C324" s="187">
        <f t="shared" si="20"/>
        <v>-1627215</v>
      </c>
      <c r="D324" s="187">
        <f t="shared" si="20"/>
        <v>0</v>
      </c>
      <c r="G324" s="243"/>
    </row>
    <row r="325" spans="1:7">
      <c r="A325" s="238" t="s">
        <v>765</v>
      </c>
      <c r="B325" s="243"/>
      <c r="C325" s="16">
        <f>C318+C319-C321+C322-C323+C324</f>
        <v>-1627215</v>
      </c>
      <c r="D325" s="16">
        <f>D318+D319-D321+D322-D323+D324</f>
        <v>0</v>
      </c>
      <c r="E325" s="16">
        <f t="shared" ref="E325" si="21">C325+D325</f>
        <v>-1627215</v>
      </c>
      <c r="F325" s="339" t="s">
        <v>766</v>
      </c>
      <c r="G325" s="243"/>
    </row>
    <row r="326" spans="1:7">
      <c r="A326" s="238"/>
      <c r="B326" s="243"/>
      <c r="D326" s="332" t="s">
        <v>926</v>
      </c>
      <c r="E326" s="333" t="str">
        <f>IF(E325='NITS Pg 4 of 5'!E49,"ok","err on NITS pg 4")</f>
        <v>ok</v>
      </c>
      <c r="F326" s="238"/>
      <c r="G326" s="243"/>
    </row>
    <row r="327" spans="1:7">
      <c r="A327" s="254"/>
      <c r="B327" s="243"/>
      <c r="D327" s="332" t="s">
        <v>927</v>
      </c>
      <c r="E327" s="333" t="str">
        <f>IF(E325='PTP Pg 4 of 5'!E49,"ok","err on PTP pg 4")</f>
        <v>ok</v>
      </c>
      <c r="G327" s="243"/>
    </row>
    <row r="328" spans="1:7">
      <c r="A328" s="264" t="s">
        <v>767</v>
      </c>
      <c r="B328" s="243"/>
      <c r="G328" s="243"/>
    </row>
    <row r="329" spans="1:7">
      <c r="A329" s="16" t="s">
        <v>768</v>
      </c>
      <c r="B329" s="242" t="s">
        <v>769</v>
      </c>
      <c r="C329" s="475">
        <v>2341500118</v>
      </c>
      <c r="D329" s="475">
        <v>1653138914</v>
      </c>
      <c r="G329" s="243"/>
    </row>
    <row r="330" spans="1:7">
      <c r="A330" s="16" t="s">
        <v>726</v>
      </c>
      <c r="B330" s="243"/>
      <c r="C330" s="378"/>
      <c r="D330" s="378"/>
      <c r="G330" s="243"/>
    </row>
    <row r="331" spans="1:7">
      <c r="A331" s="276" t="s">
        <v>770</v>
      </c>
      <c r="B331" s="242" t="s">
        <v>771</v>
      </c>
      <c r="C331" s="475">
        <v>369516</v>
      </c>
      <c r="D331" s="475">
        <v>-1590554</v>
      </c>
      <c r="G331" s="243"/>
    </row>
    <row r="332" spans="1:7">
      <c r="A332" s="276" t="s">
        <v>772</v>
      </c>
      <c r="B332" s="242" t="s">
        <v>773</v>
      </c>
      <c r="C332" s="475">
        <v>0</v>
      </c>
      <c r="D332" s="475">
        <v>0</v>
      </c>
      <c r="G332" s="243"/>
    </row>
    <row r="333" spans="1:7">
      <c r="A333" s="16" t="s">
        <v>768</v>
      </c>
      <c r="B333" s="243"/>
      <c r="C333" s="16">
        <f>C329-C331+C332</f>
        <v>2341130602</v>
      </c>
      <c r="D333" s="16">
        <f>D329-D331+D332</f>
        <v>1654729468</v>
      </c>
      <c r="E333" s="16">
        <f>C333+D333</f>
        <v>3995860070</v>
      </c>
      <c r="F333" s="339" t="s">
        <v>774</v>
      </c>
      <c r="G333" s="243"/>
    </row>
    <row r="334" spans="1:7">
      <c r="B334" s="243"/>
      <c r="D334" s="332" t="s">
        <v>926</v>
      </c>
      <c r="E334" s="333" t="str">
        <f>IF(E333='NITS Pg 4 of 5'!E53,"ok","err on NITS pg 4")</f>
        <v>ok</v>
      </c>
      <c r="F334" s="238"/>
      <c r="G334" s="243"/>
    </row>
    <row r="335" spans="1:7">
      <c r="D335" s="332" t="s">
        <v>927</v>
      </c>
      <c r="E335" s="333" t="str">
        <f>IF(E333='PTP Pg 4 of 5'!E53,"ok","err on PTP pg 4")</f>
        <v>ok</v>
      </c>
      <c r="F335" s="238"/>
      <c r="G335" s="243"/>
    </row>
    <row r="336" spans="1:7">
      <c r="G336" s="243"/>
    </row>
    <row r="337" spans="1:8">
      <c r="A337" s="16" t="s">
        <v>775</v>
      </c>
      <c r="D337" s="243"/>
      <c r="E337" s="482">
        <v>0.10879999999999999</v>
      </c>
      <c r="F337" s="339" t="s">
        <v>919</v>
      </c>
      <c r="G337" s="243"/>
      <c r="H337" s="336" t="s">
        <v>776</v>
      </c>
    </row>
    <row r="338" spans="1:8">
      <c r="G338" s="243"/>
    </row>
    <row r="339" spans="1:8">
      <c r="A339" s="16" t="s">
        <v>777</v>
      </c>
      <c r="G339" s="243"/>
    </row>
    <row r="340" spans="1:8">
      <c r="A340" s="238" t="s">
        <v>935</v>
      </c>
      <c r="G340" s="243"/>
    </row>
    <row r="341" spans="1:8">
      <c r="A341" s="16" t="s">
        <v>778</v>
      </c>
      <c r="B341" s="242" t="s">
        <v>779</v>
      </c>
      <c r="C341" s="475">
        <v>18710777</v>
      </c>
      <c r="D341" s="475">
        <v>8643621</v>
      </c>
      <c r="E341" s="16">
        <f>C341+D341</f>
        <v>27354398</v>
      </c>
      <c r="F341" s="336" t="s">
        <v>780</v>
      </c>
      <c r="G341" s="243"/>
    </row>
    <row r="342" spans="1:8">
      <c r="B342" s="242"/>
      <c r="C342" s="238"/>
      <c r="D342" s="238"/>
      <c r="F342" s="336"/>
      <c r="G342" s="243"/>
    </row>
    <row r="343" spans="1:8">
      <c r="A343" s="16" t="s">
        <v>781</v>
      </c>
      <c r="B343" s="242" t="s">
        <v>782</v>
      </c>
      <c r="C343" s="381"/>
      <c r="D343" s="475">
        <v>2129215</v>
      </c>
      <c r="E343" s="333" t="str">
        <f>IF(E341='NITS Pg 4 of 5'!J66,"ok","err on NITS pg 4")</f>
        <v>ok</v>
      </c>
      <c r="F343" s="332" t="s">
        <v>926</v>
      </c>
      <c r="G343" s="243"/>
    </row>
    <row r="344" spans="1:8">
      <c r="B344" s="242" t="s">
        <v>804</v>
      </c>
      <c r="C344" s="475">
        <v>4672882</v>
      </c>
      <c r="D344" s="475"/>
      <c r="E344" s="333" t="str">
        <f>IF(E341='PTP Pg 4 of 5'!J66,"ok","err on PTP pg 4")</f>
        <v>ok</v>
      </c>
      <c r="F344" s="332" t="s">
        <v>927</v>
      </c>
      <c r="G344" s="243"/>
    </row>
    <row r="345" spans="1:8">
      <c r="B345" s="242" t="s">
        <v>812</v>
      </c>
      <c r="C345" s="475">
        <v>1765584</v>
      </c>
      <c r="D345" s="475"/>
      <c r="G345" s="243"/>
    </row>
    <row r="346" spans="1:8">
      <c r="B346" s="242" t="s">
        <v>805</v>
      </c>
      <c r="C346" s="475">
        <v>1563583</v>
      </c>
      <c r="D346" s="475"/>
      <c r="G346" s="243"/>
    </row>
    <row r="347" spans="1:8">
      <c r="B347" s="242" t="s">
        <v>786</v>
      </c>
      <c r="C347" s="381"/>
      <c r="D347" s="475">
        <v>27196</v>
      </c>
      <c r="G347" s="243"/>
    </row>
    <row r="348" spans="1:8">
      <c r="B348" s="242" t="s">
        <v>788</v>
      </c>
      <c r="C348" s="475">
        <v>899987</v>
      </c>
      <c r="D348" s="475"/>
      <c r="G348" s="243"/>
    </row>
    <row r="349" spans="1:8">
      <c r="B349" s="242" t="s">
        <v>808</v>
      </c>
      <c r="C349" s="381"/>
      <c r="D349" s="475">
        <v>869518</v>
      </c>
      <c r="G349" s="243"/>
    </row>
    <row r="350" spans="1:8">
      <c r="B350" s="242" t="s">
        <v>992</v>
      </c>
      <c r="C350" s="381"/>
      <c r="D350" s="475">
        <v>788903</v>
      </c>
      <c r="G350" s="243"/>
    </row>
    <row r="351" spans="1:8">
      <c r="B351" s="242" t="s">
        <v>884</v>
      </c>
      <c r="C351" s="475">
        <v>123061</v>
      </c>
      <c r="D351" s="475"/>
      <c r="G351" s="243"/>
    </row>
    <row r="352" spans="1:8">
      <c r="B352" s="242" t="s">
        <v>809</v>
      </c>
      <c r="C352" s="475">
        <v>9700</v>
      </c>
      <c r="D352" s="475"/>
      <c r="G352" s="243"/>
    </row>
    <row r="353" spans="2:7">
      <c r="B353" s="242" t="s">
        <v>790</v>
      </c>
      <c r="C353" s="381"/>
      <c r="D353" s="475">
        <v>55976</v>
      </c>
      <c r="G353" s="243"/>
    </row>
    <row r="354" spans="2:7">
      <c r="B354" s="242" t="s">
        <v>792</v>
      </c>
      <c r="C354" s="475">
        <v>59673</v>
      </c>
      <c r="D354" s="475"/>
      <c r="G354" s="243"/>
    </row>
    <row r="355" spans="2:7">
      <c r="B355" s="242" t="s">
        <v>793</v>
      </c>
      <c r="C355" s="381"/>
      <c r="D355" s="475">
        <v>4824</v>
      </c>
      <c r="G355" s="243"/>
    </row>
    <row r="356" spans="2:7">
      <c r="B356" s="242" t="s">
        <v>993</v>
      </c>
      <c r="C356" s="381"/>
      <c r="D356" s="475">
        <v>409899</v>
      </c>
      <c r="G356" s="243"/>
    </row>
    <row r="357" spans="2:7">
      <c r="B357" s="242" t="s">
        <v>958</v>
      </c>
      <c r="C357" s="475">
        <v>218662</v>
      </c>
      <c r="D357" s="475"/>
      <c r="G357" s="243"/>
    </row>
    <row r="358" spans="2:7">
      <c r="B358" s="242" t="s">
        <v>959</v>
      </c>
      <c r="C358" s="475">
        <v>419768</v>
      </c>
      <c r="D358" s="475"/>
      <c r="G358" s="243"/>
    </row>
    <row r="359" spans="2:7">
      <c r="B359" s="242" t="s">
        <v>960</v>
      </c>
      <c r="C359" s="475">
        <v>19504</v>
      </c>
      <c r="D359" s="475">
        <v>100119</v>
      </c>
      <c r="G359" s="243"/>
    </row>
    <row r="360" spans="2:7">
      <c r="B360" s="242" t="s">
        <v>961</v>
      </c>
      <c r="C360" s="475">
        <v>9382</v>
      </c>
      <c r="D360" s="475">
        <v>192418</v>
      </c>
      <c r="G360" s="243"/>
    </row>
    <row r="361" spans="2:7">
      <c r="B361" s="242" t="s">
        <v>962</v>
      </c>
      <c r="C361" s="475">
        <v>303927</v>
      </c>
      <c r="D361" s="475">
        <v>8952</v>
      </c>
      <c r="G361" s="243"/>
    </row>
    <row r="362" spans="2:7">
      <c r="B362" s="242" t="s">
        <v>963</v>
      </c>
      <c r="C362" s="475">
        <v>193943</v>
      </c>
      <c r="D362" s="475">
        <v>4205</v>
      </c>
      <c r="G362" s="243"/>
    </row>
    <row r="363" spans="2:7">
      <c r="B363" s="242" t="s">
        <v>964</v>
      </c>
      <c r="C363" s="475">
        <v>42808</v>
      </c>
      <c r="D363" s="475">
        <v>139026</v>
      </c>
      <c r="G363" s="243"/>
    </row>
    <row r="364" spans="2:7">
      <c r="B364" s="242" t="s">
        <v>965</v>
      </c>
      <c r="C364" s="475">
        <v>74813</v>
      </c>
      <c r="D364" s="475"/>
      <c r="G364" s="243"/>
    </row>
    <row r="365" spans="2:7">
      <c r="B365" s="242" t="s">
        <v>986</v>
      </c>
      <c r="C365" s="475"/>
      <c r="D365" s="475">
        <v>88839</v>
      </c>
      <c r="G365" s="243"/>
    </row>
    <row r="366" spans="2:7">
      <c r="B366" s="242" t="s">
        <v>966</v>
      </c>
      <c r="C366" s="475">
        <v>1531537</v>
      </c>
      <c r="D366" s="475"/>
      <c r="G366" s="243"/>
    </row>
    <row r="367" spans="2:7">
      <c r="B367" s="242" t="s">
        <v>987</v>
      </c>
      <c r="C367" s="475"/>
      <c r="D367" s="475">
        <v>19622</v>
      </c>
      <c r="G367" s="243"/>
    </row>
    <row r="368" spans="2:7">
      <c r="B368" s="242" t="s">
        <v>967</v>
      </c>
      <c r="C368" s="475">
        <v>601585</v>
      </c>
      <c r="D368" s="475"/>
      <c r="G368" s="243"/>
    </row>
    <row r="369" spans="1:7">
      <c r="B369" s="242" t="s">
        <v>988</v>
      </c>
      <c r="C369" s="475"/>
      <c r="D369" s="475">
        <v>701533</v>
      </c>
      <c r="G369" s="243"/>
    </row>
    <row r="370" spans="1:7">
      <c r="B370" s="242" t="s">
        <v>968</v>
      </c>
      <c r="C370" s="475">
        <v>431736</v>
      </c>
      <c r="D370" s="475"/>
      <c r="G370" s="243"/>
    </row>
    <row r="371" spans="1:7">
      <c r="B371" s="242" t="s">
        <v>989</v>
      </c>
      <c r="C371" s="475"/>
      <c r="D371" s="475">
        <v>276138</v>
      </c>
      <c r="G371" s="243"/>
    </row>
    <row r="372" spans="1:7">
      <c r="B372" s="242" t="s">
        <v>969</v>
      </c>
      <c r="C372" s="475">
        <v>148257</v>
      </c>
      <c r="D372" s="475"/>
      <c r="G372" s="243"/>
    </row>
    <row r="373" spans="1:7">
      <c r="B373" s="242" t="s">
        <v>990</v>
      </c>
      <c r="C373" s="475"/>
      <c r="D373" s="475">
        <v>197694</v>
      </c>
      <c r="G373" s="243"/>
    </row>
    <row r="374" spans="1:7">
      <c r="B374" s="242" t="s">
        <v>970</v>
      </c>
      <c r="C374" s="475">
        <v>64152</v>
      </c>
      <c r="D374" s="475"/>
      <c r="G374" s="243"/>
    </row>
    <row r="375" spans="1:7">
      <c r="B375" s="242" t="s">
        <v>991</v>
      </c>
      <c r="C375" s="475"/>
      <c r="D375" s="475">
        <v>67842</v>
      </c>
      <c r="G375" s="243"/>
    </row>
    <row r="376" spans="1:7">
      <c r="B376" s="242" t="s">
        <v>994</v>
      </c>
      <c r="C376" s="475"/>
      <c r="D376" s="475">
        <v>29427</v>
      </c>
      <c r="G376" s="243"/>
    </row>
    <row r="377" spans="1:7">
      <c r="B377" s="242"/>
      <c r="C377" s="238"/>
      <c r="D377" s="238"/>
      <c r="G377" s="243"/>
    </row>
    <row r="378" spans="1:7">
      <c r="A378" s="238" t="s">
        <v>799</v>
      </c>
      <c r="B378" s="242" t="s">
        <v>784</v>
      </c>
      <c r="C378" s="475"/>
      <c r="D378" s="475">
        <v>0</v>
      </c>
      <c r="G378" s="243"/>
    </row>
    <row r="379" spans="1:7">
      <c r="B379" s="242" t="s">
        <v>883</v>
      </c>
      <c r="C379" s="381"/>
      <c r="D379" s="475">
        <v>0</v>
      </c>
      <c r="G379" s="243"/>
    </row>
    <row r="380" spans="1:7">
      <c r="B380" s="242"/>
      <c r="C380" s="238"/>
      <c r="D380" s="238"/>
      <c r="G380" s="243"/>
    </row>
    <row r="381" spans="1:7">
      <c r="A381" s="238" t="s">
        <v>801</v>
      </c>
      <c r="B381" s="242" t="s">
        <v>802</v>
      </c>
      <c r="C381" s="381"/>
      <c r="D381" s="475"/>
      <c r="G381" s="243"/>
    </row>
    <row r="382" spans="1:7">
      <c r="A382" s="238"/>
      <c r="B382" s="242"/>
      <c r="C382" s="238"/>
      <c r="D382" s="238"/>
      <c r="G382" s="243"/>
    </row>
    <row r="383" spans="1:7">
      <c r="A383" s="238" t="s">
        <v>803</v>
      </c>
      <c r="B383" s="242" t="s">
        <v>782</v>
      </c>
      <c r="C383" s="475">
        <v>145043</v>
      </c>
      <c r="D383" s="475"/>
      <c r="G383" s="243"/>
    </row>
    <row r="384" spans="1:7">
      <c r="A384" s="238"/>
      <c r="B384" s="242" t="s">
        <v>804</v>
      </c>
      <c r="C384" s="475"/>
      <c r="D384" s="475">
        <v>-12128</v>
      </c>
      <c r="G384" s="243"/>
    </row>
    <row r="385" spans="1:7">
      <c r="A385" s="238"/>
      <c r="B385" s="242" t="s">
        <v>971</v>
      </c>
      <c r="C385" s="475">
        <v>-26626</v>
      </c>
      <c r="D385" s="475"/>
      <c r="G385" s="243"/>
    </row>
    <row r="386" spans="1:7">
      <c r="B386" s="242" t="s">
        <v>783</v>
      </c>
      <c r="C386" s="475"/>
      <c r="D386" s="475">
        <v>-2470</v>
      </c>
      <c r="G386" s="243"/>
    </row>
    <row r="387" spans="1:7">
      <c r="B387" s="242" t="s">
        <v>811</v>
      </c>
      <c r="C387" s="475">
        <v>-5553</v>
      </c>
      <c r="D387" s="475">
        <v>-6331</v>
      </c>
      <c r="G387" s="243"/>
    </row>
    <row r="388" spans="1:7">
      <c r="B388" s="242" t="s">
        <v>784</v>
      </c>
      <c r="C388" s="475">
        <v>-13767</v>
      </c>
      <c r="D388" s="475"/>
      <c r="G388" s="243"/>
    </row>
    <row r="389" spans="1:7">
      <c r="B389" s="242" t="s">
        <v>883</v>
      </c>
      <c r="C389" s="475">
        <v>30046</v>
      </c>
      <c r="D389" s="475"/>
      <c r="G389" s="243"/>
    </row>
    <row r="390" spans="1:7">
      <c r="B390" s="242" t="s">
        <v>972</v>
      </c>
      <c r="C390" s="475">
        <v>-3762</v>
      </c>
      <c r="D390" s="475"/>
      <c r="G390" s="243"/>
    </row>
    <row r="391" spans="1:7">
      <c r="B391" s="242" t="s">
        <v>805</v>
      </c>
      <c r="C391" s="475"/>
      <c r="D391" s="475">
        <v>-83</v>
      </c>
      <c r="G391" s="243"/>
    </row>
    <row r="392" spans="1:7">
      <c r="B392" s="242" t="s">
        <v>800</v>
      </c>
      <c r="C392" s="475">
        <v>39693</v>
      </c>
      <c r="D392" s="475"/>
      <c r="G392" s="243"/>
    </row>
    <row r="393" spans="1:7">
      <c r="B393" s="242" t="s">
        <v>806</v>
      </c>
      <c r="C393" s="475"/>
      <c r="D393" s="475">
        <v>-1197</v>
      </c>
      <c r="G393" s="243"/>
    </row>
    <row r="394" spans="1:7">
      <c r="B394" s="242" t="s">
        <v>785</v>
      </c>
      <c r="C394" s="475">
        <v>44170</v>
      </c>
      <c r="D394" s="475"/>
      <c r="G394" s="243"/>
    </row>
    <row r="395" spans="1:7">
      <c r="B395" s="242" t="s">
        <v>807</v>
      </c>
      <c r="C395" s="475">
        <v>-8640</v>
      </c>
      <c r="D395" s="475"/>
      <c r="G395" s="243"/>
    </row>
    <row r="396" spans="1:7">
      <c r="B396" s="242" t="s">
        <v>787</v>
      </c>
      <c r="C396" s="475">
        <v>4852</v>
      </c>
      <c r="D396" s="475">
        <v>-10</v>
      </c>
      <c r="G396" s="243"/>
    </row>
    <row r="397" spans="1:7">
      <c r="B397" s="242" t="s">
        <v>788</v>
      </c>
      <c r="C397" s="475"/>
      <c r="D397" s="475">
        <v>-62</v>
      </c>
      <c r="G397" s="243"/>
    </row>
    <row r="398" spans="1:7">
      <c r="B398" s="242" t="s">
        <v>808</v>
      </c>
      <c r="C398" s="475">
        <v>-9067</v>
      </c>
      <c r="D398" s="475"/>
      <c r="G398" s="243"/>
    </row>
    <row r="399" spans="1:7">
      <c r="B399" s="242" t="s">
        <v>880</v>
      </c>
      <c r="C399" s="475">
        <v>-20008</v>
      </c>
      <c r="D399" s="475">
        <v>13367</v>
      </c>
      <c r="G399" s="243"/>
    </row>
    <row r="400" spans="1:7">
      <c r="B400" s="242" t="s">
        <v>973</v>
      </c>
      <c r="C400" s="475">
        <v>21490</v>
      </c>
      <c r="D400" s="475">
        <v>-1754</v>
      </c>
      <c r="G400" s="243"/>
    </row>
    <row r="401" spans="2:7">
      <c r="B401" s="242" t="s">
        <v>789</v>
      </c>
      <c r="C401" s="475">
        <v>6</v>
      </c>
      <c r="D401" s="475">
        <v>17659</v>
      </c>
      <c r="G401" s="243"/>
    </row>
    <row r="402" spans="2:7">
      <c r="B402" s="242" t="s">
        <v>881</v>
      </c>
      <c r="C402" s="475">
        <v>-786</v>
      </c>
      <c r="D402" s="475">
        <v>-4027</v>
      </c>
      <c r="G402" s="243"/>
    </row>
    <row r="403" spans="2:7">
      <c r="B403" s="242" t="s">
        <v>882</v>
      </c>
      <c r="C403" s="475">
        <v>824</v>
      </c>
      <c r="D403" s="475">
        <v>19650</v>
      </c>
      <c r="G403" s="243"/>
    </row>
    <row r="404" spans="2:7">
      <c r="B404" s="242" t="s">
        <v>813</v>
      </c>
      <c r="C404" s="475">
        <v>-1340</v>
      </c>
      <c r="D404" s="475"/>
      <c r="G404" s="243"/>
    </row>
    <row r="405" spans="2:7">
      <c r="B405" s="242" t="s">
        <v>809</v>
      </c>
      <c r="C405" s="475"/>
      <c r="D405" s="475">
        <v>2159</v>
      </c>
      <c r="G405" s="243"/>
    </row>
    <row r="406" spans="2:7">
      <c r="B406" s="242" t="s">
        <v>791</v>
      </c>
      <c r="C406" s="475">
        <v>-27</v>
      </c>
      <c r="D406" s="475">
        <v>-596</v>
      </c>
      <c r="G406" s="243"/>
    </row>
    <row r="407" spans="2:7">
      <c r="B407" s="242" t="s">
        <v>792</v>
      </c>
      <c r="C407" s="475"/>
      <c r="D407" s="475">
        <v>361</v>
      </c>
      <c r="G407" s="243"/>
    </row>
    <row r="408" spans="2:7">
      <c r="B408" s="242" t="s">
        <v>793</v>
      </c>
      <c r="C408" s="475">
        <v>-134</v>
      </c>
      <c r="D408" s="475"/>
      <c r="G408" s="243"/>
    </row>
    <row r="409" spans="2:7">
      <c r="B409" s="242" t="s">
        <v>794</v>
      </c>
      <c r="C409" s="475">
        <v>-22</v>
      </c>
      <c r="D409" s="475"/>
      <c r="G409" s="243"/>
    </row>
    <row r="410" spans="2:7">
      <c r="B410" s="242" t="s">
        <v>795</v>
      </c>
      <c r="C410" s="475"/>
      <c r="D410" s="475">
        <v>-12</v>
      </c>
      <c r="G410" s="243"/>
    </row>
    <row r="411" spans="2:7">
      <c r="B411" s="242" t="s">
        <v>796</v>
      </c>
      <c r="C411" s="475">
        <v>-2598</v>
      </c>
      <c r="D411" s="475"/>
      <c r="G411" s="243"/>
    </row>
    <row r="412" spans="2:7">
      <c r="B412" s="242" t="s">
        <v>797</v>
      </c>
      <c r="C412" s="475"/>
      <c r="D412" s="475">
        <v>1</v>
      </c>
      <c r="G412" s="243"/>
    </row>
    <row r="413" spans="2:7">
      <c r="B413" s="242" t="s">
        <v>798</v>
      </c>
      <c r="C413" s="475"/>
      <c r="D413" s="475">
        <v>-4</v>
      </c>
      <c r="G413" s="243"/>
    </row>
    <row r="414" spans="2:7">
      <c r="B414" s="242" t="s">
        <v>996</v>
      </c>
      <c r="C414" s="475"/>
      <c r="D414" s="475">
        <v>555</v>
      </c>
      <c r="G414" s="243"/>
    </row>
    <row r="415" spans="2:7">
      <c r="B415" s="242" t="s">
        <v>974</v>
      </c>
      <c r="C415" s="475">
        <v>-9</v>
      </c>
      <c r="D415" s="475"/>
      <c r="G415" s="243"/>
    </row>
    <row r="416" spans="2:7">
      <c r="B416" s="242" t="s">
        <v>975</v>
      </c>
      <c r="C416" s="475">
        <v>1</v>
      </c>
      <c r="D416" s="475">
        <v>17137</v>
      </c>
      <c r="G416" s="243"/>
    </row>
    <row r="417" spans="2:7">
      <c r="B417" s="242" t="s">
        <v>976</v>
      </c>
      <c r="C417" s="475">
        <v>38522</v>
      </c>
      <c r="D417" s="475">
        <v>32</v>
      </c>
      <c r="G417" s="243"/>
    </row>
    <row r="418" spans="2:7">
      <c r="B418" s="242" t="s">
        <v>977</v>
      </c>
      <c r="C418" s="475">
        <v>72</v>
      </c>
      <c r="D418" s="475">
        <v>-2021</v>
      </c>
      <c r="G418" s="243"/>
    </row>
    <row r="419" spans="2:7">
      <c r="B419" s="242" t="s">
        <v>978</v>
      </c>
      <c r="C419" s="475">
        <v>-185</v>
      </c>
      <c r="D419" s="475">
        <v>-794</v>
      </c>
      <c r="G419" s="243"/>
    </row>
    <row r="420" spans="2:7">
      <c r="B420" s="242" t="s">
        <v>979</v>
      </c>
      <c r="C420" s="475">
        <v>1247</v>
      </c>
      <c r="D420" s="475">
        <v>1365</v>
      </c>
      <c r="G420" s="243"/>
    </row>
    <row r="421" spans="2:7">
      <c r="B421" s="242" t="s">
        <v>980</v>
      </c>
      <c r="C421" s="475">
        <v>1050</v>
      </c>
      <c r="D421" s="475">
        <v>3</v>
      </c>
      <c r="G421" s="243"/>
    </row>
    <row r="422" spans="2:7">
      <c r="B422" s="242" t="s">
        <v>959</v>
      </c>
      <c r="C422" s="475"/>
      <c r="D422" s="475">
        <v>-116</v>
      </c>
      <c r="G422" s="243"/>
    </row>
    <row r="423" spans="2:7">
      <c r="B423" s="242" t="s">
        <v>981</v>
      </c>
      <c r="C423" s="475">
        <v>2376</v>
      </c>
      <c r="D423" s="475">
        <v>66212</v>
      </c>
      <c r="G423" s="243"/>
    </row>
    <row r="424" spans="2:7">
      <c r="B424" s="242" t="s">
        <v>982</v>
      </c>
      <c r="C424" s="475">
        <v>-247</v>
      </c>
      <c r="D424" s="475">
        <v>467</v>
      </c>
      <c r="G424" s="243"/>
    </row>
    <row r="425" spans="2:7">
      <c r="B425" s="242" t="s">
        <v>983</v>
      </c>
      <c r="C425" s="475">
        <v>96</v>
      </c>
      <c r="D425" s="475">
        <v>1057</v>
      </c>
      <c r="G425" s="243"/>
    </row>
    <row r="426" spans="2:7">
      <c r="B426" s="242" t="s">
        <v>984</v>
      </c>
      <c r="C426" s="475">
        <v>1143</v>
      </c>
      <c r="D426" s="475">
        <v>-110</v>
      </c>
      <c r="G426" s="243"/>
    </row>
    <row r="427" spans="2:7">
      <c r="B427" s="242" t="s">
        <v>985</v>
      </c>
      <c r="C427" s="475">
        <v>1125</v>
      </c>
      <c r="D427" s="475">
        <v>43</v>
      </c>
      <c r="G427" s="243"/>
    </row>
    <row r="428" spans="2:7">
      <c r="B428" s="242" t="s">
        <v>965</v>
      </c>
      <c r="C428" s="475"/>
      <c r="D428" s="475">
        <v>508</v>
      </c>
      <c r="G428" s="243"/>
    </row>
    <row r="429" spans="2:7">
      <c r="B429" s="242" t="s">
        <v>986</v>
      </c>
      <c r="C429" s="475">
        <v>174</v>
      </c>
      <c r="D429" s="475"/>
      <c r="G429" s="243"/>
    </row>
    <row r="430" spans="2:7">
      <c r="B430" s="242" t="s">
        <v>966</v>
      </c>
      <c r="C430" s="475"/>
      <c r="D430" s="475">
        <v>501</v>
      </c>
      <c r="G430" s="243"/>
    </row>
    <row r="431" spans="2:7">
      <c r="B431" s="242" t="s">
        <v>987</v>
      </c>
      <c r="C431" s="475">
        <v>7504</v>
      </c>
      <c r="D431" s="475"/>
      <c r="G431" s="243"/>
    </row>
    <row r="432" spans="2:7">
      <c r="B432" s="242" t="s">
        <v>967</v>
      </c>
      <c r="C432" s="475"/>
      <c r="D432" s="475">
        <v>77</v>
      </c>
      <c r="G432" s="243"/>
    </row>
    <row r="433" spans="1:7">
      <c r="B433" s="242" t="s">
        <v>988</v>
      </c>
      <c r="C433" s="475">
        <v>41845</v>
      </c>
      <c r="D433" s="475"/>
      <c r="G433" s="243"/>
    </row>
    <row r="434" spans="1:7">
      <c r="B434" s="242" t="s">
        <v>968</v>
      </c>
      <c r="C434" s="475"/>
      <c r="D434" s="475">
        <v>3338</v>
      </c>
      <c r="G434" s="243"/>
    </row>
    <row r="435" spans="1:7">
      <c r="B435" s="242" t="s">
        <v>989</v>
      </c>
      <c r="C435" s="475">
        <v>2543</v>
      </c>
      <c r="D435" s="475"/>
      <c r="G435" s="243"/>
    </row>
    <row r="436" spans="1:7">
      <c r="B436" s="242" t="s">
        <v>969</v>
      </c>
      <c r="C436" s="475"/>
      <c r="D436" s="475">
        <v>18617</v>
      </c>
      <c r="G436" s="243"/>
    </row>
    <row r="437" spans="1:7">
      <c r="B437" s="242" t="s">
        <v>990</v>
      </c>
      <c r="C437" s="475">
        <v>1281</v>
      </c>
      <c r="D437" s="475"/>
      <c r="G437" s="243"/>
    </row>
    <row r="438" spans="1:7">
      <c r="B438" s="242" t="s">
        <v>970</v>
      </c>
      <c r="C438" s="475"/>
      <c r="D438" s="475">
        <v>1131</v>
      </c>
      <c r="G438" s="243"/>
    </row>
    <row r="439" spans="1:7">
      <c r="B439" s="242" t="s">
        <v>991</v>
      </c>
      <c r="C439" s="475">
        <v>644</v>
      </c>
      <c r="D439" s="475"/>
      <c r="G439" s="243"/>
    </row>
    <row r="440" spans="1:7">
      <c r="B440" s="242" t="s">
        <v>997</v>
      </c>
      <c r="C440" s="475"/>
      <c r="D440" s="475">
        <v>570</v>
      </c>
      <c r="G440" s="243"/>
    </row>
    <row r="441" spans="1:7">
      <c r="B441" s="242" t="s">
        <v>995</v>
      </c>
      <c r="C441" s="475"/>
      <c r="D441" s="475">
        <v>286</v>
      </c>
      <c r="G441" s="243"/>
    </row>
    <row r="442" spans="1:7">
      <c r="B442" s="242"/>
      <c r="C442" s="238"/>
      <c r="D442" s="238"/>
      <c r="G442" s="243"/>
    </row>
    <row r="443" spans="1:7">
      <c r="A443" s="238" t="s">
        <v>810</v>
      </c>
      <c r="B443" s="242" t="s">
        <v>812</v>
      </c>
      <c r="C443" s="381"/>
      <c r="D443" s="475">
        <v>0</v>
      </c>
      <c r="G443" s="243"/>
    </row>
    <row r="444" spans="1:7">
      <c r="B444" s="242" t="s">
        <v>972</v>
      </c>
      <c r="C444" s="475"/>
      <c r="D444" s="475">
        <v>0</v>
      </c>
      <c r="G444" s="243"/>
    </row>
    <row r="445" spans="1:7">
      <c r="B445" s="242" t="s">
        <v>806</v>
      </c>
      <c r="C445" s="475">
        <v>3459423</v>
      </c>
      <c r="D445" s="475"/>
      <c r="G445" s="243"/>
    </row>
    <row r="446" spans="1:7">
      <c r="B446" s="242" t="s">
        <v>807</v>
      </c>
      <c r="C446" s="475"/>
      <c r="D446" s="475">
        <v>151708</v>
      </c>
      <c r="G446" s="243"/>
    </row>
    <row r="447" spans="1:7">
      <c r="B447" s="242" t="s">
        <v>884</v>
      </c>
      <c r="C447" s="475"/>
      <c r="D447" s="475">
        <v>1577737</v>
      </c>
      <c r="G447" s="243"/>
    </row>
    <row r="448" spans="1:7">
      <c r="B448" s="242" t="s">
        <v>797</v>
      </c>
      <c r="C448" s="475">
        <v>332642</v>
      </c>
      <c r="D448" s="475"/>
      <c r="G448" s="243"/>
    </row>
    <row r="449" spans="1:11">
      <c r="B449" s="242"/>
      <c r="C449" s="238"/>
      <c r="D449" s="238"/>
      <c r="G449" s="243"/>
    </row>
    <row r="450" spans="1:11">
      <c r="A450" s="238" t="s">
        <v>814</v>
      </c>
      <c r="B450" s="243"/>
      <c r="C450" s="187">
        <f>C341-SUM(C343:C449)</f>
        <v>1471192</v>
      </c>
      <c r="D450" s="187">
        <f>D341-SUM(D343:D449)</f>
        <v>669449</v>
      </c>
      <c r="E450" s="16">
        <f>C450+D450</f>
        <v>2140641</v>
      </c>
      <c r="F450" s="339" t="s">
        <v>815</v>
      </c>
      <c r="G450" s="243"/>
    </row>
    <row r="451" spans="1:11">
      <c r="C451" s="16">
        <f>C341-C450</f>
        <v>17239585</v>
      </c>
      <c r="D451" s="16">
        <f>D341-D450</f>
        <v>7974172</v>
      </c>
      <c r="E451" s="16">
        <f>C451+D451</f>
        <v>25213757</v>
      </c>
      <c r="F451" s="336" t="s">
        <v>816</v>
      </c>
      <c r="G451" s="243"/>
    </row>
    <row r="452" spans="1:11">
      <c r="E452" s="333" t="str">
        <f>IF(E451='NITS Pg 4 of 5'!J67,"ok","err on NITS pg 4")</f>
        <v>ok</v>
      </c>
      <c r="F452" s="332" t="s">
        <v>926</v>
      </c>
      <c r="G452" s="243"/>
    </row>
    <row r="453" spans="1:11">
      <c r="E453" s="333" t="str">
        <f>IF(E451='PTP Pg 4 of 5'!J67,"ok","err on PTP pg 4")</f>
        <v>ok</v>
      </c>
      <c r="F453" s="332" t="s">
        <v>927</v>
      </c>
    </row>
    <row r="454" spans="1:11">
      <c r="A454" s="236"/>
      <c r="B454" s="236"/>
      <c r="C454" s="236"/>
      <c r="D454" s="236"/>
      <c r="E454" s="236"/>
      <c r="F454" s="236"/>
      <c r="G454" s="236"/>
      <c r="H454" s="236"/>
      <c r="I454" s="236"/>
      <c r="J454" s="236"/>
      <c r="K454" s="236"/>
    </row>
    <row r="455" spans="1:11" ht="15">
      <c r="A455" s="16" t="s">
        <v>817</v>
      </c>
      <c r="C455" s="352" t="s">
        <v>433</v>
      </c>
      <c r="D455" s="352" t="s">
        <v>818</v>
      </c>
    </row>
    <row r="456" spans="1:11">
      <c r="D456" s="243"/>
    </row>
    <row r="457" spans="1:11">
      <c r="A457" s="16" t="s">
        <v>819</v>
      </c>
      <c r="H457" s="336" t="s">
        <v>820</v>
      </c>
    </row>
    <row r="458" spans="1:11">
      <c r="A458" s="277" t="s">
        <v>821</v>
      </c>
    </row>
    <row r="459" spans="1:11">
      <c r="A459" s="277" t="s">
        <v>822</v>
      </c>
      <c r="C459" s="522">
        <v>570954</v>
      </c>
      <c r="D459" s="522">
        <v>292550</v>
      </c>
      <c r="E459" s="16">
        <f t="shared" ref="E459:E460" si="22">C459+D459</f>
        <v>863504</v>
      </c>
      <c r="F459" s="339" t="s">
        <v>823</v>
      </c>
      <c r="H459" s="336" t="s">
        <v>1013</v>
      </c>
    </row>
    <row r="460" spans="1:11">
      <c r="A460" s="277" t="s">
        <v>824</v>
      </c>
      <c r="C460" s="522">
        <v>-530084</v>
      </c>
      <c r="D460" s="522">
        <v>-271574</v>
      </c>
      <c r="E460" s="16">
        <f t="shared" si="22"/>
        <v>-801658</v>
      </c>
      <c r="F460" s="339" t="s">
        <v>825</v>
      </c>
      <c r="H460" s="336" t="s">
        <v>826</v>
      </c>
    </row>
    <row r="461" spans="1:11">
      <c r="A461" s="277"/>
      <c r="C461" s="278"/>
      <c r="D461" s="278"/>
    </row>
    <row r="462" spans="1:11">
      <c r="A462" s="277" t="s">
        <v>827</v>
      </c>
      <c r="C462" s="278">
        <f>SUM(C459:C460)</f>
        <v>40870</v>
      </c>
      <c r="D462" s="278">
        <f>SUM(D459:D460)</f>
        <v>20976</v>
      </c>
      <c r="E462" s="16">
        <f t="shared" ref="E462" si="23">C462+D462</f>
        <v>61846</v>
      </c>
      <c r="F462" s="339" t="s">
        <v>828</v>
      </c>
    </row>
  </sheetData>
  <mergeCells count="4">
    <mergeCell ref="I189:J189"/>
    <mergeCell ref="K189:L189"/>
    <mergeCell ref="J205:K206"/>
    <mergeCell ref="J117:K118"/>
  </mergeCells>
  <pageMargins left="0.7" right="0.7" top="0.75" bottom="0.75" header="0.3" footer="0.3"/>
  <pageSetup paperSize="17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workbookViewId="0"/>
  </sheetViews>
  <sheetFormatPr defaultColWidth="9.33203125" defaultRowHeight="12.75"/>
  <cols>
    <col min="1" max="1" width="39.1640625" style="287" customWidth="1"/>
    <col min="2" max="3" width="16.1640625" style="286" bestFit="1" customWidth="1"/>
    <col min="4" max="4" width="14.1640625" style="286" bestFit="1" customWidth="1"/>
    <col min="5" max="5" width="15.83203125" style="286" bestFit="1" customWidth="1"/>
    <col min="6" max="6" width="16.83203125" style="286" bestFit="1" customWidth="1"/>
    <col min="7" max="7" width="15.83203125" style="286" bestFit="1" customWidth="1"/>
    <col min="8" max="8" width="2.5" style="287" customWidth="1"/>
    <col min="9" max="10" width="15.83203125" style="287" bestFit="1" customWidth="1"/>
    <col min="11" max="16384" width="9.33203125" style="287"/>
  </cols>
  <sheetData>
    <row r="1" spans="1:10" ht="15.75">
      <c r="A1" s="361" t="s">
        <v>940</v>
      </c>
      <c r="B1" s="291"/>
      <c r="C1" s="291"/>
    </row>
    <row r="2" spans="1:10" ht="15.75">
      <c r="A2" s="361" t="s">
        <v>837</v>
      </c>
      <c r="B2" s="291"/>
      <c r="C2" s="291"/>
      <c r="D2" s="291"/>
      <c r="E2" s="291"/>
      <c r="F2" s="291"/>
      <c r="G2" s="291"/>
      <c r="H2" s="290"/>
    </row>
    <row r="3" spans="1:10" ht="15.75">
      <c r="A3" s="362" t="s">
        <v>838</v>
      </c>
      <c r="B3" s="289"/>
      <c r="C3" s="289"/>
      <c r="D3" s="289"/>
      <c r="E3" s="289"/>
      <c r="F3" s="289"/>
      <c r="G3" s="289"/>
      <c r="H3" s="290"/>
    </row>
    <row r="4" spans="1:10" ht="15.75">
      <c r="A4" s="377">
        <f>'OATT Input Data'!B4</f>
        <v>42369</v>
      </c>
      <c r="C4" s="292"/>
      <c r="D4" s="292"/>
      <c r="E4" s="292"/>
    </row>
    <row r="5" spans="1:10" ht="15.75">
      <c r="A5" s="377"/>
      <c r="C5" s="292"/>
      <c r="D5" s="292"/>
      <c r="E5" s="292"/>
    </row>
    <row r="6" spans="1:10">
      <c r="A6" s="367" t="s">
        <v>946</v>
      </c>
      <c r="B6" s="368"/>
      <c r="C6" s="368"/>
      <c r="D6" s="368"/>
      <c r="E6" s="368"/>
    </row>
    <row r="7" spans="1:10">
      <c r="A7" s="369" t="s">
        <v>948</v>
      </c>
      <c r="B7" s="368"/>
      <c r="C7" s="368"/>
      <c r="D7" s="368"/>
      <c r="E7" s="368"/>
    </row>
    <row r="8" spans="1:10">
      <c r="A8" s="369"/>
      <c r="B8" s="368"/>
      <c r="C8" s="368"/>
      <c r="D8" s="368"/>
      <c r="E8" s="368"/>
    </row>
    <row r="9" spans="1:10" ht="15.75">
      <c r="A9" s="360" t="s">
        <v>839</v>
      </c>
      <c r="C9" s="292"/>
      <c r="D9" s="292"/>
      <c r="E9" s="292"/>
      <c r="I9" s="365"/>
      <c r="J9" s="365"/>
    </row>
    <row r="10" spans="1:10">
      <c r="B10" s="288" t="s">
        <v>829</v>
      </c>
      <c r="C10" s="289"/>
      <c r="D10" s="289"/>
      <c r="E10" s="288" t="s">
        <v>830</v>
      </c>
      <c r="F10" s="289"/>
      <c r="G10" s="288" t="s">
        <v>831</v>
      </c>
      <c r="I10" s="288" t="s">
        <v>942</v>
      </c>
      <c r="J10" s="288"/>
    </row>
    <row r="11" spans="1:10" ht="15">
      <c r="A11" s="290"/>
      <c r="B11" s="359" t="s">
        <v>832</v>
      </c>
      <c r="C11" s="359" t="s">
        <v>833</v>
      </c>
      <c r="D11" s="359" t="s">
        <v>834</v>
      </c>
      <c r="E11" s="359" t="s">
        <v>835</v>
      </c>
      <c r="F11" s="359" t="s">
        <v>836</v>
      </c>
      <c r="G11" s="359" t="s">
        <v>832</v>
      </c>
      <c r="H11" s="290"/>
      <c r="I11" s="359" t="s">
        <v>941</v>
      </c>
      <c r="J11" s="359" t="s">
        <v>943</v>
      </c>
    </row>
    <row r="12" spans="1:10">
      <c r="A12" s="287" t="s">
        <v>840</v>
      </c>
      <c r="B12" s="354">
        <v>2118631.2200000002</v>
      </c>
      <c r="C12" s="355">
        <v>0</v>
      </c>
      <c r="D12" s="355">
        <v>0</v>
      </c>
      <c r="E12" s="355">
        <v>0</v>
      </c>
      <c r="F12" s="286">
        <f t="shared" ref="F12:F20" si="0">SUM(C12:E12)</f>
        <v>0</v>
      </c>
      <c r="G12" s="286">
        <f>B12+F12</f>
        <v>2118631.2200000002</v>
      </c>
      <c r="I12" s="355">
        <v>2118631.2200000002</v>
      </c>
      <c r="J12" s="366">
        <f>I12-G12</f>
        <v>0</v>
      </c>
    </row>
    <row r="13" spans="1:10">
      <c r="A13" s="287" t="s">
        <v>841</v>
      </c>
      <c r="B13" s="354">
        <v>45700.5</v>
      </c>
      <c r="C13" s="356">
        <v>0</v>
      </c>
      <c r="D13" s="355">
        <v>0</v>
      </c>
      <c r="E13" s="355">
        <v>0</v>
      </c>
      <c r="F13" s="286">
        <f t="shared" si="0"/>
        <v>0</v>
      </c>
      <c r="G13" s="286">
        <f t="shared" ref="G13:G20" si="1">B13+F13</f>
        <v>45700.5</v>
      </c>
      <c r="I13" s="355">
        <v>45700.5</v>
      </c>
      <c r="J13" s="366">
        <f t="shared" ref="J13:J19" si="2">I13-G13</f>
        <v>0</v>
      </c>
    </row>
    <row r="14" spans="1:10">
      <c r="A14" s="287" t="s">
        <v>842</v>
      </c>
      <c r="B14" s="354">
        <v>1618031.92</v>
      </c>
      <c r="C14" s="354">
        <v>0</v>
      </c>
      <c r="D14" s="354">
        <v>-111.76</v>
      </c>
      <c r="E14" s="354">
        <v>0</v>
      </c>
      <c r="F14" s="286">
        <f t="shared" si="0"/>
        <v>-111.76</v>
      </c>
      <c r="G14" s="286">
        <f t="shared" si="1"/>
        <v>1617920.16</v>
      </c>
      <c r="I14" s="354">
        <v>1617920.16</v>
      </c>
      <c r="J14" s="366">
        <f t="shared" si="2"/>
        <v>0</v>
      </c>
    </row>
    <row r="15" spans="1:10">
      <c r="A15" s="287" t="s">
        <v>843</v>
      </c>
      <c r="B15" s="357">
        <v>20730624.779999997</v>
      </c>
      <c r="C15" s="354">
        <v>965189.57000000007</v>
      </c>
      <c r="D15" s="354">
        <v>-116717.44</v>
      </c>
      <c r="E15" s="354">
        <v>291019.11</v>
      </c>
      <c r="F15" s="286">
        <f t="shared" si="0"/>
        <v>1139491.2400000002</v>
      </c>
      <c r="G15" s="286">
        <f t="shared" si="1"/>
        <v>21870116.019999996</v>
      </c>
      <c r="I15" s="354">
        <v>21870116.02</v>
      </c>
      <c r="J15" s="366">
        <f t="shared" si="2"/>
        <v>0</v>
      </c>
    </row>
    <row r="16" spans="1:10">
      <c r="A16" s="287" t="s">
        <v>844</v>
      </c>
      <c r="B16" s="357">
        <v>7181081.3000000007</v>
      </c>
      <c r="C16" s="354">
        <v>0</v>
      </c>
      <c r="D16" s="354">
        <v>0</v>
      </c>
      <c r="E16" s="354">
        <v>0</v>
      </c>
      <c r="F16" s="286">
        <f t="shared" si="0"/>
        <v>0</v>
      </c>
      <c r="G16" s="286">
        <f t="shared" si="1"/>
        <v>7181081.3000000007</v>
      </c>
      <c r="I16" s="354">
        <v>7181081.3000000007</v>
      </c>
      <c r="J16" s="366">
        <f t="shared" si="2"/>
        <v>0</v>
      </c>
    </row>
    <row r="17" spans="1:10">
      <c r="A17" s="287" t="s">
        <v>845</v>
      </c>
      <c r="B17" s="357">
        <v>9932648.6699999999</v>
      </c>
      <c r="C17" s="354">
        <v>1309887.1599999999</v>
      </c>
      <c r="D17" s="354">
        <v>-28951.64</v>
      </c>
      <c r="E17" s="354">
        <v>0</v>
      </c>
      <c r="F17" s="286">
        <f t="shared" si="0"/>
        <v>1280935.52</v>
      </c>
      <c r="G17" s="286">
        <f t="shared" si="1"/>
        <v>11213584.189999999</v>
      </c>
      <c r="I17" s="354">
        <v>11213584.189999999</v>
      </c>
      <c r="J17" s="366">
        <f t="shared" si="2"/>
        <v>0</v>
      </c>
    </row>
    <row r="18" spans="1:10">
      <c r="A18" s="287" t="s">
        <v>846</v>
      </c>
      <c r="B18" s="357">
        <v>16964093.09</v>
      </c>
      <c r="C18" s="354">
        <v>-133733.38</v>
      </c>
      <c r="D18" s="354">
        <v>-4168.16</v>
      </c>
      <c r="E18" s="354">
        <v>0</v>
      </c>
      <c r="F18" s="286">
        <f t="shared" si="0"/>
        <v>-137901.54</v>
      </c>
      <c r="G18" s="286">
        <f t="shared" si="1"/>
        <v>16826191.550000001</v>
      </c>
      <c r="I18" s="354">
        <v>16826191.550000001</v>
      </c>
      <c r="J18" s="366">
        <f t="shared" si="2"/>
        <v>0</v>
      </c>
    </row>
    <row r="19" spans="1:10">
      <c r="A19" s="287" t="s">
        <v>847</v>
      </c>
      <c r="B19" s="357">
        <v>0</v>
      </c>
      <c r="C19" s="354">
        <v>0</v>
      </c>
      <c r="D19" s="354">
        <v>0</v>
      </c>
      <c r="E19" s="354">
        <v>0</v>
      </c>
      <c r="F19" s="286">
        <f t="shared" si="0"/>
        <v>0</v>
      </c>
      <c r="G19" s="286">
        <f t="shared" si="1"/>
        <v>0</v>
      </c>
      <c r="I19" s="354">
        <v>0</v>
      </c>
      <c r="J19" s="366">
        <f t="shared" si="2"/>
        <v>0</v>
      </c>
    </row>
    <row r="20" spans="1:10">
      <c r="A20" s="287" t="s">
        <v>848</v>
      </c>
      <c r="B20" s="357">
        <v>0</v>
      </c>
      <c r="C20" s="354">
        <v>0</v>
      </c>
      <c r="D20" s="354">
        <v>0</v>
      </c>
      <c r="E20" s="354">
        <v>0</v>
      </c>
      <c r="F20" s="286">
        <f t="shared" si="0"/>
        <v>0</v>
      </c>
      <c r="G20" s="286">
        <f t="shared" si="1"/>
        <v>0</v>
      </c>
      <c r="I20" s="354">
        <v>0</v>
      </c>
      <c r="J20" s="366">
        <f>I20-G20</f>
        <v>0</v>
      </c>
    </row>
    <row r="21" spans="1:10" ht="13.5" thickBot="1">
      <c r="A21" s="376" t="s">
        <v>6</v>
      </c>
      <c r="B21" s="363">
        <f>SUM(B12:B20)</f>
        <v>58590811.480000004</v>
      </c>
      <c r="C21" s="363">
        <f t="shared" ref="C21:G21" si="3">SUM(C12:C20)</f>
        <v>2141343.35</v>
      </c>
      <c r="D21" s="363">
        <f t="shared" si="3"/>
        <v>-149949</v>
      </c>
      <c r="E21" s="363">
        <f t="shared" si="3"/>
        <v>291019.11</v>
      </c>
      <c r="F21" s="363">
        <f>SUM(F12:F20)</f>
        <v>2282413.46</v>
      </c>
      <c r="G21" s="363">
        <f t="shared" si="3"/>
        <v>60873224.939999998</v>
      </c>
      <c r="I21" s="371">
        <v>60873224.939999998</v>
      </c>
      <c r="J21" s="372">
        <f>I21-G21</f>
        <v>0</v>
      </c>
    </row>
    <row r="22" spans="1:10" ht="13.5" thickTop="1">
      <c r="B22" s="293"/>
    </row>
    <row r="23" spans="1:10">
      <c r="B23" s="293"/>
    </row>
    <row r="24" spans="1:10">
      <c r="A24" s="367" t="s">
        <v>945</v>
      </c>
      <c r="B24" s="370"/>
      <c r="C24" s="290"/>
    </row>
    <row r="25" spans="1:10">
      <c r="A25" s="358" t="s">
        <v>944</v>
      </c>
      <c r="B25" s="293"/>
      <c r="C25" s="358"/>
    </row>
    <row r="26" spans="1:10">
      <c r="A26" s="373" t="s">
        <v>936</v>
      </c>
      <c r="B26" s="293"/>
      <c r="C26" s="287"/>
    </row>
    <row r="27" spans="1:10">
      <c r="A27" s="374" t="s">
        <v>937</v>
      </c>
      <c r="B27" s="293"/>
      <c r="C27" s="287"/>
    </row>
    <row r="28" spans="1:10">
      <c r="A28" s="373" t="s">
        <v>938</v>
      </c>
      <c r="B28" s="293"/>
      <c r="C28" s="287"/>
    </row>
    <row r="29" spans="1:10">
      <c r="A29" s="358"/>
      <c r="B29" s="293"/>
      <c r="C29" s="287"/>
    </row>
    <row r="30" spans="1:10" ht="15.75">
      <c r="A30" s="360" t="s">
        <v>849</v>
      </c>
      <c r="C30" s="292"/>
      <c r="D30" s="292"/>
      <c r="E30" s="292"/>
    </row>
    <row r="31" spans="1:10">
      <c r="B31" s="288" t="s">
        <v>829</v>
      </c>
      <c r="C31" s="289"/>
      <c r="D31" s="289"/>
      <c r="E31" s="288" t="s">
        <v>830</v>
      </c>
      <c r="F31" s="289"/>
      <c r="G31" s="288" t="s">
        <v>831</v>
      </c>
    </row>
    <row r="32" spans="1:10" ht="15">
      <c r="A32" s="290"/>
      <c r="B32" s="359" t="s">
        <v>832</v>
      </c>
      <c r="C32" s="359" t="s">
        <v>833</v>
      </c>
      <c r="D32" s="359" t="s">
        <v>834</v>
      </c>
      <c r="E32" s="359" t="s">
        <v>835</v>
      </c>
      <c r="F32" s="359" t="s">
        <v>836</v>
      </c>
      <c r="G32" s="359" t="s">
        <v>832</v>
      </c>
      <c r="H32" s="290"/>
      <c r="J32" s="359" t="s">
        <v>943</v>
      </c>
    </row>
    <row r="33" spans="1:10">
      <c r="A33" s="287" t="s">
        <v>840</v>
      </c>
      <c r="B33" s="354">
        <v>280370.75</v>
      </c>
      <c r="C33" s="355">
        <v>0</v>
      </c>
      <c r="D33" s="355">
        <v>0</v>
      </c>
      <c r="E33" s="355">
        <v>0</v>
      </c>
      <c r="F33" s="286">
        <f t="shared" ref="F33:F41" si="4">SUM(C33:E33)</f>
        <v>0</v>
      </c>
      <c r="G33" s="286">
        <f t="shared" ref="G33:G41" si="5">B33+F33</f>
        <v>280370.75</v>
      </c>
    </row>
    <row r="34" spans="1:10">
      <c r="A34" s="287" t="s">
        <v>841</v>
      </c>
      <c r="B34" s="354">
        <v>0</v>
      </c>
      <c r="C34" s="355">
        <v>0</v>
      </c>
      <c r="D34" s="355">
        <v>0</v>
      </c>
      <c r="E34" s="355">
        <v>0</v>
      </c>
      <c r="F34" s="286">
        <f t="shared" si="4"/>
        <v>0</v>
      </c>
      <c r="G34" s="286">
        <f t="shared" si="5"/>
        <v>0</v>
      </c>
    </row>
    <row r="35" spans="1:10">
      <c r="A35" s="287" t="s">
        <v>842</v>
      </c>
      <c r="B35" s="354">
        <v>0</v>
      </c>
      <c r="C35" s="355">
        <v>0</v>
      </c>
      <c r="D35" s="355">
        <v>0</v>
      </c>
      <c r="E35" s="355">
        <v>0</v>
      </c>
      <c r="F35" s="286">
        <f t="shared" si="4"/>
        <v>0</v>
      </c>
      <c r="G35" s="286">
        <f t="shared" si="5"/>
        <v>0</v>
      </c>
    </row>
    <row r="36" spans="1:10">
      <c r="A36" s="287" t="s">
        <v>843</v>
      </c>
      <c r="B36" s="357">
        <v>0</v>
      </c>
      <c r="C36" s="355">
        <v>0</v>
      </c>
      <c r="D36" s="355">
        <v>0</v>
      </c>
      <c r="E36" s="355">
        <v>0</v>
      </c>
      <c r="F36" s="286">
        <f t="shared" si="4"/>
        <v>0</v>
      </c>
      <c r="G36" s="286">
        <f t="shared" si="5"/>
        <v>0</v>
      </c>
    </row>
    <row r="37" spans="1:10">
      <c r="A37" s="287" t="s">
        <v>844</v>
      </c>
      <c r="B37" s="357">
        <v>4769322.87</v>
      </c>
      <c r="C37" s="355">
        <v>0</v>
      </c>
      <c r="D37" s="355">
        <v>0</v>
      </c>
      <c r="E37" s="355">
        <v>0</v>
      </c>
      <c r="F37" s="286">
        <f t="shared" si="4"/>
        <v>0</v>
      </c>
      <c r="G37" s="286">
        <f t="shared" si="5"/>
        <v>4769322.87</v>
      </c>
    </row>
    <row r="38" spans="1:10">
      <c r="A38" s="287" t="s">
        <v>845</v>
      </c>
      <c r="B38" s="357">
        <v>51357.98</v>
      </c>
      <c r="C38" s="355">
        <v>0</v>
      </c>
      <c r="D38" s="355">
        <v>0</v>
      </c>
      <c r="E38" s="355">
        <v>0</v>
      </c>
      <c r="F38" s="286">
        <f t="shared" si="4"/>
        <v>0</v>
      </c>
      <c r="G38" s="286">
        <f t="shared" si="5"/>
        <v>51357.98</v>
      </c>
    </row>
    <row r="39" spans="1:10">
      <c r="A39" s="287" t="s">
        <v>846</v>
      </c>
      <c r="B39" s="357">
        <v>3129377.81</v>
      </c>
      <c r="C39" s="355">
        <v>0</v>
      </c>
      <c r="D39" s="355">
        <v>0</v>
      </c>
      <c r="E39" s="355">
        <v>0</v>
      </c>
      <c r="F39" s="286">
        <f t="shared" si="4"/>
        <v>0</v>
      </c>
      <c r="G39" s="286">
        <f t="shared" si="5"/>
        <v>3129377.81</v>
      </c>
    </row>
    <row r="40" spans="1:10">
      <c r="A40" s="287" t="s">
        <v>847</v>
      </c>
      <c r="B40" s="357">
        <v>0</v>
      </c>
      <c r="C40" s="355">
        <v>0</v>
      </c>
      <c r="D40" s="355">
        <v>0</v>
      </c>
      <c r="E40" s="355">
        <v>0</v>
      </c>
      <c r="F40" s="286">
        <f t="shared" si="4"/>
        <v>0</v>
      </c>
      <c r="G40" s="286">
        <f t="shared" si="5"/>
        <v>0</v>
      </c>
    </row>
    <row r="41" spans="1:10">
      <c r="A41" s="287" t="s">
        <v>848</v>
      </c>
      <c r="B41" s="357">
        <v>0</v>
      </c>
      <c r="C41" s="355">
        <v>0</v>
      </c>
      <c r="D41" s="355">
        <v>0</v>
      </c>
      <c r="E41" s="355">
        <v>0</v>
      </c>
      <c r="F41" s="286">
        <f t="shared" si="4"/>
        <v>0</v>
      </c>
      <c r="G41" s="286">
        <f t="shared" si="5"/>
        <v>0</v>
      </c>
    </row>
    <row r="42" spans="1:10" ht="13.5" thickBot="1">
      <c r="A42" s="376" t="s">
        <v>6</v>
      </c>
      <c r="B42" s="364">
        <f t="shared" ref="B42:G42" si="6">SUM(B33:B41)</f>
        <v>8230429.4100000001</v>
      </c>
      <c r="C42" s="364">
        <f t="shared" si="6"/>
        <v>0</v>
      </c>
      <c r="D42" s="364">
        <f t="shared" si="6"/>
        <v>0</v>
      </c>
      <c r="E42" s="364">
        <f t="shared" si="6"/>
        <v>0</v>
      </c>
      <c r="F42" s="364">
        <f t="shared" si="6"/>
        <v>0</v>
      </c>
      <c r="G42" s="364">
        <f t="shared" si="6"/>
        <v>8230429.4100000001</v>
      </c>
      <c r="I42" s="371">
        <v>8230429.4099999992</v>
      </c>
      <c r="J42" s="372">
        <f>I42-G42</f>
        <v>0</v>
      </c>
    </row>
    <row r="43" spans="1:10" ht="13.5" thickTop="1"/>
    <row r="44" spans="1:10">
      <c r="B44" s="293"/>
    </row>
    <row r="45" spans="1:10">
      <c r="A45" s="353" t="s">
        <v>947</v>
      </c>
    </row>
    <row r="46" spans="1:10" s="296" customFormat="1">
      <c r="A46" s="375" t="s">
        <v>939</v>
      </c>
      <c r="B46" s="295"/>
      <c r="C46" s="295"/>
      <c r="D46" s="295"/>
      <c r="E46" s="295"/>
      <c r="F46" s="295"/>
      <c r="G46" s="295"/>
      <c r="H46" s="295"/>
    </row>
    <row r="48" spans="1:10" ht="15.75">
      <c r="A48" s="360" t="s">
        <v>850</v>
      </c>
      <c r="C48" s="292"/>
      <c r="D48" s="292"/>
      <c r="E48" s="292"/>
    </row>
    <row r="49" spans="1:8">
      <c r="B49" s="288" t="s">
        <v>829</v>
      </c>
      <c r="C49" s="289"/>
      <c r="D49" s="289"/>
      <c r="E49" s="288" t="s">
        <v>830</v>
      </c>
      <c r="F49" s="289"/>
      <c r="G49" s="288" t="s">
        <v>831</v>
      </c>
    </row>
    <row r="50" spans="1:8" ht="15">
      <c r="A50" s="290"/>
      <c r="B50" s="359" t="s">
        <v>832</v>
      </c>
      <c r="C50" s="359" t="s">
        <v>833</v>
      </c>
      <c r="D50" s="359" t="s">
        <v>834</v>
      </c>
      <c r="E50" s="359" t="s">
        <v>835</v>
      </c>
      <c r="F50" s="359" t="s">
        <v>836</v>
      </c>
      <c r="G50" s="359" t="s">
        <v>832</v>
      </c>
      <c r="H50" s="290"/>
    </row>
    <row r="51" spans="1:8">
      <c r="A51" s="287" t="s">
        <v>840</v>
      </c>
      <c r="B51" s="286">
        <f t="shared" ref="B51:F59" si="7">B12-B33</f>
        <v>1838260.4700000002</v>
      </c>
      <c r="C51" s="286">
        <f t="shared" si="7"/>
        <v>0</v>
      </c>
      <c r="D51" s="286">
        <f t="shared" si="7"/>
        <v>0</v>
      </c>
      <c r="E51" s="286">
        <f t="shared" si="7"/>
        <v>0</v>
      </c>
      <c r="F51" s="286">
        <f t="shared" si="7"/>
        <v>0</v>
      </c>
      <c r="G51" s="286">
        <f t="shared" ref="G51:G59" si="8">B51+F51</f>
        <v>1838260.4700000002</v>
      </c>
    </row>
    <row r="52" spans="1:8">
      <c r="A52" s="287" t="s">
        <v>841</v>
      </c>
      <c r="B52" s="286">
        <f t="shared" si="7"/>
        <v>45700.5</v>
      </c>
      <c r="C52" s="286">
        <f t="shared" si="7"/>
        <v>0</v>
      </c>
      <c r="D52" s="286">
        <f t="shared" si="7"/>
        <v>0</v>
      </c>
      <c r="E52" s="286">
        <f t="shared" si="7"/>
        <v>0</v>
      </c>
      <c r="F52" s="286">
        <f t="shared" si="7"/>
        <v>0</v>
      </c>
      <c r="G52" s="286">
        <f t="shared" si="8"/>
        <v>45700.5</v>
      </c>
    </row>
    <row r="53" spans="1:8">
      <c r="A53" s="287" t="s">
        <v>842</v>
      </c>
      <c r="B53" s="286">
        <f t="shared" si="7"/>
        <v>1618031.92</v>
      </c>
      <c r="C53" s="286">
        <f t="shared" si="7"/>
        <v>0</v>
      </c>
      <c r="D53" s="286">
        <f t="shared" si="7"/>
        <v>-111.76</v>
      </c>
      <c r="E53" s="286">
        <f t="shared" si="7"/>
        <v>0</v>
      </c>
      <c r="F53" s="286">
        <f t="shared" si="7"/>
        <v>-111.76</v>
      </c>
      <c r="G53" s="286">
        <f t="shared" si="8"/>
        <v>1617920.16</v>
      </c>
    </row>
    <row r="54" spans="1:8">
      <c r="A54" s="287" t="s">
        <v>843</v>
      </c>
      <c r="B54" s="286">
        <f t="shared" si="7"/>
        <v>20730624.779999997</v>
      </c>
      <c r="C54" s="286">
        <f t="shared" si="7"/>
        <v>965189.57000000007</v>
      </c>
      <c r="D54" s="286">
        <f t="shared" si="7"/>
        <v>-116717.44</v>
      </c>
      <c r="E54" s="286">
        <f t="shared" si="7"/>
        <v>291019.11</v>
      </c>
      <c r="F54" s="286">
        <f t="shared" si="7"/>
        <v>1139491.2400000002</v>
      </c>
      <c r="G54" s="286">
        <f t="shared" si="8"/>
        <v>21870116.019999996</v>
      </c>
    </row>
    <row r="55" spans="1:8">
      <c r="A55" s="287" t="s">
        <v>844</v>
      </c>
      <c r="B55" s="286">
        <f t="shared" si="7"/>
        <v>2411758.4300000006</v>
      </c>
      <c r="C55" s="286">
        <f t="shared" si="7"/>
        <v>0</v>
      </c>
      <c r="D55" s="286">
        <f t="shared" si="7"/>
        <v>0</v>
      </c>
      <c r="E55" s="286">
        <f t="shared" si="7"/>
        <v>0</v>
      </c>
      <c r="F55" s="286">
        <f t="shared" si="7"/>
        <v>0</v>
      </c>
      <c r="G55" s="286">
        <f t="shared" si="8"/>
        <v>2411758.4300000006</v>
      </c>
    </row>
    <row r="56" spans="1:8">
      <c r="A56" s="287" t="s">
        <v>845</v>
      </c>
      <c r="B56" s="286">
        <f t="shared" si="7"/>
        <v>9881290.6899999995</v>
      </c>
      <c r="C56" s="286">
        <f t="shared" si="7"/>
        <v>1309887.1599999999</v>
      </c>
      <c r="D56" s="286">
        <f t="shared" si="7"/>
        <v>-28951.64</v>
      </c>
      <c r="E56" s="286">
        <f t="shared" si="7"/>
        <v>0</v>
      </c>
      <c r="F56" s="286">
        <f t="shared" si="7"/>
        <v>1280935.52</v>
      </c>
      <c r="G56" s="286">
        <f t="shared" si="8"/>
        <v>11162226.209999999</v>
      </c>
    </row>
    <row r="57" spans="1:8">
      <c r="A57" s="287" t="s">
        <v>846</v>
      </c>
      <c r="B57" s="286">
        <f t="shared" si="7"/>
        <v>13834715.279999999</v>
      </c>
      <c r="C57" s="286">
        <f t="shared" si="7"/>
        <v>-133733.38</v>
      </c>
      <c r="D57" s="286">
        <f t="shared" si="7"/>
        <v>-4168.16</v>
      </c>
      <c r="E57" s="286">
        <f t="shared" si="7"/>
        <v>0</v>
      </c>
      <c r="F57" s="286">
        <f t="shared" si="7"/>
        <v>-137901.54</v>
      </c>
      <c r="G57" s="286">
        <f t="shared" si="8"/>
        <v>13696813.74</v>
      </c>
    </row>
    <row r="58" spans="1:8">
      <c r="A58" s="287" t="s">
        <v>847</v>
      </c>
      <c r="B58" s="286">
        <f t="shared" si="7"/>
        <v>0</v>
      </c>
      <c r="C58" s="286">
        <f t="shared" si="7"/>
        <v>0</v>
      </c>
      <c r="D58" s="286">
        <f t="shared" si="7"/>
        <v>0</v>
      </c>
      <c r="E58" s="286">
        <f t="shared" si="7"/>
        <v>0</v>
      </c>
      <c r="F58" s="286">
        <f t="shared" si="7"/>
        <v>0</v>
      </c>
      <c r="G58" s="286">
        <f t="shared" si="8"/>
        <v>0</v>
      </c>
    </row>
    <row r="59" spans="1:8">
      <c r="A59" s="287" t="s">
        <v>848</v>
      </c>
      <c r="B59" s="286">
        <f t="shared" si="7"/>
        <v>0</v>
      </c>
      <c r="C59" s="286">
        <f t="shared" si="7"/>
        <v>0</v>
      </c>
      <c r="D59" s="286">
        <f t="shared" si="7"/>
        <v>0</v>
      </c>
      <c r="E59" s="286">
        <f t="shared" si="7"/>
        <v>0</v>
      </c>
      <c r="F59" s="286">
        <f t="shared" si="7"/>
        <v>0</v>
      </c>
      <c r="G59" s="286">
        <f t="shared" si="8"/>
        <v>0</v>
      </c>
    </row>
    <row r="60" spans="1:8" ht="13.5" thickBot="1">
      <c r="A60" s="376" t="s">
        <v>6</v>
      </c>
      <c r="B60" s="364">
        <f>SUM(B51:B59)</f>
        <v>50360382.07</v>
      </c>
      <c r="C60" s="364">
        <f t="shared" ref="C60:F60" si="9">SUM(C51:C59)</f>
        <v>2141343.35</v>
      </c>
      <c r="D60" s="364">
        <f t="shared" si="9"/>
        <v>-149949</v>
      </c>
      <c r="E60" s="364">
        <f t="shared" si="9"/>
        <v>291019.11</v>
      </c>
      <c r="F60" s="364">
        <f t="shared" si="9"/>
        <v>2282413.46</v>
      </c>
      <c r="G60" s="364">
        <f>SUM(G51:G59)</f>
        <v>52642795.529999994</v>
      </c>
    </row>
    <row r="61" spans="1:8" ht="13.5" thickTop="1">
      <c r="F61" s="332" t="s">
        <v>926</v>
      </c>
      <c r="G61" s="333" t="str">
        <f>IF(ROUND(G60,0)='NITS Pg 4 of 5'!J12,"ok","err on NITS pg 4")</f>
        <v>ok</v>
      </c>
    </row>
    <row r="62" spans="1:8">
      <c r="F62" s="332" t="s">
        <v>927</v>
      </c>
      <c r="G62" s="333" t="str">
        <f>IF(ROUND(G60,0)='PTP Pg 4 of 5'!J12,"ok","err on PTP pg 4")</f>
        <v>ok</v>
      </c>
    </row>
    <row r="63" spans="1:8">
      <c r="B63" s="293"/>
    </row>
    <row r="64" spans="1:8" s="296" customFormat="1">
      <c r="A64" s="297"/>
      <c r="B64" s="295"/>
      <c r="C64" s="295"/>
      <c r="D64" s="295"/>
      <c r="E64" s="295"/>
      <c r="F64" s="295"/>
      <c r="G64" s="295"/>
      <c r="H64" s="295"/>
    </row>
    <row r="65" spans="1:8" s="296" customFormat="1">
      <c r="A65" s="294"/>
      <c r="B65" s="295"/>
      <c r="C65" s="295"/>
      <c r="D65" s="295"/>
      <c r="E65" s="295"/>
      <c r="F65" s="295"/>
      <c r="G65" s="295"/>
      <c r="H65" s="295"/>
    </row>
    <row r="66" spans="1:8" s="296" customFormat="1">
      <c r="A66" s="298"/>
      <c r="B66" s="295"/>
      <c r="C66" s="295"/>
      <c r="D66" s="295"/>
      <c r="E66" s="295"/>
      <c r="F66" s="295"/>
      <c r="G66" s="295"/>
      <c r="H66" s="295"/>
    </row>
    <row r="67" spans="1:8" s="296" customFormat="1">
      <c r="A67" s="299"/>
      <c r="B67" s="300"/>
      <c r="C67" s="300"/>
      <c r="D67" s="300"/>
      <c r="E67" s="300"/>
      <c r="F67" s="300"/>
      <c r="G67" s="300"/>
      <c r="H67" s="300"/>
    </row>
    <row r="68" spans="1:8" s="296" customFormat="1">
      <c r="A68" s="299"/>
      <c r="B68" s="301"/>
      <c r="C68" s="301"/>
      <c r="D68" s="301"/>
      <c r="E68" s="301"/>
      <c r="F68" s="302"/>
      <c r="G68" s="301"/>
    </row>
    <row r="69" spans="1:8" s="296" customFormat="1">
      <c r="A69" s="299"/>
      <c r="B69" s="300"/>
      <c r="C69" s="300"/>
      <c r="D69" s="300"/>
      <c r="E69" s="300"/>
      <c r="F69" s="302"/>
      <c r="G69" s="300"/>
    </row>
    <row r="70" spans="1:8" s="296" customFormat="1">
      <c r="A70" s="303"/>
      <c r="B70" s="300"/>
      <c r="C70" s="300"/>
      <c r="D70" s="300"/>
      <c r="E70" s="300"/>
      <c r="F70" s="302"/>
      <c r="G70" s="300"/>
    </row>
    <row r="71" spans="1:8" s="296" customFormat="1">
      <c r="A71" s="299"/>
      <c r="B71" s="300"/>
      <c r="C71" s="300"/>
      <c r="D71" s="300"/>
      <c r="E71" s="300"/>
      <c r="F71" s="302"/>
      <c r="G71" s="300"/>
    </row>
    <row r="72" spans="1:8" s="296" customFormat="1">
      <c r="A72" s="299"/>
      <c r="B72" s="300"/>
      <c r="C72" s="300"/>
      <c r="D72" s="300"/>
      <c r="E72" s="300"/>
      <c r="F72" s="302"/>
      <c r="G72" s="300"/>
    </row>
    <row r="73" spans="1:8" s="296" customFormat="1">
      <c r="A73" s="299"/>
      <c r="B73" s="300"/>
      <c r="C73" s="300"/>
      <c r="D73" s="300"/>
      <c r="E73" s="300"/>
      <c r="F73" s="302"/>
      <c r="G73" s="300"/>
    </row>
    <row r="74" spans="1:8" s="296" customFormat="1">
      <c r="A74" s="299"/>
      <c r="B74" s="300"/>
      <c r="C74" s="300"/>
      <c r="D74" s="300"/>
      <c r="E74" s="300"/>
      <c r="F74" s="302"/>
      <c r="G74" s="300"/>
    </row>
    <row r="75" spans="1:8" s="296" customFormat="1">
      <c r="A75" s="299"/>
      <c r="B75" s="300"/>
      <c r="C75" s="300"/>
      <c r="D75" s="300"/>
      <c r="E75" s="300"/>
      <c r="F75" s="302"/>
      <c r="G75" s="300"/>
    </row>
    <row r="76" spans="1:8" s="296" customFormat="1">
      <c r="A76" s="299"/>
      <c r="B76" s="300"/>
      <c r="C76" s="300"/>
      <c r="D76" s="300"/>
      <c r="E76" s="300"/>
      <c r="F76" s="302"/>
      <c r="G76" s="300"/>
    </row>
    <row r="77" spans="1:8" s="296" customFormat="1">
      <c r="A77" s="299"/>
      <c r="B77" s="300"/>
      <c r="C77" s="300"/>
      <c r="D77" s="300"/>
      <c r="E77" s="300"/>
      <c r="F77" s="302"/>
      <c r="G77" s="300"/>
    </row>
    <row r="78" spans="1:8" s="296" customFormat="1">
      <c r="A78" s="299"/>
      <c r="B78" s="300"/>
      <c r="C78" s="300"/>
      <c r="D78" s="300"/>
      <c r="E78" s="300"/>
      <c r="F78" s="302"/>
      <c r="G78" s="300"/>
    </row>
    <row r="79" spans="1:8" s="296" customFormat="1">
      <c r="A79" s="299"/>
      <c r="B79" s="300"/>
      <c r="C79" s="300"/>
      <c r="D79" s="300"/>
      <c r="E79" s="300"/>
      <c r="F79" s="302"/>
      <c r="G79" s="300"/>
    </row>
    <row r="80" spans="1:8" s="296" customFormat="1">
      <c r="A80" s="299"/>
      <c r="B80" s="300"/>
      <c r="C80" s="300"/>
      <c r="D80" s="300"/>
      <c r="E80" s="300"/>
      <c r="F80" s="302"/>
      <c r="G80" s="300"/>
    </row>
    <row r="81" spans="1:8" s="296" customFormat="1">
      <c r="A81" s="299"/>
      <c r="B81" s="300"/>
      <c r="C81" s="300"/>
      <c r="D81" s="300"/>
      <c r="E81" s="300"/>
      <c r="F81" s="302"/>
      <c r="G81" s="300"/>
    </row>
    <row r="82" spans="1:8" s="296" customFormat="1">
      <c r="A82" s="299"/>
      <c r="B82" s="300"/>
      <c r="C82" s="300"/>
      <c r="D82" s="300"/>
      <c r="E82" s="300"/>
      <c r="F82" s="302"/>
      <c r="G82" s="300"/>
    </row>
    <row r="83" spans="1:8" s="296" customFormat="1">
      <c r="A83" s="299"/>
      <c r="B83" s="300"/>
      <c r="C83" s="300"/>
      <c r="D83" s="300"/>
      <c r="E83" s="300"/>
      <c r="F83" s="302"/>
      <c r="G83" s="300"/>
    </row>
    <row r="84" spans="1:8" s="296" customFormat="1">
      <c r="A84" s="299"/>
      <c r="B84" s="300"/>
      <c r="C84" s="300"/>
      <c r="D84" s="300"/>
      <c r="E84" s="300"/>
      <c r="F84" s="302"/>
      <c r="G84" s="300"/>
    </row>
    <row r="85" spans="1:8" s="296" customFormat="1">
      <c r="A85" s="299"/>
      <c r="B85" s="300"/>
      <c r="C85" s="300"/>
      <c r="D85" s="300"/>
      <c r="E85" s="300"/>
      <c r="F85" s="302"/>
      <c r="G85" s="300"/>
    </row>
    <row r="86" spans="1:8" s="296" customFormat="1">
      <c r="A86" s="299"/>
      <c r="B86" s="300"/>
      <c r="C86" s="300"/>
      <c r="D86" s="300"/>
      <c r="E86" s="300"/>
      <c r="F86" s="302"/>
      <c r="G86" s="300"/>
    </row>
    <row r="87" spans="1:8" s="296" customFormat="1">
      <c r="A87" s="299"/>
      <c r="B87" s="300"/>
      <c r="C87" s="300"/>
      <c r="D87" s="300"/>
      <c r="E87" s="300"/>
      <c r="F87" s="302"/>
      <c r="G87" s="300"/>
    </row>
    <row r="88" spans="1:8" s="296" customFormat="1">
      <c r="A88" s="299"/>
      <c r="B88" s="300"/>
      <c r="C88" s="300"/>
      <c r="D88" s="300"/>
      <c r="E88" s="300"/>
      <c r="F88" s="302"/>
      <c r="G88" s="300"/>
    </row>
    <row r="89" spans="1:8" s="296" customFormat="1">
      <c r="A89" s="299"/>
      <c r="B89" s="300"/>
      <c r="C89" s="300"/>
      <c r="D89" s="300"/>
      <c r="E89" s="300"/>
      <c r="F89" s="302"/>
      <c r="G89" s="300"/>
    </row>
    <row r="90" spans="1:8" s="296" customFormat="1">
      <c r="A90" s="299"/>
      <c r="B90" s="300"/>
      <c r="C90" s="300"/>
      <c r="D90" s="300"/>
      <c r="E90" s="300"/>
      <c r="F90" s="302"/>
      <c r="G90" s="300"/>
    </row>
    <row r="91" spans="1:8" s="296" customFormat="1">
      <c r="A91" s="299"/>
      <c r="B91" s="300"/>
      <c r="C91" s="300"/>
      <c r="D91" s="300"/>
      <c r="E91" s="300"/>
      <c r="F91" s="300"/>
      <c r="G91" s="300"/>
      <c r="H91" s="300"/>
    </row>
  </sheetData>
  <printOptions headings="1"/>
  <pageMargins left="0.7" right="0.7" top="0.75" bottom="0.75" header="0.3" footer="0.3"/>
  <pageSetup scale="58" orientation="landscape" r:id="rId1"/>
  <headerFooter>
    <oddFooter>&amp;L&amp;Z&amp;F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U344"/>
  <sheetViews>
    <sheetView workbookViewId="0"/>
  </sheetViews>
  <sheetFormatPr defaultColWidth="9.33203125" defaultRowHeight="15.7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6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79"/>
      <c r="N1" s="4"/>
      <c r="O1" s="4"/>
      <c r="P1" s="4"/>
    </row>
    <row r="2" spans="1:16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4"/>
      <c r="O2" s="4"/>
      <c r="P2" s="4"/>
    </row>
    <row r="3" spans="1:16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>
      <c r="A5" s="207" t="s">
        <v>187</v>
      </c>
      <c r="B5" s="192"/>
      <c r="C5" s="2"/>
      <c r="E5" s="2"/>
      <c r="F5" s="2"/>
      <c r="G5" s="2"/>
      <c r="H5" s="2"/>
      <c r="I5" s="2"/>
      <c r="J5" s="206" t="s">
        <v>382</v>
      </c>
      <c r="L5" s="192"/>
      <c r="M5" s="4"/>
      <c r="N5" s="4"/>
      <c r="O5" s="4"/>
      <c r="P5" s="4"/>
    </row>
    <row r="6" spans="1:16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4"/>
      <c r="O7" s="4"/>
      <c r="P7" s="4"/>
    </row>
    <row r="8" spans="1:16">
      <c r="A8" s="5"/>
      <c r="C8" s="4"/>
      <c r="D8" s="4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5" t="s">
        <v>1</v>
      </c>
      <c r="C9" s="4"/>
      <c r="D9" s="4"/>
      <c r="E9" s="9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>
      <c r="A10" s="10" t="s">
        <v>3</v>
      </c>
      <c r="C10" s="4"/>
      <c r="D10" s="4"/>
      <c r="E10" s="4"/>
      <c r="F10" s="4"/>
      <c r="G10" s="4"/>
      <c r="H10" s="4"/>
      <c r="I10" s="4"/>
      <c r="J10" s="10" t="s">
        <v>4</v>
      </c>
      <c r="K10" s="4"/>
      <c r="L10" s="4"/>
      <c r="M10" s="4"/>
      <c r="N10" s="4"/>
      <c r="O10" s="4"/>
      <c r="P10" s="4"/>
    </row>
    <row r="11" spans="1:16">
      <c r="A11" s="5">
        <v>1</v>
      </c>
      <c r="C11" s="7" t="s">
        <v>127</v>
      </c>
      <c r="D11" s="186" t="s">
        <v>409</v>
      </c>
      <c r="E11" s="11"/>
      <c r="F11" s="4"/>
      <c r="G11" s="4"/>
      <c r="H11" s="4"/>
      <c r="I11" s="4"/>
      <c r="J11" s="486">
        <f>ROUND('NITS Pg 3 of 5'!$J$56,0)</f>
        <v>139666779</v>
      </c>
      <c r="K11" s="4"/>
      <c r="L11" s="4"/>
      <c r="M11" s="4"/>
      <c r="N11" s="4"/>
      <c r="O11" s="4"/>
      <c r="P11" s="4"/>
    </row>
    <row r="12" spans="1:16">
      <c r="A12" s="5"/>
      <c r="C12" s="4"/>
      <c r="D12" s="4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</row>
    <row r="13" spans="1:16" ht="16.5" thickBot="1">
      <c r="A13" s="5" t="s">
        <v>0</v>
      </c>
      <c r="C13" s="2" t="s">
        <v>5</v>
      </c>
      <c r="D13" s="187" t="s">
        <v>242</v>
      </c>
      <c r="E13" s="10" t="s">
        <v>6</v>
      </c>
      <c r="F13" s="8"/>
      <c r="G13" s="12" t="s">
        <v>7</v>
      </c>
      <c r="H13" s="12"/>
      <c r="I13" s="4"/>
      <c r="J13" s="11"/>
      <c r="K13" s="4"/>
      <c r="L13" s="4"/>
      <c r="M13" s="4"/>
      <c r="N13" s="4"/>
      <c r="O13" s="4"/>
      <c r="P13" s="4"/>
    </row>
    <row r="14" spans="1:16">
      <c r="A14" s="5">
        <v>2</v>
      </c>
      <c r="C14" s="2" t="s">
        <v>8</v>
      </c>
      <c r="D14" s="184" t="s">
        <v>378</v>
      </c>
      <c r="E14" s="487">
        <f>'NITS Pg 4 of 5'!$J$64</f>
        <v>0</v>
      </c>
      <c r="F14" s="8"/>
      <c r="G14" s="8" t="s">
        <v>9</v>
      </c>
      <c r="H14" s="13">
        <f>'NITS Pg 4 of 5'!$J$16</f>
        <v>0.95574999999999999</v>
      </c>
      <c r="I14" s="8"/>
      <c r="J14" s="488">
        <f>ROUND(H14*E14,0)</f>
        <v>0</v>
      </c>
      <c r="K14" s="4"/>
      <c r="L14" s="142"/>
      <c r="M14" s="4"/>
      <c r="N14" s="4"/>
      <c r="O14" s="4"/>
      <c r="P14" s="4"/>
    </row>
    <row r="15" spans="1:16">
      <c r="A15" s="5">
        <v>3</v>
      </c>
      <c r="C15" s="2" t="s">
        <v>10</v>
      </c>
      <c r="D15" s="184" t="s">
        <v>379</v>
      </c>
      <c r="E15" s="489">
        <f>'NITS Pg 4 of 5'!$J$68</f>
        <v>2140641</v>
      </c>
      <c r="F15" s="8"/>
      <c r="G15" s="8" t="str">
        <f t="shared" ref="G15:G17" si="0">+G14</f>
        <v>TP</v>
      </c>
      <c r="H15" s="13">
        <f>'NITS Pg 4 of 5'!$J$16</f>
        <v>0.95574999999999999</v>
      </c>
      <c r="I15" s="8"/>
      <c r="J15" s="490">
        <f t="shared" ref="J15:J17" si="1">ROUND(H15*E15,0)</f>
        <v>2045918</v>
      </c>
      <c r="K15" s="4"/>
      <c r="L15" s="4"/>
      <c r="M15" s="4"/>
      <c r="N15" s="4"/>
      <c r="O15" s="4"/>
      <c r="P15" s="4"/>
    </row>
    <row r="16" spans="1:16">
      <c r="A16" s="5">
        <v>4</v>
      </c>
      <c r="C16" s="14" t="s">
        <v>11</v>
      </c>
      <c r="D16" s="8"/>
      <c r="E16" s="489">
        <v>0</v>
      </c>
      <c r="F16" s="8"/>
      <c r="G16" s="8" t="str">
        <f t="shared" si="0"/>
        <v>TP</v>
      </c>
      <c r="H16" s="13">
        <f>'NITS Pg 4 of 5'!$J$16</f>
        <v>0.95574999999999999</v>
      </c>
      <c r="I16" s="8"/>
      <c r="J16" s="489">
        <f t="shared" si="1"/>
        <v>0</v>
      </c>
      <c r="K16" s="4"/>
      <c r="L16" s="4"/>
      <c r="M16" s="4"/>
      <c r="N16" s="4"/>
      <c r="P16" s="15"/>
    </row>
    <row r="17" spans="1:16" ht="18">
      <c r="A17" s="5">
        <v>5</v>
      </c>
      <c r="C17" s="563" t="s">
        <v>188</v>
      </c>
      <c r="D17" s="564"/>
      <c r="E17" s="489">
        <v>0</v>
      </c>
      <c r="F17" s="8"/>
      <c r="G17" s="8" t="str">
        <f t="shared" si="0"/>
        <v>TP</v>
      </c>
      <c r="H17" s="13">
        <f>'NITS Pg 4 of 5'!$J$16</f>
        <v>0.95574999999999999</v>
      </c>
      <c r="I17" s="8"/>
      <c r="J17" s="491">
        <f t="shared" si="1"/>
        <v>0</v>
      </c>
      <c r="K17" s="243"/>
      <c r="L17" s="4"/>
      <c r="M17" s="4"/>
      <c r="N17" s="4"/>
      <c r="P17" s="15"/>
    </row>
    <row r="18" spans="1:16">
      <c r="A18" s="5">
        <v>6</v>
      </c>
      <c r="C18" s="7" t="s">
        <v>128</v>
      </c>
      <c r="D18" s="185" t="s">
        <v>243</v>
      </c>
      <c r="E18" s="17" t="s">
        <v>0</v>
      </c>
      <c r="F18" s="8"/>
      <c r="G18" s="8"/>
      <c r="H18" s="13"/>
      <c r="I18" s="8"/>
      <c r="J18" s="492">
        <f>ROUND(SUM(J14:J17),0)</f>
        <v>2045918</v>
      </c>
      <c r="K18" s="4"/>
      <c r="L18" s="4"/>
      <c r="M18" s="4"/>
      <c r="N18" s="4"/>
      <c r="P18" s="4"/>
    </row>
    <row r="19" spans="1:16">
      <c r="A19" s="5"/>
      <c r="C19" s="2"/>
      <c r="D19" s="4"/>
      <c r="J19" s="8"/>
      <c r="K19" s="4"/>
      <c r="L19" s="4"/>
      <c r="M19" s="4"/>
      <c r="N19" s="4"/>
      <c r="P19" s="4"/>
    </row>
    <row r="20" spans="1:16" ht="18">
      <c r="A20" s="5">
        <v>7</v>
      </c>
      <c r="C20" s="2" t="s">
        <v>12</v>
      </c>
      <c r="D20" s="185" t="s">
        <v>244</v>
      </c>
      <c r="E20" s="17" t="s">
        <v>0</v>
      </c>
      <c r="F20" s="8"/>
      <c r="G20" s="8"/>
      <c r="H20" s="8"/>
      <c r="I20" s="8"/>
      <c r="J20" s="523">
        <f>J11-J18-190151</f>
        <v>137430710</v>
      </c>
      <c r="K20" s="4"/>
      <c r="L20" s="4"/>
      <c r="M20" s="4"/>
      <c r="N20" s="4"/>
      <c r="P20" s="4"/>
    </row>
    <row r="21" spans="1:16">
      <c r="A21" s="5"/>
      <c r="D21" s="4"/>
      <c r="E21" s="17"/>
      <c r="F21" s="8"/>
      <c r="G21" s="8"/>
      <c r="H21" s="8"/>
      <c r="I21" s="8"/>
      <c r="K21" s="4"/>
      <c r="L21" s="4"/>
      <c r="M21" s="4"/>
      <c r="N21" s="4"/>
      <c r="P21" s="4"/>
    </row>
    <row r="22" spans="1:16">
      <c r="A22" s="5"/>
      <c r="C22" s="2" t="s">
        <v>13</v>
      </c>
      <c r="D22" s="4"/>
      <c r="E22" s="11"/>
      <c r="F22" s="4"/>
      <c r="G22" s="4"/>
      <c r="H22" s="4"/>
      <c r="I22" s="4"/>
      <c r="J22" s="11"/>
      <c r="K22" s="4"/>
      <c r="L22" s="4"/>
      <c r="M22" s="4"/>
      <c r="N22" s="4"/>
      <c r="P22" s="4"/>
    </row>
    <row r="23" spans="1:16">
      <c r="A23" s="5">
        <v>8</v>
      </c>
      <c r="C23" s="7" t="s">
        <v>133</v>
      </c>
      <c r="E23" s="11"/>
      <c r="F23" s="185" t="s">
        <v>245</v>
      </c>
      <c r="G23" s="4"/>
      <c r="H23" s="185"/>
      <c r="I23" s="4"/>
      <c r="J23" s="493">
        <f>'OATT Input Data'!$E$25</f>
        <v>5778000</v>
      </c>
      <c r="K23" s="4"/>
      <c r="L23" s="4"/>
      <c r="M23" s="4"/>
      <c r="P23" s="18"/>
    </row>
    <row r="24" spans="1:16">
      <c r="A24" s="5">
        <v>9</v>
      </c>
      <c r="C24" s="7" t="s">
        <v>134</v>
      </c>
      <c r="D24" s="8"/>
      <c r="E24" s="8"/>
      <c r="F24" s="187" t="s">
        <v>246</v>
      </c>
      <c r="G24" s="8"/>
      <c r="H24" s="187"/>
      <c r="I24" s="8"/>
      <c r="J24" s="493">
        <f>'OATT Input Data'!$E$43</f>
        <v>0</v>
      </c>
      <c r="K24" s="4"/>
      <c r="L24" s="4"/>
      <c r="M24" s="4"/>
      <c r="O24" s="4"/>
      <c r="P24" s="4"/>
    </row>
    <row r="25" spans="1:16">
      <c r="A25" s="5">
        <v>10</v>
      </c>
      <c r="C25" s="81" t="s">
        <v>135</v>
      </c>
      <c r="D25" s="4"/>
      <c r="E25" s="4"/>
      <c r="F25" s="184" t="s">
        <v>247</v>
      </c>
      <c r="H25" s="185"/>
      <c r="I25" s="4"/>
      <c r="J25" s="493">
        <f>'OATT Input Data'!$F$61</f>
        <v>678000</v>
      </c>
      <c r="K25" s="4"/>
      <c r="L25" s="4"/>
      <c r="M25" s="4"/>
      <c r="O25" s="4"/>
      <c r="P25" s="4"/>
    </row>
    <row r="26" spans="1:16">
      <c r="A26" s="5">
        <v>11</v>
      </c>
      <c r="C26" s="7" t="s">
        <v>136</v>
      </c>
      <c r="D26" s="4"/>
      <c r="E26" s="4"/>
      <c r="F26" s="185" t="s">
        <v>248</v>
      </c>
      <c r="H26" s="185"/>
      <c r="I26" s="4"/>
      <c r="J26" s="489">
        <f>'OATT Input Data'!$E$79*-1</f>
        <v>0</v>
      </c>
      <c r="K26" s="4"/>
      <c r="L26" s="4"/>
      <c r="M26" s="4"/>
      <c r="O26" s="4"/>
      <c r="P26" s="4"/>
    </row>
    <row r="27" spans="1:16">
      <c r="A27" s="5">
        <v>12</v>
      </c>
      <c r="C27" s="81" t="s">
        <v>137</v>
      </c>
      <c r="D27" s="4"/>
      <c r="E27" s="4"/>
      <c r="F27" s="4"/>
      <c r="G27" s="4"/>
      <c r="H27" s="178"/>
      <c r="I27" s="4"/>
      <c r="J27" s="493">
        <f>'OATT Input Data'!$E$98</f>
        <v>609500</v>
      </c>
      <c r="K27" s="4"/>
      <c r="L27" s="4"/>
      <c r="M27" s="4"/>
      <c r="O27" s="4"/>
      <c r="P27" s="4"/>
    </row>
    <row r="28" spans="1:16">
      <c r="A28" s="5">
        <v>13</v>
      </c>
      <c r="C28" s="81" t="s">
        <v>168</v>
      </c>
      <c r="D28" s="4"/>
      <c r="E28" s="4"/>
      <c r="F28" s="4"/>
      <c r="G28" s="4"/>
      <c r="H28" s="4"/>
      <c r="I28" s="4"/>
      <c r="J28" s="489">
        <v>0</v>
      </c>
      <c r="K28" s="4"/>
      <c r="L28" s="4"/>
      <c r="M28" s="4"/>
      <c r="O28" s="4"/>
      <c r="P28" s="4"/>
    </row>
    <row r="29" spans="1:16" ht="18">
      <c r="A29" s="5">
        <v>14</v>
      </c>
      <c r="C29" s="81" t="s">
        <v>189</v>
      </c>
      <c r="D29" s="4"/>
      <c r="E29" s="4"/>
      <c r="F29" s="4"/>
      <c r="G29" s="4"/>
      <c r="H29" s="4"/>
      <c r="I29" s="4"/>
      <c r="J29" s="494">
        <f>'OATT Input Data'!$E$105*-1</f>
        <v>-427000</v>
      </c>
      <c r="K29" s="4"/>
      <c r="L29" s="4"/>
      <c r="M29" s="4"/>
      <c r="O29" s="4"/>
      <c r="P29" s="4"/>
    </row>
    <row r="30" spans="1:16">
      <c r="A30" s="5">
        <v>15</v>
      </c>
      <c r="C30" s="7" t="s">
        <v>289</v>
      </c>
      <c r="D30" s="185" t="s">
        <v>288</v>
      </c>
      <c r="E30" s="4"/>
      <c r="F30" s="4"/>
      <c r="G30" s="4"/>
      <c r="H30" s="4"/>
      <c r="I30" s="4"/>
      <c r="J30" s="493">
        <f>ROUND(SUM(J23:J29),0)</f>
        <v>6638500</v>
      </c>
      <c r="K30" s="4"/>
      <c r="L30" s="4"/>
      <c r="M30" s="4"/>
      <c r="N30" s="4"/>
      <c r="O30" s="4"/>
      <c r="P30" s="4"/>
    </row>
    <row r="31" spans="1:16">
      <c r="A31" s="5"/>
      <c r="C31" s="2"/>
      <c r="D31" s="4"/>
      <c r="E31" s="4"/>
      <c r="F31" s="4"/>
      <c r="G31" s="4"/>
      <c r="H31" s="4"/>
      <c r="I31" s="4"/>
      <c r="J31" s="11"/>
      <c r="K31" s="4"/>
      <c r="L31" s="4"/>
      <c r="M31" s="4"/>
      <c r="O31" s="4"/>
      <c r="P31" s="4"/>
    </row>
    <row r="32" spans="1:16" ht="21">
      <c r="A32" s="5">
        <v>16</v>
      </c>
      <c r="C32" s="19" t="s">
        <v>14</v>
      </c>
      <c r="D32" s="203" t="s">
        <v>295</v>
      </c>
      <c r="E32" s="204">
        <f>IF(J30&gt;0.01,ROUND(J20/J30,3),0.0001)</f>
        <v>20.702000000000002</v>
      </c>
      <c r="F32" s="22"/>
      <c r="G32" s="4"/>
      <c r="H32" s="4"/>
      <c r="I32" s="4"/>
      <c r="K32" s="4"/>
      <c r="L32" s="4"/>
      <c r="M32" s="4"/>
      <c r="N32" s="4"/>
      <c r="O32" s="4"/>
      <c r="P32" s="4"/>
    </row>
    <row r="33" spans="1:16">
      <c r="A33" s="5">
        <v>17</v>
      </c>
      <c r="C33" s="31" t="s">
        <v>301</v>
      </c>
      <c r="D33" s="203" t="s">
        <v>296</v>
      </c>
      <c r="E33" s="204">
        <f>E32/12</f>
        <v>1.7251666666666667</v>
      </c>
      <c r="G33" s="23"/>
      <c r="H33" s="24"/>
      <c r="I33" s="4"/>
      <c r="K33" s="4"/>
      <c r="L33" s="4"/>
      <c r="M33" s="4"/>
      <c r="N33" s="24"/>
      <c r="O33" s="4"/>
      <c r="P33" s="4"/>
    </row>
    <row r="34" spans="1:16">
      <c r="A34" s="5"/>
      <c r="C34" s="31"/>
      <c r="D34" s="203"/>
      <c r="E34" s="204"/>
      <c r="G34" s="23"/>
      <c r="H34" s="24"/>
      <c r="I34" s="4"/>
      <c r="K34" s="4"/>
      <c r="L34" s="4"/>
      <c r="M34" s="4"/>
      <c r="N34" s="24"/>
      <c r="O34" s="4"/>
      <c r="P34" s="4"/>
    </row>
    <row r="35" spans="1:16">
      <c r="A35" s="5"/>
      <c r="C35" s="19"/>
      <c r="D35" s="20"/>
      <c r="E35" s="21"/>
      <c r="F35" s="24"/>
      <c r="G35" s="4"/>
      <c r="H35" s="4"/>
      <c r="I35" s="4"/>
      <c r="K35" s="4"/>
      <c r="L35" s="4"/>
      <c r="M35" s="4"/>
      <c r="N35" s="4"/>
      <c r="O35" s="4"/>
      <c r="P35" s="4"/>
    </row>
    <row r="36" spans="1:16">
      <c r="A36" s="5">
        <v>18</v>
      </c>
      <c r="C36" s="14" t="s">
        <v>131</v>
      </c>
      <c r="D36" s="27"/>
      <c r="E36" s="21"/>
      <c r="F36" s="4"/>
      <c r="G36" s="4"/>
      <c r="H36" s="4"/>
      <c r="I36" s="4"/>
      <c r="J36" s="28"/>
      <c r="K36" s="4"/>
      <c r="L36" s="4"/>
      <c r="M36" s="4"/>
      <c r="N36" s="4"/>
      <c r="O36" s="4"/>
      <c r="P36" s="4"/>
    </row>
    <row r="37" spans="1:16">
      <c r="A37" s="5">
        <v>19</v>
      </c>
      <c r="C37" s="14" t="s">
        <v>131</v>
      </c>
      <c r="D37" s="27"/>
      <c r="E37" s="21"/>
      <c r="F37" s="4"/>
      <c r="H37" s="4"/>
      <c r="I37" s="4"/>
      <c r="J37" s="28"/>
      <c r="K37" s="4"/>
      <c r="L37" s="4"/>
      <c r="M37" s="4"/>
      <c r="N37" s="4"/>
      <c r="O37" s="4"/>
      <c r="P37" s="4"/>
    </row>
    <row r="38" spans="1:16">
      <c r="A38" s="5">
        <v>20</v>
      </c>
      <c r="C38" s="14" t="s">
        <v>131</v>
      </c>
      <c r="D38" s="27"/>
      <c r="E38" s="21"/>
      <c r="F38" s="4"/>
      <c r="H38" s="4"/>
      <c r="I38" s="4"/>
      <c r="J38" s="28"/>
      <c r="K38" s="4"/>
      <c r="L38" s="4" t="s">
        <v>0</v>
      </c>
      <c r="M38" s="4"/>
      <c r="N38" s="4"/>
      <c r="O38" s="4"/>
      <c r="P38" s="4"/>
    </row>
    <row r="39" spans="1:16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>
      <c r="A40" s="5">
        <v>21</v>
      </c>
      <c r="C40" s="2" t="s">
        <v>15</v>
      </c>
      <c r="D40" s="7" t="s">
        <v>298</v>
      </c>
      <c r="E40" s="495">
        <v>1E-4</v>
      </c>
      <c r="F40" s="208" t="s">
        <v>16</v>
      </c>
      <c r="G40" s="208"/>
      <c r="H40" s="208"/>
      <c r="I40" s="208"/>
      <c r="J40" s="495">
        <v>1E-4</v>
      </c>
      <c r="K40" s="529"/>
      <c r="L40" s="4"/>
      <c r="M40" s="4"/>
      <c r="N40" s="4"/>
      <c r="O40" s="4"/>
      <c r="P40" s="4"/>
    </row>
    <row r="41" spans="1:16">
      <c r="A41" s="5">
        <v>22</v>
      </c>
      <c r="C41" s="2"/>
      <c r="D41" s="4"/>
      <c r="E41" s="495">
        <v>1E-4</v>
      </c>
      <c r="F41" s="208" t="s">
        <v>17</v>
      </c>
      <c r="G41" s="208"/>
      <c r="H41" s="208"/>
      <c r="I41" s="208"/>
      <c r="J41" s="495">
        <v>1E-4</v>
      </c>
      <c r="K41" s="529"/>
      <c r="L41" s="4"/>
      <c r="M41" s="4"/>
      <c r="N41" s="4"/>
      <c r="O41" s="4"/>
      <c r="P41" s="4"/>
    </row>
    <row r="42" spans="1:16">
      <c r="K42" s="4"/>
      <c r="L42" s="4"/>
      <c r="M42" s="4"/>
      <c r="N42" s="4"/>
      <c r="O42" s="4"/>
      <c r="P42" s="4"/>
    </row>
    <row r="43" spans="1:16">
      <c r="A43" s="29"/>
      <c r="B43" s="30"/>
      <c r="C43" s="31"/>
      <c r="D43" s="30"/>
      <c r="E43" s="30"/>
      <c r="F43" s="30"/>
      <c r="G43" s="30"/>
      <c r="H43" s="30"/>
      <c r="I43" s="30"/>
      <c r="J43" s="14"/>
      <c r="K43" s="20"/>
      <c r="L43" s="20"/>
      <c r="M43" s="20"/>
      <c r="N43" s="4"/>
      <c r="O43" s="4"/>
      <c r="P43" s="4"/>
    </row>
    <row r="44" spans="1:16">
      <c r="A44" s="29"/>
      <c r="B44" s="30"/>
      <c r="C44" s="31"/>
      <c r="D44" s="20"/>
      <c r="E44" s="20"/>
      <c r="F44" s="20"/>
      <c r="G44" s="20"/>
      <c r="H44" s="20"/>
      <c r="I44" s="20"/>
      <c r="J44" s="32"/>
      <c r="K44" s="20"/>
      <c r="L44" s="20"/>
      <c r="M44" s="20"/>
      <c r="N44" s="4"/>
      <c r="O44" s="4"/>
      <c r="P44" s="4"/>
    </row>
    <row r="45" spans="1:16">
      <c r="A45" s="29"/>
      <c r="B45" s="30"/>
      <c r="C45" s="19"/>
      <c r="D45" s="20"/>
      <c r="E45" s="20"/>
      <c r="F45" s="20"/>
      <c r="G45" s="20"/>
      <c r="H45" s="20"/>
      <c r="I45" s="20"/>
      <c r="J45" s="33"/>
      <c r="K45" s="20"/>
      <c r="L45" s="20"/>
      <c r="M45" s="20"/>
      <c r="N45" s="4"/>
      <c r="O45" s="4"/>
      <c r="P45" s="4"/>
    </row>
    <row r="46" spans="1:16">
      <c r="A46" s="29"/>
      <c r="B46" s="30"/>
      <c r="C46" s="31"/>
      <c r="D46" s="20"/>
      <c r="E46" s="20"/>
      <c r="F46" s="20"/>
      <c r="G46" s="20"/>
      <c r="H46" s="20"/>
      <c r="I46" s="20"/>
      <c r="J46" s="33"/>
      <c r="K46" s="20"/>
      <c r="L46" s="20"/>
      <c r="M46" s="20"/>
      <c r="N46" s="4"/>
      <c r="O46" s="4"/>
      <c r="P46" s="34"/>
    </row>
    <row r="47" spans="1:16" s="30" customFormat="1">
      <c r="A47" s="29"/>
      <c r="C47" s="31"/>
      <c r="D47" s="19"/>
      <c r="E47" s="27"/>
      <c r="F47" s="19"/>
      <c r="G47" s="19"/>
      <c r="H47" s="19"/>
      <c r="I47" s="20"/>
      <c r="J47" s="33"/>
      <c r="K47" s="29"/>
      <c r="L47" s="29"/>
      <c r="M47" s="525"/>
      <c r="N47" s="20"/>
      <c r="O47" s="35"/>
      <c r="P47" s="36"/>
    </row>
    <row r="48" spans="1:16" s="30" customFormat="1">
      <c r="A48" s="29"/>
      <c r="C48" s="31"/>
      <c r="D48" s="20"/>
      <c r="E48" s="20"/>
      <c r="F48" s="20"/>
      <c r="G48" s="20"/>
      <c r="H48" s="20"/>
      <c r="I48" s="20"/>
      <c r="J48" s="33"/>
      <c r="K48" s="525"/>
      <c r="L48" s="525"/>
      <c r="M48" s="525"/>
      <c r="N48" s="20"/>
      <c r="O48" s="20"/>
      <c r="P48" s="37"/>
    </row>
    <row r="49" spans="1:21" s="30" customFormat="1">
      <c r="A49" s="29"/>
      <c r="C49" s="31"/>
      <c r="D49" s="19"/>
      <c r="E49" s="27"/>
      <c r="F49" s="19"/>
      <c r="G49" s="19"/>
      <c r="H49" s="19"/>
      <c r="I49" s="20"/>
      <c r="J49" s="38"/>
      <c r="K49" s="562"/>
      <c r="L49" s="562"/>
      <c r="M49" s="562"/>
      <c r="N49" s="20"/>
      <c r="O49" s="20"/>
      <c r="P49" s="36"/>
    </row>
    <row r="50" spans="1:21" s="30" customFormat="1">
      <c r="A50" s="29"/>
      <c r="C50" s="31"/>
      <c r="D50" s="19"/>
      <c r="E50" s="27"/>
      <c r="F50" s="19"/>
      <c r="G50" s="19"/>
      <c r="H50" s="19"/>
      <c r="I50" s="20"/>
      <c r="J50" s="39"/>
      <c r="K50" s="525"/>
      <c r="L50" s="525"/>
      <c r="M50" s="525"/>
      <c r="N50" s="20"/>
      <c r="O50" s="20"/>
      <c r="P50" s="36"/>
    </row>
    <row r="51" spans="1:21" s="30" customFormat="1">
      <c r="A51" s="29"/>
      <c r="C51" s="31"/>
      <c r="D51" s="19"/>
      <c r="E51" s="27"/>
      <c r="F51" s="19"/>
      <c r="G51" s="19"/>
      <c r="H51" s="19"/>
      <c r="I51" s="20"/>
      <c r="J51" s="33"/>
      <c r="K51" s="525"/>
      <c r="L51" s="525"/>
      <c r="M51" s="525"/>
      <c r="N51" s="20"/>
      <c r="O51" s="20"/>
      <c r="P51" s="36"/>
    </row>
    <row r="52" spans="1:21" s="30" customFormat="1">
      <c r="A52" s="29"/>
      <c r="C52" s="31"/>
      <c r="D52" s="19"/>
      <c r="E52" s="27"/>
      <c r="F52" s="19"/>
      <c r="G52" s="19"/>
      <c r="H52" s="19"/>
      <c r="I52" s="20"/>
      <c r="J52" s="40"/>
      <c r="K52" s="20"/>
      <c r="L52" s="562"/>
      <c r="M52" s="562"/>
      <c r="N52" s="20"/>
      <c r="O52" s="20"/>
      <c r="P52" s="36"/>
    </row>
    <row r="53" spans="1:21" s="30" customFormat="1">
      <c r="C53" s="19"/>
      <c r="D53" s="19"/>
      <c r="E53" s="27"/>
      <c r="F53" s="19"/>
      <c r="G53" s="19"/>
      <c r="H53" s="19"/>
      <c r="I53" s="20"/>
      <c r="J53" s="20"/>
      <c r="K53" s="20"/>
      <c r="L53" s="525"/>
      <c r="M53" s="525"/>
      <c r="N53" s="20"/>
      <c r="O53" s="20"/>
      <c r="P53" s="37"/>
    </row>
    <row r="54" spans="1:21" s="30" customFormat="1" ht="21">
      <c r="A54" s="29"/>
      <c r="C54" s="19"/>
      <c r="D54" s="31"/>
      <c r="E54" s="21"/>
      <c r="F54" s="41"/>
      <c r="G54" s="20"/>
      <c r="H54" s="20"/>
      <c r="I54" s="20"/>
      <c r="K54" s="20"/>
      <c r="L54" s="20"/>
      <c r="M54" s="20"/>
      <c r="N54" s="20"/>
      <c r="O54" s="20"/>
      <c r="P54" s="20"/>
    </row>
    <row r="55" spans="1:21" s="30" customFormat="1">
      <c r="A55" s="29"/>
      <c r="C55" s="19"/>
      <c r="D55" s="31"/>
      <c r="E55" s="21"/>
      <c r="G55" s="42"/>
      <c r="H55" s="21"/>
      <c r="I55" s="20"/>
      <c r="K55" s="43"/>
      <c r="M55" s="44"/>
      <c r="N55" s="44"/>
      <c r="O55" s="44"/>
      <c r="P55" s="29"/>
      <c r="Q55" s="45"/>
      <c r="R55" s="46"/>
      <c r="S55" s="46"/>
      <c r="T55" s="46"/>
      <c r="U55" s="46"/>
    </row>
    <row r="56" spans="1:21" s="30" customFormat="1">
      <c r="A56" s="29"/>
      <c r="C56" s="19"/>
      <c r="D56" s="20"/>
      <c r="E56" s="21"/>
      <c r="F56" s="21"/>
      <c r="G56" s="20"/>
      <c r="H56" s="20"/>
      <c r="I56" s="20"/>
      <c r="K56" s="44"/>
      <c r="M56" s="44"/>
      <c r="N56" s="44"/>
      <c r="O56" s="44"/>
      <c r="P56" s="29"/>
      <c r="Q56" s="45"/>
      <c r="R56" s="46"/>
      <c r="S56" s="46"/>
      <c r="T56" s="46"/>
      <c r="U56" s="46"/>
    </row>
    <row r="57" spans="1:21" s="30" customFormat="1">
      <c r="A57" s="29"/>
      <c r="C57" s="19"/>
      <c r="D57" s="20"/>
      <c r="E57" s="25"/>
      <c r="F57" s="20"/>
      <c r="G57" s="20"/>
      <c r="H57" s="20"/>
      <c r="I57" s="20"/>
      <c r="J57" s="45"/>
      <c r="K57" s="44"/>
      <c r="M57" s="44"/>
      <c r="N57" s="44"/>
      <c r="O57" s="43"/>
      <c r="P57" s="47"/>
      <c r="Q57" s="47"/>
      <c r="R57" s="46"/>
      <c r="S57" s="46"/>
      <c r="T57" s="46"/>
      <c r="U57" s="46"/>
    </row>
    <row r="58" spans="1:21" s="30" customFormat="1">
      <c r="A58" s="29"/>
      <c r="C58" s="19"/>
      <c r="D58" s="20"/>
      <c r="E58" s="21"/>
      <c r="F58" s="20"/>
      <c r="G58" s="20"/>
      <c r="H58" s="20"/>
      <c r="I58" s="20"/>
      <c r="K58" s="43"/>
      <c r="M58" s="44"/>
      <c r="N58" s="44"/>
      <c r="O58" s="43"/>
      <c r="P58" s="47"/>
      <c r="Q58" s="47"/>
      <c r="R58" s="46"/>
      <c r="S58" s="46"/>
      <c r="T58" s="46"/>
      <c r="U58" s="46"/>
    </row>
    <row r="59" spans="1:21" s="30" customFormat="1">
      <c r="A59" s="29"/>
      <c r="C59" s="19"/>
      <c r="D59" s="27"/>
      <c r="E59" s="21"/>
      <c r="F59" s="20"/>
      <c r="G59" s="20"/>
      <c r="H59" s="20"/>
      <c r="I59" s="20"/>
      <c r="J59" s="48"/>
      <c r="M59" s="44"/>
      <c r="N59" s="44"/>
      <c r="O59" s="43"/>
      <c r="P59" s="47"/>
      <c r="Q59" s="47"/>
      <c r="R59" s="46"/>
      <c r="S59" s="46"/>
      <c r="T59" s="46"/>
      <c r="U59" s="46"/>
    </row>
    <row r="60" spans="1:21" s="30" customFormat="1">
      <c r="A60" s="29"/>
      <c r="C60" s="19"/>
      <c r="D60" s="27"/>
      <c r="E60" s="21"/>
      <c r="F60" s="20"/>
      <c r="H60" s="20"/>
      <c r="I60" s="20"/>
      <c r="J60" s="48"/>
      <c r="L60" s="44"/>
      <c r="M60" s="44"/>
      <c r="N60" s="44"/>
      <c r="O60" s="43"/>
      <c r="P60" s="44"/>
      <c r="Q60" s="44"/>
      <c r="R60" s="49"/>
      <c r="S60" s="46"/>
      <c r="T60" s="49"/>
      <c r="U60" s="49"/>
    </row>
    <row r="61" spans="1:21" s="30" customFormat="1">
      <c r="A61" s="29"/>
      <c r="C61" s="19"/>
      <c r="D61" s="27"/>
      <c r="E61" s="21"/>
      <c r="F61" s="20"/>
      <c r="H61" s="20"/>
      <c r="I61" s="20"/>
      <c r="J61" s="48"/>
      <c r="K61" s="20"/>
      <c r="L61" s="20"/>
      <c r="M61" s="44"/>
      <c r="N61" s="50"/>
      <c r="P61" s="47"/>
      <c r="Q61" s="51"/>
    </row>
    <row r="62" spans="1:21" s="30" customFormat="1">
      <c r="A62" s="29"/>
      <c r="C62" s="19"/>
      <c r="D62" s="20"/>
      <c r="E62" s="20"/>
      <c r="F62" s="20"/>
      <c r="H62" s="20"/>
      <c r="I62" s="20"/>
      <c r="K62" s="29"/>
      <c r="O62" s="44"/>
      <c r="P62" s="44"/>
      <c r="Q62" s="44"/>
    </row>
    <row r="63" spans="1:21" s="30" customFormat="1">
      <c r="A63" s="29"/>
      <c r="C63" s="19"/>
      <c r="D63" s="20"/>
      <c r="E63" s="20"/>
      <c r="F63" s="20"/>
      <c r="G63" s="20"/>
      <c r="H63" s="52"/>
      <c r="I63" s="53"/>
      <c r="O63" s="44"/>
      <c r="P63" s="54"/>
      <c r="Q63" s="50"/>
    </row>
    <row r="64" spans="1:21" s="30" customFormat="1">
      <c r="A64" s="29"/>
      <c r="D64" s="20"/>
      <c r="E64" s="20"/>
      <c r="G64" s="20"/>
      <c r="I64" s="53"/>
      <c r="J64" s="55"/>
      <c r="K64" s="56"/>
      <c r="O64" s="44"/>
      <c r="P64" s="19"/>
    </row>
    <row r="65" spans="1:17" s="30" customFormat="1">
      <c r="A65" s="29"/>
      <c r="D65" s="20"/>
      <c r="F65" s="20"/>
      <c r="G65" s="20"/>
      <c r="H65" s="20"/>
      <c r="I65" s="20"/>
      <c r="J65" s="55"/>
      <c r="K65" s="56"/>
      <c r="O65" s="44"/>
      <c r="P65" s="19"/>
    </row>
    <row r="66" spans="1:17" s="30" customFormat="1">
      <c r="A66" s="29"/>
      <c r="D66" s="20"/>
      <c r="F66" s="20"/>
      <c r="G66" s="20"/>
      <c r="H66" s="20"/>
      <c r="I66" s="20"/>
      <c r="J66" s="55"/>
      <c r="K66" s="56"/>
      <c r="O66" s="44"/>
      <c r="P66" s="19"/>
    </row>
    <row r="67" spans="1:17" s="30" customFormat="1">
      <c r="A67" s="29"/>
      <c r="D67" s="20"/>
      <c r="F67" s="20"/>
      <c r="G67" s="20"/>
      <c r="H67" s="57"/>
      <c r="I67" s="20"/>
      <c r="J67" s="58"/>
      <c r="L67" s="59"/>
      <c r="M67" s="44"/>
      <c r="N67" s="50"/>
      <c r="O67" s="44"/>
      <c r="P67" s="19"/>
    </row>
    <row r="68" spans="1:17" s="30" customFormat="1">
      <c r="A68" s="29"/>
      <c r="C68" s="19"/>
      <c r="D68" s="20"/>
      <c r="F68" s="20"/>
      <c r="G68" s="20"/>
      <c r="H68" s="21"/>
      <c r="I68" s="20"/>
      <c r="J68" s="58"/>
      <c r="L68" s="59"/>
      <c r="M68" s="44"/>
      <c r="N68" s="50"/>
      <c r="O68" s="44"/>
      <c r="P68" s="19"/>
    </row>
    <row r="69" spans="1:17" s="30" customFormat="1">
      <c r="A69" s="29"/>
      <c r="D69" s="20"/>
      <c r="E69" s="20"/>
      <c r="F69" s="20"/>
      <c r="G69" s="20"/>
      <c r="H69" s="20"/>
      <c r="I69" s="20"/>
      <c r="J69" s="58"/>
      <c r="L69" s="59"/>
      <c r="M69" s="44"/>
      <c r="N69" s="50"/>
      <c r="O69" s="44"/>
      <c r="P69" s="60"/>
    </row>
    <row r="70" spans="1:17" s="30" customFormat="1">
      <c r="C70" s="19"/>
      <c r="D70" s="20"/>
      <c r="E70" s="20"/>
      <c r="F70" s="20"/>
      <c r="G70" s="20"/>
      <c r="H70" s="20"/>
      <c r="I70" s="20"/>
      <c r="L70" s="61"/>
      <c r="M70" s="44"/>
      <c r="N70" s="50"/>
      <c r="O70" s="20"/>
      <c r="P70" s="50"/>
    </row>
    <row r="71" spans="1:17" s="30" customFormat="1">
      <c r="A71" s="29"/>
      <c r="C71" s="19"/>
      <c r="D71" s="44"/>
      <c r="E71" s="44"/>
      <c r="F71" s="44"/>
      <c r="G71" s="44"/>
      <c r="H71" s="44"/>
      <c r="I71" s="44"/>
      <c r="J71" s="62"/>
      <c r="K71" s="44"/>
      <c r="L71" s="61"/>
      <c r="M71" s="44"/>
      <c r="N71" s="50"/>
      <c r="O71" s="20"/>
      <c r="P71" s="63"/>
      <c r="Q71" s="63"/>
    </row>
    <row r="72" spans="1:17" s="30" customFormat="1">
      <c r="A72" s="29"/>
      <c r="C72" s="19"/>
      <c r="D72" s="20"/>
      <c r="E72" s="20"/>
      <c r="F72" s="20"/>
      <c r="G72" s="20"/>
      <c r="H72" s="20"/>
      <c r="I72" s="20"/>
      <c r="J72" s="62"/>
      <c r="L72" s="64"/>
      <c r="M72" s="20"/>
      <c r="N72" s="29"/>
      <c r="O72" s="20"/>
      <c r="P72" s="60"/>
    </row>
    <row r="73" spans="1:17" s="30" customFormat="1">
      <c r="A73" s="29"/>
      <c r="D73" s="29"/>
      <c r="E73" s="44"/>
      <c r="F73" s="44"/>
      <c r="G73" s="44"/>
      <c r="H73" s="44"/>
      <c r="I73" s="20"/>
      <c r="J73" s="62"/>
      <c r="K73" s="44"/>
      <c r="L73" s="44"/>
      <c r="M73" s="20"/>
      <c r="N73" s="29"/>
      <c r="O73" s="20"/>
      <c r="P73" s="60"/>
    </row>
    <row r="74" spans="1:17" s="30" customFormat="1">
      <c r="C74" s="19"/>
      <c r="D74" s="19"/>
      <c r="E74" s="27"/>
      <c r="F74" s="19"/>
      <c r="G74" s="19"/>
      <c r="H74" s="19"/>
      <c r="I74" s="20"/>
      <c r="J74" s="29"/>
      <c r="K74" s="29"/>
      <c r="L74" s="29"/>
      <c r="M74" s="525"/>
      <c r="N74" s="20"/>
      <c r="O74" s="20"/>
      <c r="P74" s="19"/>
    </row>
    <row r="75" spans="1:17" s="30" customFormat="1">
      <c r="C75" s="19"/>
      <c r="D75" s="19"/>
      <c r="E75" s="27"/>
      <c r="F75" s="19"/>
      <c r="G75" s="19"/>
      <c r="H75" s="19"/>
      <c r="I75" s="20"/>
      <c r="J75" s="525"/>
      <c r="K75" s="525"/>
      <c r="L75" s="525"/>
      <c r="M75" s="525"/>
      <c r="N75" s="20"/>
      <c r="O75" s="20"/>
      <c r="P75" s="20"/>
    </row>
    <row r="76" spans="1:17" s="30" customFormat="1">
      <c r="C76" s="19"/>
      <c r="D76" s="19"/>
      <c r="E76" s="27"/>
      <c r="F76" s="19"/>
      <c r="G76" s="19"/>
      <c r="H76" s="19"/>
      <c r="I76" s="20"/>
      <c r="J76" s="20"/>
      <c r="K76" s="562"/>
      <c r="L76" s="562"/>
      <c r="M76" s="562"/>
      <c r="N76" s="20"/>
      <c r="O76" s="20"/>
      <c r="P76" s="20"/>
    </row>
    <row r="77" spans="1:17" s="30" customFormat="1">
      <c r="C77" s="19"/>
      <c r="D77" s="19"/>
      <c r="E77" s="27"/>
      <c r="F77" s="19"/>
      <c r="G77" s="19"/>
      <c r="H77" s="19"/>
      <c r="I77" s="20"/>
      <c r="J77" s="20"/>
      <c r="K77" s="20"/>
      <c r="L77" s="562"/>
      <c r="M77" s="562"/>
      <c r="N77" s="20"/>
      <c r="O77" s="20"/>
      <c r="P77" s="20"/>
    </row>
    <row r="78" spans="1:17" s="30" customFormat="1">
      <c r="C78" s="19"/>
      <c r="D78" s="19"/>
      <c r="E78" s="27"/>
      <c r="F78" s="19"/>
      <c r="G78" s="19"/>
      <c r="H78" s="19"/>
      <c r="I78" s="20"/>
      <c r="J78" s="20"/>
      <c r="K78" s="20"/>
      <c r="L78" s="525"/>
      <c r="M78" s="525"/>
      <c r="N78" s="20"/>
      <c r="O78" s="20"/>
      <c r="P78" s="20"/>
    </row>
    <row r="79" spans="1:17" s="30" customFormat="1">
      <c r="C79" s="19"/>
      <c r="D79" s="19"/>
      <c r="E79" s="27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</row>
    <row r="80" spans="1:17" s="30" customFormat="1">
      <c r="C80" s="19"/>
      <c r="D80" s="44"/>
      <c r="E80" s="44"/>
      <c r="F80" s="44"/>
      <c r="G80" s="44"/>
      <c r="H80" s="44"/>
      <c r="I80" s="20"/>
      <c r="J80" s="20"/>
      <c r="K80" s="20"/>
      <c r="L80" s="20"/>
      <c r="M80" s="20"/>
      <c r="N80" s="20"/>
      <c r="O80" s="20"/>
      <c r="P80" s="20"/>
    </row>
    <row r="81" spans="1:16" s="30" customFormat="1">
      <c r="A81" s="29"/>
      <c r="B81" s="20"/>
      <c r="D81" s="29"/>
      <c r="E81" s="44"/>
      <c r="F81" s="44"/>
      <c r="G81" s="44"/>
      <c r="H81" s="44"/>
      <c r="I81" s="20"/>
      <c r="J81" s="58"/>
      <c r="L81" s="44"/>
      <c r="M81" s="20"/>
      <c r="N81" s="29"/>
      <c r="O81" s="20"/>
      <c r="P81" s="20"/>
    </row>
    <row r="82" spans="1:16" s="30" customFormat="1">
      <c r="A82" s="29"/>
      <c r="B82" s="20"/>
      <c r="D82" s="29"/>
      <c r="E82" s="44"/>
      <c r="F82" s="44"/>
      <c r="G82" s="44"/>
      <c r="H82" s="44"/>
      <c r="I82" s="20"/>
      <c r="J82" s="58"/>
      <c r="L82" s="44"/>
      <c r="M82" s="20"/>
      <c r="N82" s="29"/>
      <c r="O82" s="20"/>
      <c r="P82" s="20"/>
    </row>
    <row r="83" spans="1:16" s="30" customFormat="1">
      <c r="A83" s="29"/>
      <c r="B83" s="20"/>
      <c r="D83" s="29"/>
      <c r="E83" s="44"/>
      <c r="F83" s="44"/>
      <c r="G83" s="44"/>
      <c r="H83" s="44"/>
      <c r="I83" s="20"/>
      <c r="J83" s="58"/>
      <c r="L83" s="44"/>
      <c r="M83" s="20"/>
      <c r="N83" s="29"/>
      <c r="O83" s="20"/>
      <c r="P83" s="20"/>
    </row>
    <row r="84" spans="1:16" s="30" customFormat="1" ht="21">
      <c r="A84" s="65"/>
      <c r="B84" s="66"/>
      <c r="C84" s="67"/>
      <c r="D84" s="65"/>
      <c r="E84" s="68"/>
      <c r="F84" s="68"/>
      <c r="G84" s="68"/>
      <c r="H84" s="68"/>
      <c r="I84" s="66"/>
      <c r="J84" s="68"/>
      <c r="K84" s="69"/>
      <c r="L84" s="70"/>
      <c r="M84" s="69"/>
      <c r="N84" s="65"/>
      <c r="O84" s="20"/>
      <c r="P84" s="20"/>
    </row>
    <row r="85" spans="1:16" s="30" customFormat="1" ht="21">
      <c r="A85" s="65"/>
      <c r="B85" s="66"/>
      <c r="C85" s="67"/>
      <c r="D85" s="65"/>
      <c r="E85" s="68"/>
      <c r="F85" s="68"/>
      <c r="G85" s="68"/>
      <c r="H85" s="68"/>
      <c r="I85" s="66"/>
      <c r="J85" s="68"/>
      <c r="K85" s="69"/>
      <c r="L85" s="70"/>
      <c r="M85" s="69"/>
      <c r="N85" s="65"/>
      <c r="O85" s="20"/>
      <c r="P85" s="20"/>
    </row>
    <row r="86" spans="1:16" s="30" customFormat="1" ht="21">
      <c r="A86" s="65"/>
      <c r="B86" s="66"/>
      <c r="C86" s="67"/>
      <c r="D86" s="66"/>
      <c r="E86" s="68"/>
      <c r="F86" s="68"/>
      <c r="G86" s="68"/>
      <c r="H86" s="68"/>
      <c r="I86" s="66"/>
      <c r="J86" s="68"/>
      <c r="K86" s="69"/>
      <c r="L86" s="70"/>
      <c r="M86" s="69"/>
      <c r="N86" s="65"/>
      <c r="O86" s="20"/>
      <c r="P86" s="20"/>
    </row>
    <row r="87" spans="1:16" s="30" customFormat="1" ht="21">
      <c r="A87" s="65"/>
      <c r="B87" s="66"/>
      <c r="C87" s="67"/>
      <c r="D87" s="66"/>
      <c r="E87" s="68"/>
      <c r="F87" s="68"/>
      <c r="G87" s="68"/>
      <c r="H87" s="68"/>
      <c r="I87" s="66"/>
      <c r="J87" s="68"/>
      <c r="K87" s="69"/>
      <c r="L87" s="70"/>
      <c r="M87" s="69"/>
      <c r="N87" s="65"/>
      <c r="O87" s="20"/>
      <c r="P87" s="20"/>
    </row>
    <row r="88" spans="1:16" s="30" customFormat="1" ht="21">
      <c r="A88" s="65"/>
      <c r="B88" s="66"/>
      <c r="C88" s="67"/>
      <c r="D88" s="66"/>
      <c r="E88" s="68"/>
      <c r="F88" s="68"/>
      <c r="G88" s="68"/>
      <c r="H88" s="68"/>
      <c r="I88" s="66"/>
      <c r="J88" s="68"/>
      <c r="K88" s="69"/>
      <c r="L88" s="70"/>
      <c r="M88" s="69"/>
      <c r="N88" s="65"/>
      <c r="O88" s="20"/>
      <c r="P88" s="20"/>
    </row>
    <row r="89" spans="1:16" s="30" customFormat="1" ht="21">
      <c r="A89" s="65"/>
      <c r="B89" s="66"/>
      <c r="C89" s="67"/>
      <c r="D89" s="66"/>
      <c r="E89" s="68"/>
      <c r="F89" s="68"/>
      <c r="G89" s="68"/>
      <c r="H89" s="68"/>
      <c r="I89" s="66"/>
      <c r="J89" s="68"/>
      <c r="K89" s="69"/>
      <c r="L89" s="70"/>
      <c r="M89" s="69"/>
      <c r="N89" s="65"/>
      <c r="O89" s="20"/>
      <c r="P89" s="20"/>
    </row>
    <row r="90" spans="1:16" s="30" customFormat="1" ht="21">
      <c r="A90" s="65"/>
      <c r="B90" s="66"/>
      <c r="C90" s="67"/>
      <c r="D90" s="66"/>
      <c r="E90" s="66"/>
      <c r="F90" s="66"/>
      <c r="G90" s="66"/>
      <c r="H90" s="66"/>
      <c r="I90" s="66"/>
      <c r="J90" s="68"/>
      <c r="K90" s="69"/>
      <c r="L90" s="69"/>
      <c r="M90" s="69"/>
      <c r="N90" s="71"/>
      <c r="O90" s="20"/>
      <c r="P90" s="20"/>
    </row>
    <row r="91" spans="1:16" s="30" customFormat="1" ht="21">
      <c r="A91" s="65"/>
      <c r="B91" s="66"/>
      <c r="C91" s="67"/>
      <c r="D91" s="66"/>
      <c r="E91" s="66"/>
      <c r="F91" s="66"/>
      <c r="G91" s="66"/>
      <c r="H91" s="66"/>
      <c r="I91" s="66"/>
      <c r="J91" s="68"/>
      <c r="K91" s="69"/>
      <c r="L91" s="69"/>
      <c r="M91" s="69"/>
      <c r="N91" s="71"/>
      <c r="O91" s="20"/>
      <c r="P91" s="20"/>
    </row>
    <row r="92" spans="1:16" s="30" customFormat="1" ht="21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9"/>
      <c r="L92" s="69"/>
      <c r="M92" s="69"/>
      <c r="N92" s="65"/>
      <c r="O92" s="20"/>
      <c r="P92" s="20"/>
    </row>
    <row r="93" spans="1:16" s="30" customFormat="1" ht="2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9"/>
      <c r="L93" s="69"/>
      <c r="M93" s="69"/>
      <c r="N93" s="65"/>
      <c r="O93" s="20"/>
      <c r="P93" s="20"/>
    </row>
    <row r="94" spans="1:16" s="30" customFormat="1" ht="2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9"/>
      <c r="L94" s="69"/>
      <c r="M94" s="69"/>
      <c r="N94" s="65"/>
      <c r="O94" s="20"/>
      <c r="P94" s="20"/>
    </row>
    <row r="95" spans="1:16" s="30" customFormat="1" ht="2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9"/>
      <c r="L95" s="69"/>
      <c r="M95" s="69"/>
      <c r="N95" s="65"/>
      <c r="O95" s="20"/>
      <c r="P95" s="20"/>
    </row>
    <row r="96" spans="1:16" s="30" customFormat="1" ht="2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9"/>
      <c r="L96" s="69"/>
      <c r="M96" s="69"/>
      <c r="N96" s="65"/>
      <c r="O96" s="20"/>
      <c r="P96" s="20"/>
    </row>
    <row r="97" spans="1:17" s="30" customFormat="1" ht="2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9"/>
      <c r="L97" s="69"/>
      <c r="M97" s="69"/>
      <c r="N97" s="65"/>
      <c r="O97" s="20"/>
      <c r="P97" s="20"/>
    </row>
    <row r="98" spans="1:17" s="30" customFormat="1" ht="21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9"/>
      <c r="L98" s="69"/>
      <c r="M98" s="69"/>
      <c r="N98" s="65"/>
      <c r="O98" s="20"/>
      <c r="P98" s="20"/>
    </row>
    <row r="99" spans="1:17" s="30" customFormat="1" ht="21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9"/>
      <c r="L99" s="69"/>
      <c r="M99" s="69"/>
      <c r="N99" s="65"/>
      <c r="O99" s="20"/>
      <c r="P99" s="20"/>
    </row>
    <row r="100" spans="1:17" s="30" customFormat="1" ht="21">
      <c r="A100" s="65"/>
      <c r="B100" s="66"/>
      <c r="C100" s="72"/>
      <c r="D100" s="66"/>
      <c r="E100" s="66"/>
      <c r="F100" s="66"/>
      <c r="G100" s="66"/>
      <c r="H100" s="66"/>
      <c r="I100" s="66"/>
      <c r="J100" s="66"/>
      <c r="K100" s="69"/>
      <c r="L100" s="69"/>
      <c r="M100" s="69"/>
      <c r="N100" s="65"/>
      <c r="P100" s="20"/>
    </row>
    <row r="101" spans="1:17" s="30" customFormat="1" ht="21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9"/>
      <c r="L101" s="69"/>
      <c r="M101" s="69"/>
      <c r="N101" s="65"/>
      <c r="O101" s="20"/>
      <c r="P101" s="73"/>
      <c r="Q101" s="73"/>
    </row>
    <row r="102" spans="1:17" s="30" customFormat="1" ht="21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9"/>
      <c r="L102" s="69"/>
      <c r="M102" s="69"/>
      <c r="N102" s="65"/>
      <c r="O102" s="20"/>
      <c r="P102" s="20"/>
    </row>
    <row r="103" spans="1:17" s="30" customFormat="1" ht="21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9"/>
      <c r="L103" s="69"/>
      <c r="M103" s="69"/>
      <c r="N103" s="65"/>
      <c r="O103" s="20"/>
      <c r="P103" s="20"/>
    </row>
    <row r="104" spans="1:17" s="30" customFormat="1" ht="21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9"/>
      <c r="L104" s="69"/>
      <c r="M104" s="69"/>
      <c r="N104" s="65"/>
      <c r="O104" s="20"/>
      <c r="P104" s="20"/>
    </row>
    <row r="105" spans="1:17" s="30" customFormat="1" ht="21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9"/>
      <c r="L105" s="69"/>
      <c r="M105" s="69"/>
      <c r="N105" s="65"/>
      <c r="O105" s="20"/>
      <c r="P105" s="20"/>
    </row>
    <row r="106" spans="1:17" s="30" customFormat="1" ht="21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9"/>
      <c r="L106" s="69"/>
      <c r="M106" s="69"/>
      <c r="N106" s="65"/>
      <c r="O106" s="20"/>
      <c r="P106" s="20"/>
    </row>
    <row r="107" spans="1:17" s="30" customFormat="1" ht="2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9"/>
      <c r="L107" s="69"/>
      <c r="M107" s="69"/>
      <c r="N107" s="65"/>
      <c r="O107" s="20"/>
      <c r="P107" s="20"/>
    </row>
    <row r="108" spans="1:17" s="30" customFormat="1" ht="2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9"/>
      <c r="L108" s="69"/>
      <c r="M108" s="69"/>
      <c r="N108" s="65"/>
      <c r="O108" s="20"/>
      <c r="P108" s="20"/>
    </row>
    <row r="109" spans="1:17" s="30" customFormat="1" ht="21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9"/>
      <c r="L109" s="69"/>
      <c r="M109" s="69"/>
      <c r="N109" s="65"/>
      <c r="O109" s="20"/>
      <c r="P109" s="20"/>
    </row>
    <row r="110" spans="1:17" s="30" customFormat="1" ht="2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9"/>
      <c r="L110" s="69"/>
      <c r="M110" s="69"/>
      <c r="N110" s="65"/>
      <c r="O110" s="20"/>
      <c r="P110" s="20"/>
    </row>
    <row r="111" spans="1:17" s="30" customFormat="1" ht="21">
      <c r="A111" s="65"/>
      <c r="B111" s="66"/>
      <c r="C111" s="66"/>
      <c r="D111" s="66"/>
      <c r="E111" s="74"/>
      <c r="F111" s="66"/>
      <c r="G111" s="66"/>
      <c r="H111" s="66"/>
      <c r="I111" s="66"/>
      <c r="J111" s="66"/>
      <c r="K111" s="69"/>
      <c r="L111" s="69"/>
      <c r="M111" s="69"/>
      <c r="N111" s="65"/>
      <c r="O111" s="20"/>
      <c r="P111" s="20"/>
    </row>
    <row r="112" spans="1:17" s="30" customFormat="1" ht="21">
      <c r="A112" s="65"/>
      <c r="B112" s="66"/>
      <c r="C112" s="66"/>
      <c r="D112" s="66"/>
      <c r="E112" s="74"/>
      <c r="F112" s="66"/>
      <c r="G112" s="66"/>
      <c r="H112" s="66"/>
      <c r="I112" s="66"/>
      <c r="J112" s="66"/>
      <c r="K112" s="69"/>
      <c r="L112" s="69"/>
      <c r="M112" s="69"/>
      <c r="N112" s="65"/>
      <c r="O112" s="20"/>
      <c r="P112" s="20"/>
    </row>
    <row r="113" spans="1:16" s="30" customFormat="1" ht="21">
      <c r="A113" s="65"/>
      <c r="B113" s="66"/>
      <c r="C113" s="66"/>
      <c r="D113" s="66"/>
      <c r="E113" s="74"/>
      <c r="F113" s="66"/>
      <c r="G113" s="66"/>
      <c r="H113" s="66"/>
      <c r="I113" s="66"/>
      <c r="J113" s="66"/>
      <c r="K113" s="69"/>
      <c r="L113" s="69"/>
      <c r="M113" s="69"/>
      <c r="N113" s="65"/>
      <c r="O113" s="20"/>
      <c r="P113" s="75"/>
    </row>
    <row r="114" spans="1:16" s="30" customFormat="1" ht="21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9"/>
      <c r="L114" s="69"/>
      <c r="M114" s="69"/>
      <c r="N114" s="65"/>
      <c r="O114" s="20"/>
      <c r="P114" s="20"/>
    </row>
    <row r="115" spans="1:16" s="30" customFormat="1" ht="21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9"/>
      <c r="L115" s="69"/>
      <c r="M115" s="69"/>
      <c r="N115" s="65"/>
      <c r="O115" s="20"/>
      <c r="P115" s="20"/>
    </row>
    <row r="116" spans="1:16" s="30" customFormat="1" ht="21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9"/>
      <c r="L116" s="69"/>
      <c r="M116" s="69"/>
      <c r="N116" s="65"/>
      <c r="O116" s="20"/>
      <c r="P116" s="20"/>
    </row>
    <row r="117" spans="1:16" s="30" customFormat="1" ht="21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9"/>
      <c r="L117" s="69"/>
      <c r="M117" s="69"/>
      <c r="N117" s="65"/>
      <c r="O117" s="20"/>
      <c r="P117" s="20"/>
    </row>
    <row r="118" spans="1:16" s="30" customFormat="1" ht="2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9"/>
      <c r="L118" s="69"/>
      <c r="M118" s="69"/>
      <c r="N118" s="65"/>
      <c r="O118" s="20"/>
      <c r="P118" s="20"/>
    </row>
    <row r="119" spans="1:16" s="30" customFormat="1" ht="21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9"/>
      <c r="L119" s="69"/>
      <c r="M119" s="69"/>
      <c r="N119" s="65"/>
      <c r="O119" s="20"/>
      <c r="P119" s="20"/>
    </row>
    <row r="120" spans="1:16" s="30" customFormat="1" ht="21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9"/>
      <c r="L120" s="69"/>
      <c r="M120" s="69"/>
      <c r="N120" s="65"/>
      <c r="O120" s="20"/>
      <c r="P120" s="20"/>
    </row>
    <row r="121" spans="1:16" s="30" customFormat="1" ht="2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9"/>
      <c r="L121" s="69"/>
      <c r="M121" s="69"/>
      <c r="N121" s="65"/>
      <c r="O121" s="20"/>
      <c r="P121" s="20"/>
    </row>
    <row r="122" spans="1:16" s="30" customFormat="1" ht="21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9"/>
      <c r="L122" s="69"/>
      <c r="M122" s="69"/>
      <c r="N122" s="65"/>
      <c r="O122" s="20"/>
      <c r="P122" s="20"/>
    </row>
    <row r="123" spans="1:16" s="30" customFormat="1" ht="21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9"/>
      <c r="L123" s="69"/>
      <c r="M123" s="69"/>
      <c r="N123" s="65"/>
      <c r="O123" s="20"/>
      <c r="P123" s="20"/>
    </row>
    <row r="124" spans="1:16" s="30" customFormat="1" ht="21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9"/>
      <c r="L124" s="69"/>
      <c r="M124" s="69"/>
      <c r="N124" s="65"/>
      <c r="O124" s="20"/>
      <c r="P124" s="20"/>
    </row>
    <row r="125" spans="1:16" s="30" customFormat="1" ht="2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9"/>
      <c r="L125" s="69"/>
      <c r="M125" s="69"/>
      <c r="N125" s="65"/>
      <c r="O125" s="20"/>
      <c r="P125" s="20"/>
    </row>
    <row r="126" spans="1:16" s="30" customFormat="1" ht="21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9"/>
      <c r="L126" s="69"/>
      <c r="M126" s="69"/>
      <c r="N126" s="65"/>
      <c r="O126" s="20"/>
      <c r="P126" s="20"/>
    </row>
    <row r="127" spans="1:16" s="30" customFormat="1" ht="18.75">
      <c r="A127" s="65"/>
      <c r="B127" s="20"/>
      <c r="C127" s="66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9"/>
      <c r="O127" s="20"/>
      <c r="P127" s="20"/>
    </row>
    <row r="128" spans="1:16" s="30" customFormat="1" ht="18.75">
      <c r="B128" s="20"/>
      <c r="C128" s="66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9"/>
      <c r="O128" s="20"/>
      <c r="P128" s="20"/>
    </row>
    <row r="129" spans="1:19" s="30" customFormat="1" ht="18.75">
      <c r="C129" s="66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9" s="30" customFormat="1" ht="18.75">
      <c r="A130" s="76"/>
      <c r="B130" s="72"/>
      <c r="C130" s="66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9" s="30" customFormat="1" ht="18.75">
      <c r="A131" s="72"/>
      <c r="B131" s="72"/>
      <c r="C131" s="66"/>
      <c r="D131" s="4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9" s="30" customFormat="1" ht="18.75">
      <c r="A132" s="72"/>
      <c r="B132" s="72"/>
      <c r="C132" s="6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20"/>
    </row>
    <row r="133" spans="1:19" s="30" customFormat="1" ht="18.75">
      <c r="A133" s="72"/>
      <c r="B133" s="72"/>
      <c r="C133" s="66"/>
      <c r="D133" s="77"/>
      <c r="E133" s="7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9"/>
      <c r="R133" s="79"/>
      <c r="S133" s="79"/>
    </row>
    <row r="134" spans="1:19" s="30" customFormat="1" ht="18.75">
      <c r="A134" s="76"/>
      <c r="B134" s="72"/>
      <c r="C134" s="6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P134" s="77"/>
      <c r="Q134" s="79"/>
      <c r="R134" s="79"/>
      <c r="S134" s="79"/>
    </row>
    <row r="135" spans="1:19" s="30" customFormat="1" ht="18.75">
      <c r="A135" s="76"/>
      <c r="B135" s="72"/>
      <c r="C135" s="6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9" s="30" customFormat="1" ht="18.75">
      <c r="A136" s="72"/>
      <c r="B136" s="72"/>
      <c r="C136" s="6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9"/>
      <c r="R136" s="79"/>
      <c r="S136" s="79"/>
    </row>
    <row r="137" spans="1:19" s="30" customFormat="1" ht="18.75">
      <c r="A137" s="72"/>
      <c r="B137" s="72"/>
      <c r="C137" s="6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9"/>
      <c r="R137" s="79"/>
      <c r="S137" s="79"/>
    </row>
    <row r="138" spans="1:19" s="30" customFormat="1" ht="18.75">
      <c r="A138" s="72"/>
      <c r="B138" s="72"/>
      <c r="C138" s="6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9"/>
      <c r="R138" s="79"/>
      <c r="S138" s="79"/>
    </row>
    <row r="139" spans="1:19" s="30" customFormat="1" ht="18.75">
      <c r="A139" s="72"/>
      <c r="B139" s="72"/>
      <c r="C139" s="72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7"/>
      <c r="Q139" s="79"/>
      <c r="R139" s="79"/>
      <c r="S139" s="79"/>
    </row>
    <row r="140" spans="1:19" s="30" customFormat="1" ht="18.75">
      <c r="A140" s="72"/>
      <c r="B140" s="72"/>
      <c r="C140" s="72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s="30" customFormat="1" ht="18.75">
      <c r="A141" s="72"/>
      <c r="B141" s="72"/>
      <c r="C141" s="72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s="30" customFormat="1" ht="18.75">
      <c r="A142" s="72"/>
      <c r="B142" s="72"/>
      <c r="C142" s="72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s="30" customFormat="1" ht="18.75">
      <c r="A143" s="72"/>
      <c r="B143" s="72"/>
      <c r="C143" s="72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s="30" customFormat="1" ht="18.75">
      <c r="A144" s="72"/>
      <c r="B144" s="72"/>
      <c r="C144" s="72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s="30" customFormat="1" ht="18.75">
      <c r="A145" s="72"/>
      <c r="B145" s="72"/>
      <c r="P145" s="79"/>
      <c r="Q145" s="79"/>
      <c r="R145" s="79"/>
      <c r="S145" s="79"/>
    </row>
    <row r="146" spans="1:19" s="30" customFormat="1">
      <c r="Q146" s="79"/>
      <c r="R146" s="79"/>
      <c r="S146" s="79"/>
    </row>
    <row r="147" spans="1:19" s="30" customFormat="1" ht="149.25" customHeight="1">
      <c r="Q147" s="79"/>
      <c r="R147" s="79"/>
      <c r="S147" s="79"/>
    </row>
    <row r="148" spans="1:19" s="30" customFormat="1">
      <c r="Q148" s="79"/>
      <c r="R148" s="79"/>
      <c r="S148" s="79"/>
    </row>
    <row r="149" spans="1:19" s="30" customFormat="1">
      <c r="Q149" s="79"/>
      <c r="R149" s="79"/>
      <c r="S149" s="79"/>
    </row>
    <row r="150" spans="1:19" s="30" customFormat="1">
      <c r="Q150" s="79"/>
      <c r="R150" s="79"/>
      <c r="S150" s="79"/>
    </row>
    <row r="151" spans="1:19" s="30" customFormat="1">
      <c r="Q151" s="79"/>
      <c r="R151" s="79"/>
      <c r="S151" s="79"/>
    </row>
    <row r="152" spans="1:19" s="30" customFormat="1">
      <c r="Q152" s="79"/>
      <c r="R152" s="79"/>
      <c r="S152" s="79"/>
    </row>
    <row r="153" spans="1:19" s="30" customFormat="1">
      <c r="Q153" s="79"/>
      <c r="R153" s="79"/>
      <c r="S153" s="79"/>
    </row>
    <row r="154" spans="1:19" s="30" customFormat="1">
      <c r="Q154" s="79"/>
      <c r="R154" s="79"/>
      <c r="S154" s="79"/>
    </row>
    <row r="155" spans="1:19" s="30" customFormat="1">
      <c r="Q155" s="79"/>
      <c r="R155" s="79"/>
      <c r="S155" s="79"/>
    </row>
    <row r="156" spans="1:19" s="30" customFormat="1">
      <c r="Q156" s="79"/>
      <c r="R156" s="79"/>
      <c r="S156" s="79"/>
    </row>
    <row r="157" spans="1:19" s="30" customFormat="1">
      <c r="Q157" s="79"/>
      <c r="R157" s="79"/>
      <c r="S157" s="79"/>
    </row>
    <row r="158" spans="1:19" s="30" customFormat="1">
      <c r="Q158" s="79"/>
      <c r="R158" s="79"/>
      <c r="S158" s="79"/>
    </row>
    <row r="159" spans="1:19" s="30" customFormat="1">
      <c r="Q159" s="79"/>
      <c r="R159" s="79"/>
      <c r="S159" s="79"/>
    </row>
    <row r="160" spans="1:19" s="30" customFormat="1">
      <c r="Q160" s="79"/>
      <c r="R160" s="79"/>
      <c r="S160" s="79"/>
    </row>
    <row r="161" spans="17:19" s="30" customFormat="1">
      <c r="Q161" s="79"/>
      <c r="R161" s="79"/>
      <c r="S161" s="79"/>
    </row>
    <row r="162" spans="17:19" s="30" customFormat="1">
      <c r="Q162" s="79"/>
      <c r="R162" s="79"/>
      <c r="S162" s="79"/>
    </row>
    <row r="163" spans="17:19" s="30" customFormat="1">
      <c r="Q163" s="79"/>
      <c r="R163" s="79"/>
      <c r="S163" s="79"/>
    </row>
    <row r="164" spans="17:19" s="30" customFormat="1">
      <c r="Q164" s="79"/>
      <c r="R164" s="79"/>
      <c r="S164" s="79"/>
    </row>
    <row r="165" spans="17:19">
      <c r="Q165" s="80"/>
      <c r="R165" s="80"/>
      <c r="S165" s="80"/>
    </row>
    <row r="166" spans="17:19">
      <c r="Q166" s="80"/>
      <c r="R166" s="80"/>
      <c r="S166" s="80"/>
    </row>
    <row r="167" spans="17:19">
      <c r="Q167" s="80"/>
      <c r="R167" s="80"/>
      <c r="S167" s="80"/>
    </row>
    <row r="168" spans="17:19">
      <c r="Q168" s="80"/>
      <c r="R168" s="80"/>
      <c r="S168" s="80"/>
    </row>
    <row r="169" spans="17:19">
      <c r="Q169" s="80"/>
      <c r="R169" s="80"/>
      <c r="S169" s="80"/>
    </row>
    <row r="170" spans="17:19">
      <c r="Q170" s="80"/>
      <c r="R170" s="80"/>
      <c r="S170" s="80"/>
    </row>
    <row r="171" spans="17:19">
      <c r="Q171" s="80"/>
      <c r="R171" s="80"/>
      <c r="S171" s="80"/>
    </row>
    <row r="172" spans="17:19">
      <c r="Q172" s="80"/>
      <c r="R172" s="80"/>
      <c r="S172" s="80"/>
    </row>
    <row r="173" spans="17:19">
      <c r="Q173" s="80"/>
      <c r="R173" s="80"/>
      <c r="S173" s="80"/>
    </row>
    <row r="174" spans="17:19">
      <c r="Q174" s="80"/>
      <c r="R174" s="80"/>
      <c r="S174" s="80"/>
    </row>
    <row r="175" spans="17:19">
      <c r="Q175" s="80"/>
      <c r="R175" s="80"/>
      <c r="S175" s="80"/>
    </row>
    <row r="176" spans="17:19">
      <c r="Q176" s="80"/>
      <c r="R176" s="80"/>
      <c r="S176" s="80"/>
    </row>
    <row r="177" spans="17:19">
      <c r="Q177" s="80"/>
      <c r="R177" s="80"/>
      <c r="S177" s="80"/>
    </row>
    <row r="178" spans="17:19">
      <c r="Q178" s="80"/>
      <c r="R178" s="80"/>
      <c r="S178" s="80"/>
    </row>
    <row r="179" spans="17:19">
      <c r="Q179" s="80"/>
      <c r="R179" s="80"/>
      <c r="S179" s="80"/>
    </row>
    <row r="180" spans="17:19">
      <c r="Q180" s="80"/>
      <c r="R180" s="80"/>
      <c r="S180" s="80"/>
    </row>
    <row r="181" spans="17:19">
      <c r="Q181" s="80"/>
      <c r="R181" s="80"/>
      <c r="S181" s="80"/>
    </row>
    <row r="182" spans="17:19">
      <c r="Q182" s="80"/>
      <c r="R182" s="80"/>
      <c r="S182" s="80"/>
    </row>
    <row r="183" spans="17:19">
      <c r="Q183" s="80"/>
      <c r="R183" s="80"/>
      <c r="S183" s="80"/>
    </row>
    <row r="184" spans="17:19">
      <c r="Q184" s="80"/>
      <c r="R184" s="80"/>
      <c r="S184" s="80"/>
    </row>
    <row r="185" spans="17:19">
      <c r="Q185" s="80"/>
      <c r="R185" s="80"/>
      <c r="S185" s="80"/>
    </row>
    <row r="186" spans="17:19">
      <c r="Q186" s="80"/>
      <c r="R186" s="80"/>
      <c r="S186" s="80"/>
    </row>
    <row r="187" spans="17:19">
      <c r="Q187" s="80"/>
      <c r="R187" s="80"/>
      <c r="S187" s="80"/>
    </row>
    <row r="188" spans="17:19">
      <c r="Q188" s="80"/>
      <c r="R188" s="80"/>
      <c r="S188" s="80"/>
    </row>
    <row r="189" spans="17:19">
      <c r="Q189" s="80"/>
      <c r="R189" s="80"/>
      <c r="S189" s="80"/>
    </row>
    <row r="190" spans="17:19">
      <c r="Q190" s="80"/>
      <c r="R190" s="80"/>
      <c r="S190" s="80"/>
    </row>
    <row r="191" spans="17:19">
      <c r="Q191" s="80"/>
      <c r="R191" s="80"/>
      <c r="S191" s="80"/>
    </row>
    <row r="192" spans="17:19">
      <c r="Q192" s="80"/>
      <c r="R192" s="80"/>
      <c r="S192" s="80"/>
    </row>
    <row r="193" spans="17:19">
      <c r="Q193" s="80"/>
      <c r="R193" s="80"/>
      <c r="S193" s="80"/>
    </row>
    <row r="194" spans="17:19">
      <c r="Q194" s="80"/>
      <c r="R194" s="80"/>
      <c r="S194" s="80"/>
    </row>
    <row r="195" spans="17:19">
      <c r="Q195" s="80"/>
      <c r="R195" s="80"/>
      <c r="S195" s="80"/>
    </row>
    <row r="196" spans="17:19">
      <c r="Q196" s="80"/>
      <c r="R196" s="80"/>
      <c r="S196" s="80"/>
    </row>
    <row r="197" spans="17:19">
      <c r="Q197" s="80"/>
      <c r="R197" s="80"/>
      <c r="S197" s="80"/>
    </row>
    <row r="198" spans="17:19">
      <c r="Q198" s="80"/>
      <c r="R198" s="80"/>
      <c r="S198" s="80"/>
    </row>
    <row r="199" spans="17:19">
      <c r="Q199" s="80"/>
      <c r="R199" s="80"/>
      <c r="S199" s="80"/>
    </row>
    <row r="200" spans="17:19">
      <c r="Q200" s="80"/>
      <c r="R200" s="80"/>
      <c r="S200" s="80"/>
    </row>
    <row r="201" spans="17:19">
      <c r="Q201" s="80"/>
      <c r="R201" s="80"/>
      <c r="S201" s="80"/>
    </row>
    <row r="202" spans="17:19">
      <c r="Q202" s="80"/>
      <c r="R202" s="80"/>
      <c r="S202" s="80"/>
    </row>
    <row r="203" spans="17:19">
      <c r="Q203" s="80"/>
      <c r="R203" s="80"/>
      <c r="S203" s="80"/>
    </row>
    <row r="204" spans="17:19">
      <c r="Q204" s="80"/>
      <c r="R204" s="80"/>
      <c r="S204" s="80"/>
    </row>
    <row r="205" spans="17:19">
      <c r="Q205" s="80"/>
      <c r="R205" s="80"/>
      <c r="S205" s="80"/>
    </row>
    <row r="206" spans="17:19">
      <c r="Q206" s="80"/>
      <c r="R206" s="80"/>
      <c r="S206" s="80"/>
    </row>
    <row r="207" spans="17:19">
      <c r="Q207" s="80"/>
      <c r="R207" s="80"/>
      <c r="S207" s="80"/>
    </row>
    <row r="208" spans="17:19">
      <c r="Q208" s="80"/>
      <c r="R208" s="80"/>
      <c r="S208" s="80"/>
    </row>
    <row r="209" spans="17:19">
      <c r="Q209" s="80"/>
      <c r="R209" s="80"/>
      <c r="S209" s="80"/>
    </row>
    <row r="210" spans="17:19">
      <c r="Q210" s="80"/>
      <c r="R210" s="80"/>
      <c r="S210" s="80"/>
    </row>
    <row r="211" spans="17:19">
      <c r="Q211" s="80"/>
      <c r="R211" s="80"/>
      <c r="S211" s="80"/>
    </row>
    <row r="212" spans="17:19">
      <c r="Q212" s="80"/>
      <c r="R212" s="80"/>
      <c r="S212" s="80"/>
    </row>
    <row r="213" spans="17:19">
      <c r="Q213" s="80"/>
      <c r="R213" s="80"/>
      <c r="S213" s="80"/>
    </row>
    <row r="214" spans="17:19">
      <c r="Q214" s="80"/>
      <c r="R214" s="80"/>
      <c r="S214" s="80"/>
    </row>
    <row r="215" spans="17:19">
      <c r="Q215" s="80"/>
      <c r="R215" s="80"/>
      <c r="S215" s="80"/>
    </row>
    <row r="216" spans="17:19">
      <c r="Q216" s="80"/>
      <c r="R216" s="80"/>
      <c r="S216" s="80"/>
    </row>
    <row r="217" spans="17:19">
      <c r="Q217" s="80"/>
      <c r="R217" s="80"/>
      <c r="S217" s="80"/>
    </row>
    <row r="218" spans="17:19">
      <c r="Q218" s="80"/>
      <c r="R218" s="80"/>
      <c r="S218" s="80"/>
    </row>
    <row r="219" spans="17:19">
      <c r="Q219" s="80"/>
      <c r="R219" s="80"/>
      <c r="S219" s="80"/>
    </row>
    <row r="220" spans="17:19">
      <c r="Q220" s="80"/>
      <c r="R220" s="80"/>
      <c r="S220" s="80"/>
    </row>
    <row r="221" spans="17:19">
      <c r="Q221" s="80"/>
      <c r="R221" s="80"/>
      <c r="S221" s="80"/>
    </row>
    <row r="222" spans="17:19">
      <c r="Q222" s="80"/>
      <c r="R222" s="80"/>
      <c r="S222" s="80"/>
    </row>
    <row r="223" spans="17:19">
      <c r="Q223" s="80"/>
      <c r="R223" s="80"/>
      <c r="S223" s="80"/>
    </row>
    <row r="224" spans="17:19">
      <c r="Q224" s="80"/>
      <c r="R224" s="80"/>
      <c r="S224" s="80"/>
    </row>
    <row r="225" spans="17:19">
      <c r="Q225" s="80"/>
      <c r="R225" s="80"/>
      <c r="S225" s="80"/>
    </row>
    <row r="226" spans="17:19">
      <c r="Q226" s="80"/>
      <c r="R226" s="80"/>
      <c r="S226" s="80"/>
    </row>
    <row r="227" spans="17:19">
      <c r="Q227" s="80"/>
      <c r="R227" s="80"/>
      <c r="S227" s="80"/>
    </row>
    <row r="228" spans="17:19">
      <c r="Q228" s="80"/>
      <c r="R228" s="80"/>
      <c r="S228" s="80"/>
    </row>
    <row r="229" spans="17:19">
      <c r="Q229" s="80"/>
      <c r="R229" s="80"/>
      <c r="S229" s="80"/>
    </row>
    <row r="230" spans="17:19">
      <c r="Q230" s="80"/>
      <c r="R230" s="80"/>
      <c r="S230" s="80"/>
    </row>
    <row r="231" spans="17:19">
      <c r="Q231" s="80"/>
      <c r="R231" s="80"/>
      <c r="S231" s="80"/>
    </row>
    <row r="232" spans="17:19">
      <c r="Q232" s="80"/>
      <c r="R232" s="80"/>
      <c r="S232" s="80"/>
    </row>
    <row r="233" spans="17:19">
      <c r="Q233" s="80"/>
      <c r="R233" s="80"/>
      <c r="S233" s="80"/>
    </row>
    <row r="234" spans="17:19">
      <c r="Q234" s="80"/>
      <c r="R234" s="80"/>
      <c r="S234" s="80"/>
    </row>
    <row r="235" spans="17:19">
      <c r="Q235" s="80"/>
      <c r="R235" s="80"/>
      <c r="S235" s="80"/>
    </row>
    <row r="236" spans="17:19">
      <c r="Q236" s="80"/>
      <c r="R236" s="80"/>
      <c r="S236" s="80"/>
    </row>
    <row r="237" spans="17:19">
      <c r="Q237" s="80"/>
      <c r="R237" s="80"/>
      <c r="S237" s="80"/>
    </row>
    <row r="238" spans="17:19">
      <c r="Q238" s="80"/>
      <c r="R238" s="80"/>
      <c r="S238" s="80"/>
    </row>
    <row r="239" spans="17:19">
      <c r="Q239" s="80"/>
      <c r="R239" s="80"/>
      <c r="S239" s="80"/>
    </row>
    <row r="240" spans="17:19">
      <c r="Q240" s="80"/>
      <c r="R240" s="80"/>
      <c r="S240" s="80"/>
    </row>
    <row r="241" spans="17:19">
      <c r="Q241" s="80"/>
      <c r="R241" s="80"/>
      <c r="S241" s="80"/>
    </row>
    <row r="242" spans="17:19">
      <c r="Q242" s="80"/>
      <c r="R242" s="80"/>
      <c r="S242" s="80"/>
    </row>
    <row r="243" spans="17:19">
      <c r="Q243" s="80"/>
      <c r="R243" s="80"/>
      <c r="S243" s="80"/>
    </row>
    <row r="244" spans="17:19">
      <c r="Q244" s="80"/>
      <c r="R244" s="80"/>
      <c r="S244" s="80"/>
    </row>
    <row r="245" spans="17:19">
      <c r="Q245" s="80"/>
      <c r="R245" s="80"/>
      <c r="S245" s="80"/>
    </row>
    <row r="246" spans="17:19">
      <c r="Q246" s="80"/>
      <c r="R246" s="80"/>
      <c r="S246" s="80"/>
    </row>
    <row r="247" spans="17:19">
      <c r="Q247" s="80"/>
      <c r="R247" s="80"/>
      <c r="S247" s="80"/>
    </row>
    <row r="248" spans="17:19">
      <c r="Q248" s="80"/>
      <c r="R248" s="80"/>
      <c r="S248" s="80"/>
    </row>
    <row r="249" spans="17:19">
      <c r="Q249" s="80"/>
      <c r="R249" s="80"/>
      <c r="S249" s="80"/>
    </row>
    <row r="250" spans="17:19">
      <c r="Q250" s="80"/>
      <c r="R250" s="80"/>
      <c r="S250" s="80"/>
    </row>
    <row r="251" spans="17:19">
      <c r="Q251" s="80"/>
      <c r="R251" s="80"/>
      <c r="S251" s="80"/>
    </row>
    <row r="252" spans="17:19">
      <c r="Q252" s="80"/>
      <c r="R252" s="80"/>
      <c r="S252" s="80"/>
    </row>
    <row r="253" spans="17:19">
      <c r="Q253" s="80"/>
      <c r="R253" s="80"/>
      <c r="S253" s="80"/>
    </row>
    <row r="254" spans="17:19">
      <c r="Q254" s="80"/>
      <c r="R254" s="80"/>
      <c r="S254" s="80"/>
    </row>
    <row r="255" spans="17:19">
      <c r="Q255" s="80"/>
      <c r="R255" s="80"/>
      <c r="S255" s="80"/>
    </row>
    <row r="256" spans="17:19">
      <c r="Q256" s="80"/>
      <c r="R256" s="80"/>
      <c r="S256" s="80"/>
    </row>
    <row r="257" spans="17:19">
      <c r="Q257" s="80"/>
      <c r="R257" s="80"/>
      <c r="S257" s="80"/>
    </row>
    <row r="258" spans="17:19">
      <c r="Q258" s="80"/>
      <c r="R258" s="80"/>
      <c r="S258" s="80"/>
    </row>
    <row r="259" spans="17:19">
      <c r="Q259" s="80"/>
      <c r="R259" s="80"/>
      <c r="S259" s="80"/>
    </row>
    <row r="260" spans="17:19">
      <c r="Q260" s="80"/>
      <c r="R260" s="80"/>
      <c r="S260" s="80"/>
    </row>
    <row r="261" spans="17:19">
      <c r="Q261" s="80"/>
      <c r="R261" s="80"/>
      <c r="S261" s="80"/>
    </row>
    <row r="262" spans="17:19">
      <c r="Q262" s="80"/>
      <c r="R262" s="80"/>
      <c r="S262" s="80"/>
    </row>
    <row r="263" spans="17:19">
      <c r="Q263" s="80"/>
      <c r="R263" s="80"/>
      <c r="S263" s="80"/>
    </row>
    <row r="264" spans="17:19">
      <c r="Q264" s="80"/>
      <c r="R264" s="80"/>
      <c r="S264" s="80"/>
    </row>
    <row r="265" spans="17:19">
      <c r="Q265" s="80"/>
      <c r="R265" s="80"/>
      <c r="S265" s="80"/>
    </row>
    <row r="266" spans="17:19">
      <c r="Q266" s="80"/>
      <c r="R266" s="80"/>
      <c r="S266" s="80"/>
    </row>
    <row r="267" spans="17:19">
      <c r="Q267" s="80"/>
      <c r="R267" s="80"/>
      <c r="S267" s="80"/>
    </row>
    <row r="268" spans="17:19">
      <c r="Q268" s="80"/>
      <c r="R268" s="80"/>
      <c r="S268" s="80"/>
    </row>
    <row r="269" spans="17:19">
      <c r="Q269" s="80"/>
      <c r="R269" s="80"/>
      <c r="S269" s="80"/>
    </row>
    <row r="270" spans="17:19">
      <c r="Q270" s="80"/>
      <c r="R270" s="80"/>
      <c r="S270" s="80"/>
    </row>
    <row r="271" spans="17:19">
      <c r="Q271" s="80"/>
      <c r="R271" s="80"/>
      <c r="S271" s="80"/>
    </row>
    <row r="272" spans="17:19">
      <c r="Q272" s="80"/>
      <c r="R272" s="80"/>
      <c r="S272" s="80"/>
    </row>
    <row r="273" spans="3:19">
      <c r="Q273" s="80"/>
      <c r="R273" s="80"/>
      <c r="S273" s="80"/>
    </row>
    <row r="274" spans="3:19">
      <c r="Q274" s="80"/>
      <c r="R274" s="80"/>
      <c r="S274" s="80"/>
    </row>
    <row r="275" spans="3:19">
      <c r="Q275" s="80"/>
      <c r="R275" s="80"/>
      <c r="S275" s="80"/>
    </row>
    <row r="276" spans="3:19">
      <c r="Q276" s="80"/>
      <c r="R276" s="80"/>
      <c r="S276" s="80"/>
    </row>
    <row r="277" spans="3:19">
      <c r="Q277" s="80"/>
      <c r="R277" s="80"/>
      <c r="S277" s="80"/>
    </row>
    <row r="278" spans="3:19">
      <c r="Q278" s="80"/>
      <c r="R278" s="80"/>
      <c r="S278" s="80"/>
    </row>
    <row r="279" spans="3:19">
      <c r="Q279" s="80"/>
      <c r="R279" s="80"/>
      <c r="S279" s="80"/>
    </row>
    <row r="280" spans="3:19">
      <c r="Q280" s="80"/>
      <c r="R280" s="80"/>
      <c r="S280" s="80"/>
    </row>
    <row r="281" spans="3:19">
      <c r="Q281" s="80"/>
      <c r="R281" s="80"/>
      <c r="S281" s="80"/>
    </row>
    <row r="282" spans="3:19">
      <c r="Q282" s="80"/>
      <c r="R282" s="80"/>
      <c r="S282" s="80"/>
    </row>
    <row r="283" spans="3:19">
      <c r="Q283" s="80"/>
      <c r="R283" s="80"/>
      <c r="S283" s="80"/>
    </row>
    <row r="284" spans="3:19">
      <c r="Q284" s="80"/>
      <c r="R284" s="80"/>
      <c r="S284" s="80"/>
    </row>
    <row r="285" spans="3:19">
      <c r="Q285" s="80"/>
      <c r="R285" s="80"/>
      <c r="S285" s="80"/>
    </row>
    <row r="286" spans="3:19">
      <c r="Q286" s="80"/>
      <c r="R286" s="80"/>
      <c r="S286" s="80"/>
    </row>
    <row r="287" spans="3:19">
      <c r="Q287" s="80"/>
      <c r="R287" s="80"/>
      <c r="S287" s="80"/>
    </row>
    <row r="288" spans="3:19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Q288" s="80"/>
      <c r="R288" s="80"/>
      <c r="S288" s="80"/>
    </row>
    <row r="289" spans="3:19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3:19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3:19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3:19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3:19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3:19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3:19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3:19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3:19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3:19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3:19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3:19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3:19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3:19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3:19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3:19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3:19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3:19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3:19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3:19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3:19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3:19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3:19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3:19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3:19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3:19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3:19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3:19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3:19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3:19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3:19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3:19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3:19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3:19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3:19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3:19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3:19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3:19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3:19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3:19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3:19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3:19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3:19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3:19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3:19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3:19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3:19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3:19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3:19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3:19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>
      <c r="P344" s="80"/>
      <c r="Q344" s="80"/>
      <c r="R344" s="80"/>
      <c r="S344" s="80"/>
    </row>
  </sheetData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Q575"/>
  <sheetViews>
    <sheetView workbookViewId="0"/>
  </sheetViews>
  <sheetFormatPr defaultColWidth="9.33203125" defaultRowHeight="15.75"/>
  <cols>
    <col min="1" max="1" width="9" style="1" customWidth="1"/>
    <col min="2" max="2" width="2.1640625" style="1" customWidth="1"/>
    <col min="3" max="3" width="75.5" style="1" bestFit="1" customWidth="1"/>
    <col min="4" max="4" width="31.1640625" style="1" customWidth="1"/>
    <col min="5" max="5" width="24.1640625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30" customWidth="1"/>
    <col min="15" max="15" width="48.83203125" style="30" customWidth="1"/>
    <col min="16" max="16" width="23.5" style="30" customWidth="1"/>
    <col min="17" max="17" width="20.5" style="30" customWidth="1"/>
    <col min="18" max="18" width="20.83203125" style="30" customWidth="1"/>
    <col min="19" max="19" width="23.6640625" style="30" bestFit="1" customWidth="1"/>
    <col min="20" max="20" width="22.1640625" style="30" bestFit="1" customWidth="1"/>
    <col min="21" max="21" width="23" style="30" bestFit="1" customWidth="1"/>
    <col min="22" max="22" width="19.83203125" style="30" customWidth="1"/>
    <col min="23" max="23" width="20.33203125" style="30" customWidth="1"/>
    <col min="24" max="24" width="23.5" style="30" bestFit="1" customWidth="1"/>
    <col min="25" max="25" width="21.6640625" style="30" bestFit="1" customWidth="1"/>
    <col min="26" max="26" width="16.1640625" style="30" customWidth="1"/>
    <col min="27" max="28" width="23.5" style="30" bestFit="1" customWidth="1"/>
    <col min="29" max="29" width="21.33203125" style="30" bestFit="1" customWidth="1"/>
    <col min="30" max="30" width="23.5" style="30" bestFit="1" customWidth="1"/>
    <col min="31" max="31" width="21.33203125" style="30" bestFit="1" customWidth="1"/>
    <col min="32" max="32" width="20.6640625" style="30" bestFit="1" customWidth="1"/>
    <col min="33" max="43" width="9.33203125" style="30"/>
    <col min="44" max="16384" width="9.33203125" style="1"/>
  </cols>
  <sheetData>
    <row r="1" spans="1:32" s="1" customFormat="1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2"/>
      <c r="L1" s="2"/>
      <c r="M1" s="188"/>
      <c r="N1" s="20"/>
      <c r="O1" s="35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1" customFormat="1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2"/>
      <c r="L2" s="2"/>
      <c r="M2" s="188"/>
      <c r="N2" s="20"/>
      <c r="O2" s="20"/>
      <c r="P2" s="3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20"/>
      <c r="O3" s="20"/>
      <c r="P3" s="37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>
      <c r="A4" s="1" t="s">
        <v>186</v>
      </c>
      <c r="C4" s="2"/>
      <c r="D4" s="2"/>
      <c r="E4" s="7"/>
      <c r="F4" s="2"/>
      <c r="G4" s="2"/>
      <c r="H4" s="2"/>
      <c r="I4" s="4"/>
      <c r="J4" s="179" t="str">
        <f>"For the 12 months ended "&amp;TEXT('OATT Input Data'!B4,"MM/DD/YYYY")</f>
        <v>For the 12 months ended 12/31/2015</v>
      </c>
      <c r="K4" s="4"/>
      <c r="L4" s="4"/>
      <c r="M4" s="4"/>
      <c r="N4" s="20"/>
      <c r="O4" s="20"/>
      <c r="P4" s="2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>
      <c r="A5" s="207" t="s">
        <v>187</v>
      </c>
      <c r="C5" s="2"/>
      <c r="F5" s="8"/>
      <c r="G5" s="8"/>
      <c r="H5" s="8"/>
      <c r="I5" s="2"/>
      <c r="J5" s="179" t="s">
        <v>123</v>
      </c>
      <c r="K5" s="192"/>
      <c r="L5" s="192"/>
      <c r="M5" s="4"/>
      <c r="N5" s="20"/>
      <c r="O5" s="20"/>
      <c r="P5" s="2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1" customForma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1" customFormat="1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2"/>
      <c r="L7" s="2"/>
      <c r="M7" s="4"/>
      <c r="N7" s="44"/>
      <c r="O7" s="44"/>
      <c r="P7" s="1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1" customFormat="1">
      <c r="C8" s="5" t="s">
        <v>18</v>
      </c>
      <c r="D8" s="5" t="s">
        <v>19</v>
      </c>
      <c r="E8" s="5" t="s">
        <v>20</v>
      </c>
      <c r="F8" s="8" t="s">
        <v>0</v>
      </c>
      <c r="G8" s="8"/>
      <c r="H8" s="383" t="s">
        <v>21</v>
      </c>
      <c r="I8" s="8"/>
      <c r="J8" s="384" t="s">
        <v>22</v>
      </c>
      <c r="K8" s="8"/>
      <c r="L8" s="5"/>
      <c r="M8" s="8"/>
      <c r="N8" s="29"/>
      <c r="O8" s="44"/>
      <c r="P8" s="1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>
      <c r="C9" s="2"/>
      <c r="D9" s="385" t="s">
        <v>23</v>
      </c>
      <c r="E9" s="8"/>
      <c r="F9" s="8"/>
      <c r="G9" s="8"/>
      <c r="H9" s="5"/>
      <c r="I9" s="8"/>
      <c r="J9" s="386" t="s">
        <v>24</v>
      </c>
      <c r="K9" s="8"/>
      <c r="L9" s="5"/>
      <c r="M9" s="8"/>
      <c r="N9" s="29"/>
      <c r="O9" s="29"/>
      <c r="P9" s="1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>
      <c r="A10" s="5" t="s">
        <v>1</v>
      </c>
      <c r="C10" s="2"/>
      <c r="D10" s="387" t="s">
        <v>25</v>
      </c>
      <c r="E10" s="386" t="s">
        <v>26</v>
      </c>
      <c r="F10" s="388"/>
      <c r="G10" s="386" t="s">
        <v>27</v>
      </c>
      <c r="I10" s="388"/>
      <c r="J10" s="389" t="s">
        <v>28</v>
      </c>
      <c r="K10" s="8"/>
      <c r="L10" s="5"/>
      <c r="M10" s="4"/>
      <c r="N10" s="29"/>
      <c r="O10" s="29"/>
      <c r="P10" s="1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16.5" thickBot="1">
      <c r="A11" s="10" t="s">
        <v>3</v>
      </c>
      <c r="C11" s="390" t="s">
        <v>29</v>
      </c>
      <c r="D11" s="8"/>
      <c r="E11" s="8"/>
      <c r="F11" s="8"/>
      <c r="G11" s="8"/>
      <c r="H11" s="8"/>
      <c r="I11" s="8"/>
      <c r="J11" s="8"/>
      <c r="K11" s="8"/>
      <c r="L11" s="8"/>
      <c r="M11" s="4"/>
      <c r="N11" s="44"/>
      <c r="O11" s="44"/>
      <c r="P11" s="1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>
      <c r="A12" s="5"/>
      <c r="C12" s="2"/>
      <c r="D12" s="8"/>
      <c r="E12" s="8"/>
      <c r="F12" s="8"/>
      <c r="G12" s="8"/>
      <c r="H12" s="8"/>
      <c r="I12" s="8"/>
      <c r="J12" s="8"/>
      <c r="K12" s="8"/>
      <c r="L12" s="8"/>
      <c r="M12" s="4"/>
      <c r="N12" s="44"/>
      <c r="O12" s="44"/>
      <c r="P12" s="19"/>
      <c r="Q12" s="30"/>
      <c r="R12" s="30"/>
      <c r="S12" s="123"/>
      <c r="T12" s="123"/>
      <c r="U12" s="30"/>
      <c r="V12" s="30"/>
      <c r="W12" s="30"/>
      <c r="X12" s="30"/>
      <c r="Y12" s="30"/>
      <c r="Z12" s="30"/>
      <c r="AA12" s="30"/>
      <c r="AB12" s="124"/>
      <c r="AC12" s="30"/>
      <c r="AD12" s="30"/>
      <c r="AE12" s="30"/>
      <c r="AF12" s="30"/>
    </row>
    <row r="13" spans="1:32" s="1" customFormat="1">
      <c r="A13" s="5"/>
      <c r="C13" s="2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4"/>
      <c r="O13" s="44"/>
      <c r="P13" s="19"/>
      <c r="Q13" s="30"/>
      <c r="R13" s="30"/>
      <c r="S13" s="19"/>
      <c r="T13" s="124"/>
      <c r="U13" s="19"/>
      <c r="V13" s="124"/>
      <c r="W13" s="30"/>
      <c r="X13" s="30"/>
      <c r="Y13" s="30"/>
      <c r="Z13" s="30"/>
      <c r="AA13" s="30"/>
      <c r="AB13" s="63"/>
      <c r="AC13" s="124"/>
      <c r="AD13" s="125"/>
      <c r="AE13" s="125"/>
      <c r="AF13" s="125"/>
    </row>
    <row r="14" spans="1:32" s="1" customFormat="1">
      <c r="A14" s="5">
        <v>1</v>
      </c>
      <c r="C14" s="2" t="s">
        <v>31</v>
      </c>
      <c r="D14" s="184" t="s">
        <v>175</v>
      </c>
      <c r="E14" s="128">
        <f>'OATT Input Data'!$E$111</f>
        <v>9280392053</v>
      </c>
      <c r="F14" s="8"/>
      <c r="G14" s="8" t="s">
        <v>32</v>
      </c>
      <c r="H14" s="391"/>
      <c r="I14" s="8"/>
      <c r="J14" s="128"/>
      <c r="K14" s="8"/>
      <c r="L14" s="8"/>
      <c r="M14" s="4"/>
      <c r="N14" s="126"/>
      <c r="O14" s="44"/>
      <c r="P14" s="44"/>
      <c r="Q14" s="44"/>
      <c r="R14" s="44"/>
      <c r="S14" s="127"/>
      <c r="T14" s="128"/>
      <c r="U14" s="127"/>
      <c r="V14" s="128"/>
      <c r="W14" s="30"/>
      <c r="X14" s="30"/>
      <c r="Y14" s="30"/>
      <c r="Z14" s="30"/>
      <c r="AA14" s="30"/>
      <c r="AB14" s="63"/>
      <c r="AC14" s="63"/>
      <c r="AD14" s="63"/>
      <c r="AE14" s="63"/>
      <c r="AF14" s="63"/>
    </row>
    <row r="15" spans="1:32" s="1" customFormat="1">
      <c r="A15" s="5">
        <v>2</v>
      </c>
      <c r="C15" s="2" t="s">
        <v>33</v>
      </c>
      <c r="D15" s="184" t="s">
        <v>176</v>
      </c>
      <c r="E15" s="392">
        <f>'OATT Input Data'!$E$112</f>
        <v>1189651345</v>
      </c>
      <c r="F15" s="8"/>
      <c r="G15" s="8" t="s">
        <v>9</v>
      </c>
      <c r="H15" s="391">
        <f>'NITS Pg 4 of 5'!$J$16</f>
        <v>0.95574999999999999</v>
      </c>
      <c r="I15" s="8"/>
      <c r="J15" s="128">
        <f>ROUND(E15*H15,0)</f>
        <v>1137009273</v>
      </c>
      <c r="K15" s="8"/>
      <c r="L15" s="8"/>
      <c r="M15" s="4"/>
      <c r="N15" s="30"/>
      <c r="O15" s="44"/>
      <c r="P15" s="44"/>
      <c r="Q15" s="44"/>
      <c r="R15" s="44"/>
      <c r="S15" s="127"/>
      <c r="T15" s="128"/>
      <c r="U15" s="127"/>
      <c r="V15" s="128"/>
      <c r="W15" s="30"/>
      <c r="X15" s="30"/>
      <c r="Y15" s="30"/>
      <c r="Z15" s="30"/>
      <c r="AA15" s="30"/>
      <c r="AB15" s="63"/>
      <c r="AC15" s="63"/>
      <c r="AD15" s="63"/>
      <c r="AE15" s="63"/>
      <c r="AF15" s="63"/>
    </row>
    <row r="16" spans="1:32" s="1" customFormat="1">
      <c r="A16" s="5">
        <v>3</v>
      </c>
      <c r="C16" s="2" t="s">
        <v>34</v>
      </c>
      <c r="D16" s="184" t="s">
        <v>177</v>
      </c>
      <c r="E16" s="46">
        <f>'OATT Input Data'!$E$113</f>
        <v>2895042841</v>
      </c>
      <c r="F16" s="8"/>
      <c r="G16" s="8" t="s">
        <v>32</v>
      </c>
      <c r="H16" s="391"/>
      <c r="I16" s="8"/>
      <c r="J16" s="46"/>
      <c r="K16" s="8"/>
      <c r="L16" s="8"/>
      <c r="M16" s="4"/>
      <c r="N16" s="30"/>
      <c r="O16" s="44"/>
      <c r="P16" s="44"/>
      <c r="Q16" s="44"/>
      <c r="R16" s="44"/>
      <c r="S16" s="127"/>
      <c r="T16" s="128"/>
      <c r="U16" s="127"/>
      <c r="V16" s="128"/>
      <c r="W16" s="30"/>
      <c r="X16" s="30"/>
      <c r="Y16" s="30"/>
      <c r="Z16" s="30"/>
      <c r="AA16" s="30"/>
      <c r="AB16" s="63"/>
      <c r="AC16" s="30"/>
      <c r="AD16" s="30"/>
      <c r="AE16" s="30"/>
      <c r="AF16" s="30"/>
    </row>
    <row r="17" spans="1:31" s="1" customFormat="1">
      <c r="A17" s="5">
        <v>4</v>
      </c>
      <c r="C17" s="2" t="s">
        <v>35</v>
      </c>
      <c r="D17" s="184" t="s">
        <v>178</v>
      </c>
      <c r="E17" s="46">
        <f>'OATT Input Data'!$E$114+'OATT Input Data'!$E$110</f>
        <v>287728120</v>
      </c>
      <c r="F17" s="8"/>
      <c r="G17" s="8" t="s">
        <v>36</v>
      </c>
      <c r="H17" s="391">
        <f>'NITS Pg 4 of 5'!$J$33</f>
        <v>6.5890000000000004E-2</v>
      </c>
      <c r="I17" s="8"/>
      <c r="J17" s="46">
        <f>ROUND(E17*H17,0)</f>
        <v>18958406</v>
      </c>
      <c r="K17" s="8"/>
      <c r="L17" s="8"/>
      <c r="M17" s="8"/>
      <c r="N17" s="30"/>
      <c r="O17" s="129"/>
      <c r="P17" s="44"/>
      <c r="Q17" s="44"/>
      <c r="R17" s="44"/>
      <c r="S17" s="127"/>
      <c r="T17" s="128"/>
      <c r="U17" s="127"/>
      <c r="V17" s="128"/>
      <c r="W17" s="30"/>
      <c r="X17" s="30"/>
      <c r="Y17" s="30"/>
      <c r="Z17" s="30"/>
      <c r="AA17" s="30"/>
      <c r="AB17" s="63"/>
      <c r="AC17" s="30"/>
      <c r="AD17" s="30"/>
      <c r="AE17" s="30"/>
    </row>
    <row r="18" spans="1:31" s="1" customFormat="1" ht="18">
      <c r="A18" s="5">
        <v>5</v>
      </c>
      <c r="C18" s="2" t="s">
        <v>37</v>
      </c>
      <c r="D18" s="184" t="s">
        <v>179</v>
      </c>
      <c r="E18" s="393">
        <f>'OATT Input Data'!$E$115</f>
        <v>186160467.5</v>
      </c>
      <c r="F18" s="8"/>
      <c r="G18" s="8" t="s">
        <v>38</v>
      </c>
      <c r="H18" s="391">
        <f>'NITS Pg 4 of 5'!$J$41</f>
        <v>6.0560000000000003E-2</v>
      </c>
      <c r="I18" s="8"/>
      <c r="J18" s="393">
        <f>ROUND(E18*H18,0)</f>
        <v>11273878</v>
      </c>
      <c r="K18" s="8"/>
      <c r="L18" s="8"/>
      <c r="M18" s="8"/>
      <c r="N18" s="30"/>
      <c r="O18" s="525"/>
      <c r="P18" s="44"/>
      <c r="Q18" s="44"/>
      <c r="R18" s="44"/>
      <c r="S18" s="127"/>
      <c r="T18" s="128"/>
      <c r="U18" s="127"/>
      <c r="V18" s="128"/>
      <c r="W18" s="30"/>
      <c r="X18" s="30"/>
      <c r="Y18" s="30"/>
      <c r="Z18" s="30"/>
      <c r="AA18" s="30"/>
      <c r="AB18" s="63"/>
      <c r="AC18" s="30"/>
      <c r="AD18" s="30"/>
      <c r="AE18" s="30"/>
    </row>
    <row r="19" spans="1:31" s="1" customFormat="1">
      <c r="A19" s="5">
        <v>6</v>
      </c>
      <c r="C19" s="7" t="s">
        <v>173</v>
      </c>
      <c r="D19" s="187" t="s">
        <v>266</v>
      </c>
      <c r="E19" s="128">
        <f>ROUND(SUM(E14:E18),0)</f>
        <v>13838974827</v>
      </c>
      <c r="F19" s="8"/>
      <c r="G19" s="8" t="s">
        <v>320</v>
      </c>
      <c r="H19" s="394">
        <f>ROUND(J19/E19,5)</f>
        <v>8.4339999999999998E-2</v>
      </c>
      <c r="I19" s="8"/>
      <c r="J19" s="128">
        <f>ROUND(SUM(J15,J17:J18),0)</f>
        <v>1167241557</v>
      </c>
      <c r="K19" s="8"/>
      <c r="L19" s="395"/>
      <c r="M19" s="4"/>
      <c r="N19" s="30"/>
      <c r="O19" s="44"/>
      <c r="P19" s="44"/>
      <c r="Q19" s="30"/>
      <c r="R19" s="30"/>
      <c r="S19" s="127"/>
      <c r="T19" s="1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>
      <c r="C20" s="2"/>
      <c r="D20" s="187"/>
      <c r="E20" s="46"/>
      <c r="F20" s="8"/>
      <c r="G20" s="8"/>
      <c r="H20" s="395"/>
      <c r="I20" s="8"/>
      <c r="J20" s="46"/>
      <c r="K20" s="8"/>
      <c r="L20" s="395"/>
      <c r="M20" s="4"/>
      <c r="N20" s="44"/>
      <c r="O20" s="44"/>
      <c r="P20" s="1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>
      <c r="C21" s="2" t="s">
        <v>40</v>
      </c>
      <c r="D21" s="187" t="s">
        <v>252</v>
      </c>
      <c r="E21" s="46"/>
      <c r="F21" s="8"/>
      <c r="G21" s="8"/>
      <c r="H21" s="8"/>
      <c r="I21" s="8"/>
      <c r="J21" s="46"/>
      <c r="K21" s="8"/>
      <c r="L21" s="8"/>
      <c r="M21" s="4"/>
      <c r="N21" s="44"/>
      <c r="O21" s="44"/>
      <c r="P21" s="30"/>
      <c r="Q21" s="30"/>
      <c r="R21" s="30"/>
      <c r="S21" s="30"/>
      <c r="T21" s="30"/>
      <c r="U21" s="30"/>
      <c r="V21" s="30"/>
      <c r="W21" s="30"/>
      <c r="X21" s="30"/>
      <c r="Y21" s="126"/>
      <c r="Z21" s="30"/>
      <c r="AA21" s="30"/>
      <c r="AB21" s="30"/>
      <c r="AC21" s="30"/>
      <c r="AD21" s="30"/>
      <c r="AE21" s="126"/>
    </row>
    <row r="22" spans="1:31" s="1" customFormat="1">
      <c r="A22" s="5">
        <v>7</v>
      </c>
      <c r="C22" s="2" t="str">
        <f>+C14</f>
        <v xml:space="preserve">  Production</v>
      </c>
      <c r="D22" s="184" t="s">
        <v>190</v>
      </c>
      <c r="E22" s="128">
        <f>SUM('OATT Input Data'!$E$121:$E$123)</f>
        <v>2804379145.21</v>
      </c>
      <c r="F22" s="8"/>
      <c r="G22" s="8" t="s">
        <v>32</v>
      </c>
      <c r="H22" s="391"/>
      <c r="I22" s="8"/>
      <c r="J22" s="128"/>
      <c r="K22" s="8"/>
      <c r="L22" s="8"/>
      <c r="M22" s="4"/>
      <c r="N22" s="44"/>
      <c r="O22" s="130"/>
      <c r="P22" s="44"/>
      <c r="Q22" s="44"/>
      <c r="R22" s="30"/>
      <c r="S22" s="127"/>
      <c r="T22" s="128"/>
      <c r="U22" s="127"/>
      <c r="V22" s="128"/>
      <c r="W22" s="30"/>
      <c r="X22" s="63"/>
      <c r="Y22" s="63"/>
      <c r="Z22" s="30"/>
      <c r="AA22" s="63"/>
      <c r="AB22" s="63"/>
      <c r="AC22" s="63"/>
      <c r="AD22" s="63"/>
      <c r="AE22" s="63"/>
    </row>
    <row r="23" spans="1:31" s="1" customFormat="1">
      <c r="A23" s="5">
        <v>8</v>
      </c>
      <c r="C23" s="2" t="str">
        <f>+C15</f>
        <v xml:space="preserve">  Transmission</v>
      </c>
      <c r="D23" s="184" t="s">
        <v>180</v>
      </c>
      <c r="E23" s="46">
        <f>'OATT Input Data'!$E$124</f>
        <v>480669533.38999999</v>
      </c>
      <c r="F23" s="8"/>
      <c r="G23" s="8" t="s">
        <v>9</v>
      </c>
      <c r="H23" s="144">
        <f>+H15</f>
        <v>0.95574999999999999</v>
      </c>
      <c r="I23" s="8"/>
      <c r="J23" s="128">
        <f>ROUND(E23*H23,0)</f>
        <v>459399907</v>
      </c>
      <c r="K23" s="8"/>
      <c r="L23" s="8"/>
      <c r="M23" s="4"/>
      <c r="N23" s="44"/>
      <c r="O23" s="50"/>
      <c r="P23" s="44"/>
      <c r="Q23" s="44"/>
      <c r="R23" s="30"/>
      <c r="S23" s="128"/>
      <c r="T23" s="128"/>
      <c r="U23" s="128"/>
      <c r="V23" s="128"/>
      <c r="W23" s="30"/>
      <c r="X23" s="63"/>
      <c r="Y23" s="63"/>
      <c r="Z23" s="30"/>
      <c r="AA23" s="63"/>
      <c r="AB23" s="63"/>
      <c r="AC23" s="63"/>
      <c r="AD23" s="63"/>
      <c r="AE23" s="63"/>
    </row>
    <row r="24" spans="1:31" s="1" customFormat="1">
      <c r="A24" s="5">
        <v>9</v>
      </c>
      <c r="C24" s="2" t="str">
        <f>+C16</f>
        <v xml:space="preserve">  Distribution</v>
      </c>
      <c r="D24" s="184" t="s">
        <v>181</v>
      </c>
      <c r="E24" s="46">
        <f>'OATT Input Data'!$E$125</f>
        <v>1098402224.73</v>
      </c>
      <c r="F24" s="8"/>
      <c r="G24" s="8" t="str">
        <f>+G16</f>
        <v>NA</v>
      </c>
      <c r="H24" s="391"/>
      <c r="I24" s="8"/>
      <c r="J24" s="46"/>
      <c r="K24" s="8"/>
      <c r="L24" s="8"/>
      <c r="M24" s="4"/>
      <c r="N24" s="44"/>
      <c r="O24" s="130"/>
      <c r="P24" s="44"/>
      <c r="Q24" s="44"/>
      <c r="R24" s="30"/>
      <c r="S24" s="127"/>
      <c r="T24" s="128"/>
      <c r="U24" s="63"/>
      <c r="V24" s="128"/>
      <c r="W24" s="30"/>
      <c r="X24" s="63"/>
      <c r="Y24" s="63"/>
      <c r="Z24" s="30"/>
      <c r="AA24" s="63"/>
      <c r="AB24" s="63"/>
      <c r="AC24" s="63"/>
      <c r="AD24" s="30"/>
      <c r="AE24" s="30"/>
    </row>
    <row r="25" spans="1:31" s="1" customFormat="1">
      <c r="A25" s="5">
        <v>10</v>
      </c>
      <c r="C25" s="2" t="str">
        <f>+C17</f>
        <v xml:space="preserve">  General &amp; Intangible</v>
      </c>
      <c r="D25" s="184" t="s">
        <v>182</v>
      </c>
      <c r="E25" s="46">
        <f>'OATT Input Data'!$E$120+'OATT Input Data'!$E$126</f>
        <v>112269946.09</v>
      </c>
      <c r="F25" s="8"/>
      <c r="G25" s="8" t="str">
        <f>+G17</f>
        <v>W/S</v>
      </c>
      <c r="H25" s="391">
        <f>+H17</f>
        <v>6.5890000000000004E-2</v>
      </c>
      <c r="I25" s="8"/>
      <c r="J25" s="46">
        <f>ROUND(E25*H25,0)</f>
        <v>7397467</v>
      </c>
      <c r="K25" s="8"/>
      <c r="L25" s="8"/>
      <c r="M25" s="4"/>
      <c r="N25" s="44"/>
      <c r="O25" s="130"/>
      <c r="P25" s="44"/>
      <c r="Q25" s="44"/>
      <c r="R25" s="30"/>
      <c r="S25" s="128"/>
      <c r="T25" s="128"/>
      <c r="U25" s="128"/>
      <c r="V25" s="128"/>
      <c r="W25" s="30"/>
      <c r="X25" s="63"/>
      <c r="Y25" s="63"/>
      <c r="Z25" s="30"/>
      <c r="AA25" s="30"/>
      <c r="AB25" s="63"/>
      <c r="AC25" s="30"/>
      <c r="AD25" s="30"/>
      <c r="AE25" s="30"/>
    </row>
    <row r="26" spans="1:31" s="1" customFormat="1" ht="18">
      <c r="A26" s="5">
        <v>11</v>
      </c>
      <c r="C26" s="2" t="str">
        <f>+C18</f>
        <v xml:space="preserve">  Common</v>
      </c>
      <c r="D26" s="184" t="s">
        <v>179</v>
      </c>
      <c r="E26" s="393">
        <f>'OATT Input Data'!$E$127</f>
        <v>104974058.37199999</v>
      </c>
      <c r="F26" s="8"/>
      <c r="G26" s="8" t="str">
        <f>+G18</f>
        <v>CE</v>
      </c>
      <c r="H26" s="391">
        <f>+H18</f>
        <v>6.0560000000000003E-2</v>
      </c>
      <c r="I26" s="8"/>
      <c r="J26" s="393">
        <f>ROUND(E26*H26,0)</f>
        <v>6357229</v>
      </c>
      <c r="K26" s="8"/>
      <c r="L26" s="8"/>
      <c r="M26" s="4"/>
      <c r="N26" s="44"/>
      <c r="O26" s="131"/>
      <c r="P26" s="44"/>
      <c r="Q26" s="44"/>
      <c r="R26" s="30"/>
      <c r="S26" s="127"/>
      <c r="T26" s="128"/>
      <c r="U26" s="63"/>
      <c r="V26" s="128"/>
      <c r="W26" s="30"/>
      <c r="X26" s="30"/>
      <c r="Y26" s="30"/>
      <c r="Z26" s="30"/>
      <c r="AA26" s="30"/>
      <c r="AB26" s="63"/>
      <c r="AC26" s="30"/>
      <c r="AD26" s="30"/>
      <c r="AE26" s="30"/>
    </row>
    <row r="27" spans="1:31" s="1" customFormat="1">
      <c r="A27" s="5">
        <v>12</v>
      </c>
      <c r="C27" s="7" t="s">
        <v>172</v>
      </c>
      <c r="D27" s="187" t="s">
        <v>267</v>
      </c>
      <c r="E27" s="128">
        <f>ROUND(SUM(E22:E26),0)</f>
        <v>4600694908</v>
      </c>
      <c r="F27" s="8"/>
      <c r="G27" s="8"/>
      <c r="H27" s="8"/>
      <c r="I27" s="8"/>
      <c r="J27" s="128">
        <f>ROUND(SUM(J23,J25:J26),0)</f>
        <v>473154603</v>
      </c>
      <c r="K27" s="8"/>
      <c r="L27" s="8"/>
      <c r="M27" s="4"/>
      <c r="N27" s="132"/>
      <c r="O27" s="29"/>
      <c r="P27" s="44"/>
      <c r="Q27" s="44"/>
      <c r="R27" s="30"/>
      <c r="S27" s="128"/>
      <c r="T27" s="128"/>
      <c r="U27" s="30"/>
      <c r="V27" s="30"/>
      <c r="W27" s="126"/>
      <c r="X27" s="63"/>
      <c r="Y27" s="30"/>
      <c r="Z27" s="30"/>
      <c r="AA27" s="30"/>
      <c r="AB27" s="63"/>
      <c r="AC27" s="30"/>
      <c r="AD27" s="30"/>
      <c r="AE27" s="30"/>
    </row>
    <row r="28" spans="1:31" s="1" customFormat="1">
      <c r="A28" s="5"/>
      <c r="D28" s="8" t="s">
        <v>0</v>
      </c>
      <c r="E28" s="46"/>
      <c r="F28" s="8"/>
      <c r="G28" s="8"/>
      <c r="H28" s="395"/>
      <c r="I28" s="8"/>
      <c r="J28" s="46"/>
      <c r="K28" s="8"/>
      <c r="L28" s="395"/>
      <c r="M28" s="4"/>
      <c r="N28" s="44"/>
      <c r="O28" s="44"/>
      <c r="P28" s="19"/>
      <c r="Q28" s="30"/>
      <c r="R28" s="30"/>
      <c r="S28" s="30"/>
      <c r="T28" s="30"/>
      <c r="U28" s="30"/>
      <c r="V28" s="30"/>
      <c r="W28" s="30"/>
      <c r="X28" s="63"/>
      <c r="Y28" s="30"/>
      <c r="Z28" s="30"/>
      <c r="AA28" s="30"/>
      <c r="AB28" s="63"/>
      <c r="AC28" s="30"/>
      <c r="AD28" s="30"/>
      <c r="AE28" s="30"/>
    </row>
    <row r="29" spans="1:31" s="1" customFormat="1">
      <c r="A29" s="5"/>
      <c r="C29" s="2" t="s">
        <v>42</v>
      </c>
      <c r="D29" s="8"/>
      <c r="E29" s="46"/>
      <c r="F29" s="8"/>
      <c r="G29" s="8"/>
      <c r="H29" s="8"/>
      <c r="I29" s="8"/>
      <c r="J29" s="46"/>
      <c r="K29" s="8"/>
      <c r="L29" s="8"/>
      <c r="M29" s="4"/>
      <c r="N29" s="44"/>
      <c r="O29" s="44"/>
      <c r="P29" s="44"/>
      <c r="Q29" s="44"/>
      <c r="R29" s="30"/>
      <c r="S29" s="127"/>
      <c r="T29" s="128"/>
      <c r="U29" s="127"/>
      <c r="V29" s="30"/>
      <c r="W29" s="30"/>
      <c r="X29" s="63"/>
      <c r="Y29" s="30"/>
      <c r="Z29" s="30"/>
      <c r="AA29" s="30"/>
      <c r="AB29" s="30"/>
      <c r="AC29" s="30"/>
      <c r="AD29" s="30"/>
      <c r="AE29" s="30"/>
    </row>
    <row r="30" spans="1:31" s="1" customFormat="1">
      <c r="A30" s="5">
        <v>13</v>
      </c>
      <c r="C30" s="2" t="str">
        <f>+C22</f>
        <v xml:space="preserve">  Production</v>
      </c>
      <c r="D30" s="187" t="s">
        <v>268</v>
      </c>
      <c r="E30" s="128">
        <f>E14-E22</f>
        <v>6476012907.79</v>
      </c>
      <c r="F30" s="8"/>
      <c r="G30" s="8"/>
      <c r="H30" s="395"/>
      <c r="I30" s="8"/>
      <c r="J30" s="128"/>
      <c r="K30" s="8"/>
      <c r="L30" s="395"/>
      <c r="M30" s="4"/>
      <c r="N30" s="44"/>
      <c r="O30" s="44"/>
      <c r="P30" s="44"/>
      <c r="Q30" s="44"/>
      <c r="R30" s="30"/>
      <c r="S30" s="127"/>
      <c r="T30" s="128"/>
      <c r="U30" s="127"/>
      <c r="V30" s="30"/>
      <c r="W30" s="30"/>
      <c r="X30" s="63"/>
      <c r="Y30" s="63"/>
      <c r="Z30" s="30"/>
      <c r="AA30" s="30"/>
      <c r="AB30" s="126"/>
      <c r="AC30" s="126"/>
      <c r="AD30" s="30"/>
      <c r="AE30" s="30"/>
    </row>
    <row r="31" spans="1:31" s="1" customFormat="1">
      <c r="A31" s="5">
        <v>14</v>
      </c>
      <c r="C31" s="2" t="str">
        <f>+C23</f>
        <v xml:space="preserve">  Transmission</v>
      </c>
      <c r="D31" s="187" t="s">
        <v>269</v>
      </c>
      <c r="E31" s="46">
        <f t="shared" ref="E31:E34" si="0">E15-E23</f>
        <v>708981811.61000001</v>
      </c>
      <c r="F31" s="8"/>
      <c r="G31" s="8"/>
      <c r="H31" s="391"/>
      <c r="I31" s="8"/>
      <c r="J31" s="128">
        <f>J15-J23</f>
        <v>677609366</v>
      </c>
      <c r="K31" s="8"/>
      <c r="L31" s="395"/>
      <c r="M31" s="4"/>
      <c r="N31" s="44"/>
      <c r="O31" s="44"/>
      <c r="P31" s="44"/>
      <c r="Q31" s="44"/>
      <c r="R31" s="30"/>
      <c r="S31" s="127"/>
      <c r="T31" s="128"/>
      <c r="U31" s="127"/>
      <c r="V31" s="30"/>
      <c r="W31" s="30"/>
      <c r="X31" s="30"/>
      <c r="Y31" s="63"/>
      <c r="Z31" s="30"/>
      <c r="AA31" s="63"/>
      <c r="AB31" s="63"/>
      <c r="AC31" s="30"/>
      <c r="AD31" s="30"/>
      <c r="AE31" s="30"/>
    </row>
    <row r="32" spans="1:31" s="1" customFormat="1">
      <c r="A32" s="5">
        <v>15</v>
      </c>
      <c r="C32" s="2" t="str">
        <f>+C24</f>
        <v xml:space="preserve">  Distribution</v>
      </c>
      <c r="D32" s="187" t="s">
        <v>270</v>
      </c>
      <c r="E32" s="46">
        <f t="shared" si="0"/>
        <v>1796640616.27</v>
      </c>
      <c r="F32" s="8"/>
      <c r="G32" s="8"/>
      <c r="H32" s="395"/>
      <c r="I32" s="8"/>
      <c r="J32" s="46"/>
      <c r="K32" s="8"/>
      <c r="L32" s="395"/>
      <c r="M32" s="4"/>
      <c r="N32" s="44"/>
      <c r="O32" s="81"/>
      <c r="P32" s="44"/>
      <c r="Q32" s="30"/>
      <c r="R32" s="126"/>
      <c r="S32" s="127"/>
      <c r="T32" s="128"/>
      <c r="U32" s="128"/>
      <c r="V32" s="30"/>
      <c r="W32" s="30"/>
      <c r="X32" s="63"/>
      <c r="Y32" s="63"/>
      <c r="Z32" s="30"/>
      <c r="AA32" s="63"/>
      <c r="AB32" s="63"/>
      <c r="AC32" s="133"/>
      <c r="AD32" s="30"/>
      <c r="AE32" s="30"/>
    </row>
    <row r="33" spans="1:28" s="1" customFormat="1">
      <c r="A33" s="5">
        <v>16</v>
      </c>
      <c r="C33" s="2" t="str">
        <f>+C25</f>
        <v xml:space="preserve">  General &amp; Intangible</v>
      </c>
      <c r="D33" s="187" t="s">
        <v>271</v>
      </c>
      <c r="E33" s="46">
        <f t="shared" si="0"/>
        <v>175458173.91</v>
      </c>
      <c r="F33" s="8"/>
      <c r="G33" s="8"/>
      <c r="H33" s="395"/>
      <c r="I33" s="8"/>
      <c r="J33" s="46">
        <f>J17-J25</f>
        <v>11560939</v>
      </c>
      <c r="K33" s="8"/>
      <c r="L33" s="395"/>
      <c r="M33" s="4"/>
      <c r="N33" s="44"/>
      <c r="O33" s="29"/>
      <c r="P33" s="19"/>
      <c r="Q33" s="30"/>
      <c r="R33" s="30"/>
      <c r="S33" s="30"/>
      <c r="T33" s="30"/>
      <c r="U33" s="30"/>
      <c r="V33" s="30"/>
      <c r="W33" s="30"/>
      <c r="X33" s="63"/>
      <c r="Y33" s="63"/>
      <c r="Z33" s="30"/>
      <c r="AA33" s="63"/>
      <c r="AB33" s="63"/>
    </row>
    <row r="34" spans="1:28" s="1" customFormat="1" ht="18">
      <c r="A34" s="5">
        <v>17</v>
      </c>
      <c r="C34" s="2" t="str">
        <f>+C26</f>
        <v xml:space="preserve">  Common</v>
      </c>
      <c r="D34" s="187" t="s">
        <v>272</v>
      </c>
      <c r="E34" s="393">
        <f t="shared" si="0"/>
        <v>81186409.128000006</v>
      </c>
      <c r="F34" s="8"/>
      <c r="G34" s="8"/>
      <c r="H34" s="395"/>
      <c r="I34" s="8"/>
      <c r="J34" s="393">
        <f>J18-J26</f>
        <v>4916649</v>
      </c>
      <c r="K34" s="8"/>
      <c r="L34" s="395"/>
      <c r="M34" s="4"/>
      <c r="N34" s="44"/>
      <c r="O34" s="29"/>
      <c r="P34" s="19"/>
      <c r="Q34" s="30"/>
      <c r="R34" s="30"/>
      <c r="S34" s="30"/>
      <c r="T34" s="30"/>
      <c r="U34" s="30"/>
      <c r="V34" s="30"/>
      <c r="W34" s="30"/>
      <c r="X34" s="63"/>
      <c r="Y34" s="30"/>
      <c r="Z34" s="30"/>
      <c r="AA34" s="30"/>
      <c r="AB34" s="63"/>
    </row>
    <row r="35" spans="1:28" s="1" customFormat="1">
      <c r="A35" s="5">
        <v>18</v>
      </c>
      <c r="C35" s="7" t="s">
        <v>171</v>
      </c>
      <c r="D35" s="187" t="s">
        <v>273</v>
      </c>
      <c r="E35" s="128">
        <f>ROUND(SUM(E30:E34),0)</f>
        <v>9238279919</v>
      </c>
      <c r="F35" s="8"/>
      <c r="G35" s="8" t="s">
        <v>321</v>
      </c>
      <c r="H35" s="394">
        <f>ROUND(J35/E35,5)</f>
        <v>7.5130000000000002E-2</v>
      </c>
      <c r="I35" s="8"/>
      <c r="J35" s="128">
        <f>ROUND(SUM(J31,J33:J34),0)</f>
        <v>694086954</v>
      </c>
      <c r="K35" s="8"/>
      <c r="L35" s="8"/>
      <c r="M35" s="4"/>
      <c r="N35" s="134"/>
      <c r="O35" s="44"/>
      <c r="P35" s="19"/>
      <c r="Q35" s="30"/>
      <c r="R35" s="30"/>
      <c r="S35" s="30"/>
      <c r="T35" s="30"/>
      <c r="U35" s="30"/>
      <c r="V35" s="30"/>
      <c r="W35" s="30"/>
      <c r="X35" s="63"/>
      <c r="Y35" s="30"/>
      <c r="Z35" s="30"/>
      <c r="AA35" s="30"/>
      <c r="AB35" s="30"/>
    </row>
    <row r="36" spans="1:28" s="1" customFormat="1">
      <c r="A36" s="5"/>
      <c r="D36" s="8"/>
      <c r="E36" s="46"/>
      <c r="F36" s="8"/>
      <c r="I36" s="8"/>
      <c r="J36" s="46"/>
      <c r="K36" s="8"/>
      <c r="L36" s="395"/>
      <c r="M36" s="4"/>
      <c r="N36" s="44"/>
      <c r="O36" s="44"/>
      <c r="P36" s="1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63"/>
    </row>
    <row r="37" spans="1:28" s="1" customFormat="1">
      <c r="A37" s="5"/>
      <c r="C37" s="7" t="s">
        <v>191</v>
      </c>
      <c r="D37" s="187" t="s">
        <v>253</v>
      </c>
      <c r="E37" s="46"/>
      <c r="F37" s="8"/>
      <c r="G37" s="8"/>
      <c r="H37" s="8"/>
      <c r="I37" s="8"/>
      <c r="J37" s="46"/>
      <c r="K37" s="8"/>
      <c r="L37" s="8"/>
      <c r="M37" s="4"/>
      <c r="N37" s="44"/>
      <c r="O37" s="44"/>
      <c r="P37" s="19"/>
      <c r="Q37" s="30"/>
      <c r="R37" s="30"/>
      <c r="S37" s="30"/>
      <c r="T37" s="30"/>
      <c r="U37" s="30"/>
      <c r="V37" s="44"/>
      <c r="W37" s="30"/>
      <c r="X37" s="30"/>
      <c r="Y37" s="30"/>
      <c r="Z37" s="30"/>
      <c r="AA37" s="30"/>
      <c r="AB37" s="30"/>
    </row>
    <row r="38" spans="1:28" s="1" customFormat="1">
      <c r="A38" s="5">
        <v>19</v>
      </c>
      <c r="C38" s="2" t="s">
        <v>44</v>
      </c>
      <c r="D38" s="184" t="s">
        <v>380</v>
      </c>
      <c r="E38" s="330">
        <f>'OATT Input Data'!$E$133*-1</f>
        <v>0</v>
      </c>
      <c r="F38" s="8"/>
      <c r="G38" s="8" t="s">
        <v>32</v>
      </c>
      <c r="H38" s="144"/>
      <c r="I38" s="8"/>
      <c r="J38" s="128"/>
      <c r="K38" s="8"/>
      <c r="L38" s="395"/>
      <c r="M38" s="4"/>
      <c r="N38" s="135"/>
      <c r="O38" s="29"/>
      <c r="P38" s="44"/>
      <c r="Q38" s="44"/>
      <c r="R38" s="30"/>
      <c r="S38" s="128"/>
      <c r="T38" s="128"/>
      <c r="U38" s="128"/>
      <c r="V38" s="128"/>
      <c r="W38" s="30"/>
      <c r="X38" s="30"/>
      <c r="Y38" s="30"/>
      <c r="Z38" s="30"/>
      <c r="AA38" s="30"/>
      <c r="AB38" s="30"/>
    </row>
    <row r="39" spans="1:28" s="1" customFormat="1">
      <c r="A39" s="5">
        <f>A38+1</f>
        <v>20</v>
      </c>
      <c r="C39" s="2" t="s">
        <v>45</v>
      </c>
      <c r="D39" s="184" t="s">
        <v>261</v>
      </c>
      <c r="E39" s="46">
        <f>'OATT Input Data'!$E$134*-1</f>
        <v>-2010522465</v>
      </c>
      <c r="F39" s="8"/>
      <c r="G39" s="8" t="s">
        <v>46</v>
      </c>
      <c r="H39" s="391">
        <f>+H35</f>
        <v>7.5130000000000002E-2</v>
      </c>
      <c r="I39" s="8"/>
      <c r="J39" s="128">
        <f t="shared" ref="J39:J46" si="1">ROUND(E39*H39,0)</f>
        <v>-151050553</v>
      </c>
      <c r="K39" s="8"/>
      <c r="L39" s="395"/>
      <c r="M39" s="4"/>
      <c r="N39" s="135"/>
      <c r="O39" s="29"/>
      <c r="P39" s="44"/>
      <c r="Q39" s="44"/>
      <c r="R39" s="30"/>
      <c r="S39" s="127"/>
      <c r="T39" s="128"/>
      <c r="U39" s="127"/>
      <c r="V39" s="128"/>
      <c r="W39" s="30"/>
      <c r="X39" s="30"/>
      <c r="Y39" s="30"/>
      <c r="Z39" s="30"/>
      <c r="AA39" s="30"/>
      <c r="AB39" s="30"/>
    </row>
    <row r="40" spans="1:28" s="1" customFormat="1">
      <c r="A40" s="5">
        <f>A39+1</f>
        <v>21</v>
      </c>
      <c r="C40" s="2" t="s">
        <v>47</v>
      </c>
      <c r="D40" s="262" t="s">
        <v>262</v>
      </c>
      <c r="E40" s="46">
        <f>'OATT Input Data'!$E$138*-1</f>
        <v>-260320730</v>
      </c>
      <c r="F40" s="8"/>
      <c r="G40" s="8" t="s">
        <v>46</v>
      </c>
      <c r="H40" s="391">
        <f>+H39</f>
        <v>7.5130000000000002E-2</v>
      </c>
      <c r="I40" s="8"/>
      <c r="J40" s="46">
        <f t="shared" si="1"/>
        <v>-19557896</v>
      </c>
      <c r="K40" s="8"/>
      <c r="L40" s="395"/>
      <c r="M40" s="4"/>
      <c r="N40" s="304"/>
      <c r="O40" s="29"/>
      <c r="P40" s="44"/>
      <c r="Q40" s="44"/>
      <c r="R40" s="30"/>
      <c r="S40" s="127"/>
      <c r="T40" s="127"/>
      <c r="U40" s="127"/>
      <c r="V40" s="127"/>
      <c r="W40" s="30"/>
      <c r="X40" s="30"/>
      <c r="Y40" s="30"/>
      <c r="Z40" s="30"/>
      <c r="AA40" s="30"/>
      <c r="AB40" s="30"/>
    </row>
    <row r="41" spans="1:28" s="1" customFormat="1">
      <c r="A41" s="5">
        <f>A40+1</f>
        <v>22</v>
      </c>
      <c r="C41" s="2" t="s">
        <v>48</v>
      </c>
      <c r="D41" s="262" t="s">
        <v>263</v>
      </c>
      <c r="E41" s="46">
        <f>'OATT Input Data'!$E$142</f>
        <v>576941127</v>
      </c>
      <c r="F41" s="8"/>
      <c r="G41" s="8" t="str">
        <f>+G40</f>
        <v>NP</v>
      </c>
      <c r="H41" s="391">
        <f>+H40</f>
        <v>7.5130000000000002E-2</v>
      </c>
      <c r="I41" s="8"/>
      <c r="J41" s="46">
        <f t="shared" si="1"/>
        <v>43345587</v>
      </c>
      <c r="K41" s="8"/>
      <c r="L41" s="395"/>
      <c r="M41" s="4"/>
      <c r="N41" s="304"/>
      <c r="O41" s="29"/>
      <c r="P41" s="44"/>
      <c r="Q41" s="44"/>
      <c r="R41" s="30"/>
      <c r="S41" s="127"/>
      <c r="T41" s="127"/>
      <c r="U41" s="127"/>
      <c r="V41" s="127"/>
      <c r="W41" s="30"/>
      <c r="X41" s="30"/>
      <c r="Y41" s="30"/>
      <c r="Z41" s="30"/>
      <c r="AA41" s="30"/>
      <c r="AB41" s="30"/>
    </row>
    <row r="42" spans="1:28" s="1" customFormat="1">
      <c r="A42" s="5">
        <f>A41+1</f>
        <v>23</v>
      </c>
      <c r="C42" s="1" t="s">
        <v>49</v>
      </c>
      <c r="D42" s="184" t="s">
        <v>264</v>
      </c>
      <c r="E42" s="396">
        <f>'OATT Input Data'!$E$143*-1</f>
        <v>0</v>
      </c>
      <c r="F42" s="8"/>
      <c r="G42" s="8" t="s">
        <v>46</v>
      </c>
      <c r="H42" s="391">
        <f>+H40</f>
        <v>7.5130000000000002E-2</v>
      </c>
      <c r="I42" s="8"/>
      <c r="J42" s="396">
        <f t="shared" si="1"/>
        <v>0</v>
      </c>
      <c r="K42" s="8"/>
      <c r="L42" s="395"/>
      <c r="M42" s="4"/>
      <c r="N42" s="305"/>
      <c r="O42" s="29"/>
      <c r="P42" s="44"/>
      <c r="Q42" s="4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s="1" customFormat="1">
      <c r="A43" s="5">
        <f t="shared" ref="A43:A47" si="2">A42+1</f>
        <v>24</v>
      </c>
      <c r="C43" s="2" t="s">
        <v>50</v>
      </c>
      <c r="D43" s="260" t="s">
        <v>287</v>
      </c>
      <c r="E43" s="396">
        <f>'OATT Input Data'!$E$156*-1</f>
        <v>-2022807.8679858125</v>
      </c>
      <c r="F43" s="8"/>
      <c r="G43" s="8" t="str">
        <f>G15</f>
        <v>TP</v>
      </c>
      <c r="H43" s="144">
        <f>H15</f>
        <v>0.95574999999999999</v>
      </c>
      <c r="I43" s="8"/>
      <c r="J43" s="396">
        <f t="shared" si="1"/>
        <v>-1933299</v>
      </c>
      <c r="K43" s="8"/>
      <c r="L43" s="395"/>
      <c r="M43" s="4"/>
      <c r="N43" s="305"/>
      <c r="O43" s="29"/>
      <c r="P43" s="44"/>
      <c r="Q43" s="4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s="1" customFormat="1">
      <c r="A44" s="5">
        <f t="shared" si="2"/>
        <v>25</v>
      </c>
      <c r="C44" s="397" t="s">
        <v>51</v>
      </c>
      <c r="D44" s="260" t="s">
        <v>287</v>
      </c>
      <c r="E44" s="46">
        <f>'OATT Input Data'!$E$163*-1</f>
        <v>-7692295.5594869489</v>
      </c>
      <c r="F44" s="8"/>
      <c r="G44" s="8"/>
      <c r="H44" s="398">
        <v>1</v>
      </c>
      <c r="I44" s="8"/>
      <c r="J44" s="46">
        <f t="shared" si="1"/>
        <v>-7692296</v>
      </c>
      <c r="K44" s="8"/>
      <c r="L44" s="395"/>
      <c r="M44" s="4"/>
      <c r="N44" s="306"/>
      <c r="O44" s="29"/>
      <c r="P44" s="44"/>
      <c r="Q44" s="4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1" customFormat="1">
      <c r="A45" s="5">
        <f t="shared" si="2"/>
        <v>26</v>
      </c>
      <c r="C45" s="399" t="s">
        <v>183</v>
      </c>
      <c r="E45" s="46">
        <f>'OATT Input Data'!$E$147*-1</f>
        <v>-563237.4</v>
      </c>
      <c r="F45" s="8"/>
      <c r="G45" s="8" t="str">
        <f>$G$15</f>
        <v>TP</v>
      </c>
      <c r="H45" s="144">
        <f>$H$15</f>
        <v>0.95574999999999999</v>
      </c>
      <c r="I45" s="8"/>
      <c r="J45" s="46">
        <f t="shared" si="1"/>
        <v>-538314</v>
      </c>
      <c r="K45" s="8"/>
      <c r="L45" s="395"/>
      <c r="M45" s="4"/>
      <c r="N45" s="306"/>
      <c r="O45" s="29"/>
      <c r="P45" s="44"/>
      <c r="Q45" s="4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1" customFormat="1" ht="18">
      <c r="A46" s="5">
        <f t="shared" si="2"/>
        <v>27</v>
      </c>
      <c r="C46" s="399" t="s">
        <v>184</v>
      </c>
      <c r="E46" s="400">
        <f>'OATT Input Data'!$E$150*-1</f>
        <v>0</v>
      </c>
      <c r="F46" s="8"/>
      <c r="G46" s="8" t="str">
        <f>$G$18</f>
        <v>CE</v>
      </c>
      <c r="H46" s="144">
        <f>$H$18</f>
        <v>6.0560000000000003E-2</v>
      </c>
      <c r="I46" s="8"/>
      <c r="J46" s="400">
        <f t="shared" si="1"/>
        <v>0</v>
      </c>
      <c r="K46" s="8"/>
      <c r="L46" s="395"/>
      <c r="M46" s="4"/>
      <c r="N46" s="306"/>
      <c r="O46" s="29"/>
      <c r="P46" s="44"/>
      <c r="Q46" s="4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1" customFormat="1">
      <c r="A47" s="5">
        <f t="shared" si="2"/>
        <v>28</v>
      </c>
      <c r="C47" s="7" t="s">
        <v>192</v>
      </c>
      <c r="D47" s="187" t="s">
        <v>265</v>
      </c>
      <c r="E47" s="128">
        <f>ROUND(SUM(E38:E46),0)</f>
        <v>-1704180409</v>
      </c>
      <c r="F47" s="8"/>
      <c r="G47" s="8"/>
      <c r="H47" s="8"/>
      <c r="I47" s="8"/>
      <c r="J47" s="128">
        <f>ROUND(SUM(J39:J46),0)</f>
        <v>-137426771</v>
      </c>
      <c r="K47" s="8"/>
      <c r="L47" s="8"/>
      <c r="M47" s="4"/>
      <c r="N47" s="137"/>
      <c r="O47" s="44"/>
      <c r="P47" s="1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1" customFormat="1">
      <c r="A48" s="5"/>
      <c r="D48" s="8"/>
      <c r="E48" s="46"/>
      <c r="F48" s="8"/>
      <c r="G48" s="8"/>
      <c r="H48" s="395"/>
      <c r="I48" s="8"/>
      <c r="J48" s="46"/>
      <c r="K48" s="8"/>
      <c r="L48" s="395"/>
      <c r="M48" s="4"/>
      <c r="N48" s="62"/>
      <c r="O48" s="44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19">
      <c r="A49" s="5">
        <f>A47+1</f>
        <v>29</v>
      </c>
      <c r="C49" s="2" t="s">
        <v>260</v>
      </c>
      <c r="D49" s="184" t="s">
        <v>335</v>
      </c>
      <c r="E49" s="330">
        <f>'OATT Input Data'!$E$165*-1</f>
        <v>0</v>
      </c>
      <c r="F49" s="8"/>
      <c r="G49" s="8" t="str">
        <f>+G23</f>
        <v>TP</v>
      </c>
      <c r="H49" s="391">
        <f>+H23</f>
        <v>0.95574999999999999</v>
      </c>
      <c r="I49" s="8"/>
      <c r="J49" s="330">
        <f>ROUND(E49*H49,0)</f>
        <v>0</v>
      </c>
      <c r="K49" s="8"/>
      <c r="L49" s="8"/>
      <c r="M49" s="4"/>
      <c r="N49" s="62"/>
      <c r="O49" s="44"/>
      <c r="P49" s="44"/>
      <c r="Q49" s="44"/>
    </row>
    <row r="50" spans="1:19">
      <c r="A50" s="5"/>
      <c r="C50" s="2"/>
      <c r="D50" s="8"/>
      <c r="E50" s="46"/>
      <c r="F50" s="8"/>
      <c r="G50" s="8"/>
      <c r="H50" s="8"/>
      <c r="I50" s="8"/>
      <c r="J50" s="46"/>
      <c r="K50" s="8"/>
      <c r="L50" s="8"/>
      <c r="M50" s="4"/>
      <c r="N50" s="62"/>
      <c r="O50" s="44"/>
      <c r="P50" s="19"/>
    </row>
    <row r="51" spans="1:19">
      <c r="A51" s="5"/>
      <c r="C51" s="7" t="s">
        <v>256</v>
      </c>
      <c r="D51" s="187" t="s">
        <v>255</v>
      </c>
      <c r="E51" s="46"/>
      <c r="F51" s="8"/>
      <c r="G51" s="8"/>
      <c r="H51" s="8"/>
      <c r="I51" s="8"/>
      <c r="J51" s="46"/>
      <c r="K51" s="8"/>
      <c r="L51" s="8"/>
      <c r="M51" s="4"/>
      <c r="N51" s="44"/>
      <c r="O51" s="44"/>
      <c r="P51" s="19"/>
    </row>
    <row r="52" spans="1:19">
      <c r="A52" s="5">
        <f>A49+1</f>
        <v>30</v>
      </c>
      <c r="C52" s="399" t="s">
        <v>169</v>
      </c>
      <c r="D52" s="80" t="s">
        <v>52</v>
      </c>
      <c r="E52" s="128">
        <f>ROUND('NITS Pg 3 of 5'!$E$22/8,0)</f>
        <v>30055438</v>
      </c>
      <c r="F52" s="8"/>
      <c r="G52" s="8"/>
      <c r="H52" s="395"/>
      <c r="I52" s="8"/>
      <c r="J52" s="128">
        <f>ROUND('NITS Pg 3 of 5'!$J$22/8,0)</f>
        <v>5923462</v>
      </c>
      <c r="K52" s="4"/>
      <c r="L52" s="395"/>
      <c r="M52" s="4"/>
      <c r="N52" s="138"/>
      <c r="O52" s="139"/>
      <c r="P52" s="19"/>
    </row>
    <row r="53" spans="1:19">
      <c r="A53" s="5">
        <f>A52+1</f>
        <v>31</v>
      </c>
      <c r="C53" s="399" t="s">
        <v>257</v>
      </c>
      <c r="D53" s="184" t="s">
        <v>383</v>
      </c>
      <c r="E53" s="46">
        <f>'OATT Input Data'!$E$172</f>
        <v>10671808.87209779</v>
      </c>
      <c r="F53" s="8"/>
      <c r="G53" s="8" t="s">
        <v>53</v>
      </c>
      <c r="H53" s="391">
        <f>'NITS Pg 4 of 5'!$J$25</f>
        <v>0.82591000000000003</v>
      </c>
      <c r="I53" s="8"/>
      <c r="J53" s="46">
        <f t="shared" ref="J53:J54" si="3">ROUND(E53*H53,0)</f>
        <v>8813954</v>
      </c>
      <c r="K53" s="8" t="s">
        <v>0</v>
      </c>
      <c r="L53" s="395"/>
      <c r="M53" s="4"/>
      <c r="N53" s="140"/>
      <c r="O53" s="139"/>
      <c r="P53" s="47"/>
      <c r="Q53" s="47"/>
    </row>
    <row r="54" spans="1:19" ht="18">
      <c r="A54" s="5">
        <f t="shared" ref="A54:A55" si="4">A53+1</f>
        <v>32</v>
      </c>
      <c r="C54" s="397" t="s">
        <v>170</v>
      </c>
      <c r="D54" s="184" t="s">
        <v>419</v>
      </c>
      <c r="E54" s="401">
        <f>'OATT Input Data'!$E$178</f>
        <v>13985848</v>
      </c>
      <c r="F54" s="8"/>
      <c r="G54" s="8" t="s">
        <v>54</v>
      </c>
      <c r="H54" s="391">
        <f>+H19</f>
        <v>8.4339999999999998E-2</v>
      </c>
      <c r="I54" s="8"/>
      <c r="J54" s="393">
        <f t="shared" si="3"/>
        <v>1179566</v>
      </c>
      <c r="K54" s="8"/>
      <c r="L54" s="395"/>
      <c r="M54" s="4"/>
      <c r="N54" s="140"/>
      <c r="O54" s="29"/>
      <c r="P54" s="47"/>
      <c r="Q54" s="47"/>
    </row>
    <row r="55" spans="1:19">
      <c r="A55" s="5">
        <f t="shared" si="4"/>
        <v>33</v>
      </c>
      <c r="C55" s="7" t="s">
        <v>193</v>
      </c>
      <c r="D55" s="187" t="str">
        <f>"Sum of Ls. "&amp;A52&amp;" - "&amp;A54</f>
        <v>Sum of Ls. 30 - 32</v>
      </c>
      <c r="E55" s="128">
        <f>ROUND(SUM(E52:E54),0)</f>
        <v>54713095</v>
      </c>
      <c r="F55" s="4"/>
      <c r="G55" s="4"/>
      <c r="H55" s="4"/>
      <c r="I55" s="4"/>
      <c r="J55" s="128">
        <f>ROUND(SUM(J52:J54),0)</f>
        <v>15916982</v>
      </c>
      <c r="K55" s="4"/>
      <c r="L55" s="4"/>
      <c r="M55" s="4"/>
      <c r="N55" s="132"/>
      <c r="O55" s="44"/>
      <c r="P55" s="19"/>
    </row>
    <row r="56" spans="1:19">
      <c r="D56" s="8"/>
      <c r="E56" s="46"/>
      <c r="F56" s="8"/>
      <c r="G56" s="8"/>
      <c r="H56" s="8"/>
      <c r="I56" s="8"/>
      <c r="J56" s="46"/>
      <c r="K56" s="8"/>
      <c r="L56" s="8"/>
      <c r="M56" s="4"/>
      <c r="N56" s="44"/>
      <c r="O56" s="44"/>
      <c r="P56" s="19"/>
    </row>
    <row r="57" spans="1:19">
      <c r="A57" s="5">
        <f>A55+1</f>
        <v>34</v>
      </c>
      <c r="C57" s="2" t="s">
        <v>258</v>
      </c>
      <c r="D57" s="187" t="s">
        <v>259</v>
      </c>
      <c r="E57" s="402">
        <f>ROUND(E55+E49+E47+E35,0)</f>
        <v>7588812605</v>
      </c>
      <c r="F57" s="8"/>
      <c r="G57" s="8"/>
      <c r="H57" s="395"/>
      <c r="I57" s="8"/>
      <c r="J57" s="402">
        <f>ROUND(J55+J49+J47+J35,0)</f>
        <v>572577165</v>
      </c>
      <c r="K57" s="8"/>
      <c r="L57" s="395"/>
      <c r="M57" s="8"/>
      <c r="N57" s="44"/>
      <c r="O57" s="44"/>
      <c r="P57" s="19"/>
    </row>
    <row r="58" spans="1:19">
      <c r="A58" s="5"/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44"/>
      <c r="O58" s="44"/>
      <c r="P58" s="19"/>
    </row>
    <row r="59" spans="1:19">
      <c r="Q59" s="79"/>
      <c r="R59" s="79"/>
      <c r="S59" s="79"/>
    </row>
    <row r="60" spans="1:19">
      <c r="Q60" s="79"/>
      <c r="R60" s="79"/>
      <c r="S60" s="79"/>
    </row>
    <row r="61" spans="1:19">
      <c r="Q61" s="79"/>
      <c r="R61" s="79"/>
      <c r="S61" s="79"/>
    </row>
    <row r="62" spans="1:19">
      <c r="Q62" s="79"/>
      <c r="R62" s="79"/>
      <c r="S62" s="79"/>
    </row>
    <row r="63" spans="1:19">
      <c r="Q63" s="79"/>
      <c r="R63" s="79"/>
      <c r="S63" s="79"/>
    </row>
    <row r="64" spans="1:19">
      <c r="Q64" s="79"/>
      <c r="R64" s="79"/>
      <c r="S64" s="79"/>
    </row>
    <row r="65" spans="17:43" s="1" customFormat="1">
      <c r="Q65" s="79"/>
      <c r="R65" s="79"/>
      <c r="S65" s="7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7:43" s="1" customFormat="1">
      <c r="Q66" s="79"/>
      <c r="R66" s="79"/>
      <c r="S66" s="7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7:43" s="1" customFormat="1">
      <c r="Q67" s="79"/>
      <c r="R67" s="79"/>
      <c r="S67" s="7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7:43" s="1" customFormat="1">
      <c r="Q68" s="79"/>
      <c r="R68" s="79"/>
      <c r="S68" s="79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7:43" s="1" customFormat="1">
      <c r="Q69" s="79"/>
      <c r="R69" s="79"/>
      <c r="S69" s="7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7:43" s="1" customFormat="1">
      <c r="Q70" s="79"/>
      <c r="R70" s="79"/>
      <c r="S70" s="7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7:43" s="1" customFormat="1">
      <c r="Q71" s="79"/>
      <c r="R71" s="79"/>
      <c r="S71" s="79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7:43" s="1" customFormat="1">
      <c r="Q72" s="79"/>
      <c r="R72" s="79"/>
      <c r="S72" s="79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7:43" s="1" customFormat="1">
      <c r="Q73" s="79"/>
      <c r="R73" s="79"/>
      <c r="S73" s="7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7:43" s="1" customFormat="1">
      <c r="Q74" s="79"/>
      <c r="R74" s="79"/>
      <c r="S74" s="7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7:43" s="1" customFormat="1">
      <c r="Q75" s="79"/>
      <c r="R75" s="79"/>
      <c r="S75" s="7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7:43" s="1" customFormat="1">
      <c r="Q76" s="79"/>
      <c r="R76" s="79"/>
      <c r="S76" s="7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7:43" s="1" customFormat="1">
      <c r="Q77" s="79"/>
      <c r="R77" s="79"/>
      <c r="S77" s="79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7:43" s="1" customFormat="1">
      <c r="Q78" s="79"/>
      <c r="R78" s="79"/>
      <c r="S78" s="79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7:43" s="1" customFormat="1">
      <c r="Q79" s="79"/>
      <c r="R79" s="79"/>
      <c r="S79" s="7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7:43" s="1" customFormat="1">
      <c r="Q80" s="79"/>
      <c r="R80" s="79"/>
      <c r="S80" s="7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7:43" s="1" customFormat="1">
      <c r="Q81" s="79"/>
      <c r="R81" s="79"/>
      <c r="S81" s="7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7:43" s="1" customFormat="1">
      <c r="Q82" s="79"/>
      <c r="R82" s="79"/>
      <c r="S82" s="7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7:43" s="1" customFormat="1">
      <c r="Q83" s="79"/>
      <c r="R83" s="79"/>
      <c r="S83" s="7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7:43" s="1" customFormat="1">
      <c r="Q84" s="79"/>
      <c r="R84" s="79"/>
      <c r="S84" s="79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7:43" s="1" customFormat="1">
      <c r="Q85" s="79"/>
      <c r="R85" s="79"/>
      <c r="S85" s="79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7:43" s="1" customFormat="1">
      <c r="Q86" s="79"/>
      <c r="R86" s="79"/>
      <c r="S86" s="7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7:43" s="1" customFormat="1">
      <c r="Q87" s="79"/>
      <c r="R87" s="79"/>
      <c r="S87" s="7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7:43" s="1" customFormat="1">
      <c r="Q88" s="79"/>
      <c r="R88" s="79"/>
      <c r="S88" s="7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7:43" s="1" customFormat="1">
      <c r="Q89" s="79"/>
      <c r="R89" s="79"/>
      <c r="S89" s="7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7:43" s="1" customFormat="1">
      <c r="Q90" s="79"/>
      <c r="R90" s="79"/>
      <c r="S90" s="7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7:43" s="1" customFormat="1">
      <c r="Q91" s="79"/>
      <c r="R91" s="79"/>
      <c r="S91" s="7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7:43" s="1" customFormat="1">
      <c r="Q92" s="79"/>
      <c r="R92" s="79"/>
      <c r="S92" s="7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7:43" s="1" customFormat="1">
      <c r="Q93" s="79"/>
      <c r="R93" s="79"/>
      <c r="S93" s="7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7:43" s="1" customFormat="1">
      <c r="Q94" s="79"/>
      <c r="R94" s="79"/>
      <c r="S94" s="7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7:43" s="1" customFormat="1">
      <c r="Q95" s="79"/>
      <c r="R95" s="79"/>
      <c r="S95" s="7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7:43" s="1" customFormat="1">
      <c r="Q96" s="79"/>
      <c r="R96" s="79"/>
      <c r="S96" s="7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7:43" s="1" customFormat="1">
      <c r="Q97" s="79"/>
      <c r="R97" s="79"/>
      <c r="S97" s="7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7:43" s="1" customFormat="1">
      <c r="Q98" s="79"/>
      <c r="R98" s="79"/>
      <c r="S98" s="7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7:43" s="1" customFormat="1">
      <c r="Q99" s="79"/>
      <c r="R99" s="79"/>
      <c r="S99" s="7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7:43" s="1" customFormat="1">
      <c r="Q100" s="79"/>
      <c r="R100" s="79"/>
      <c r="S100" s="7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7:43" s="1" customFormat="1">
      <c r="Q101" s="79"/>
      <c r="R101" s="79"/>
      <c r="S101" s="7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7:43" s="1" customFormat="1">
      <c r="Q102" s="79"/>
      <c r="R102" s="79"/>
      <c r="S102" s="7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7:43" s="1" customFormat="1">
      <c r="Q103" s="79"/>
      <c r="R103" s="79"/>
      <c r="S103" s="7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7:43" s="1" customFormat="1">
      <c r="Q104" s="79"/>
      <c r="R104" s="79"/>
      <c r="S104" s="7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7:43" s="1" customFormat="1">
      <c r="Q105" s="79"/>
      <c r="R105" s="79"/>
      <c r="S105" s="7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7:43" s="1" customFormat="1">
      <c r="Q106" s="79"/>
      <c r="R106" s="79"/>
      <c r="S106" s="7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7:43" s="1" customFormat="1">
      <c r="Q107" s="79"/>
      <c r="R107" s="79"/>
      <c r="S107" s="7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7:43" s="1" customFormat="1">
      <c r="Q108" s="79"/>
      <c r="R108" s="79"/>
      <c r="S108" s="7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7:43" s="1" customFormat="1">
      <c r="Q109" s="79"/>
      <c r="R109" s="79"/>
      <c r="S109" s="7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7:43" s="1" customFormat="1">
      <c r="Q110" s="79"/>
      <c r="R110" s="79"/>
      <c r="S110" s="7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7:43" s="1" customFormat="1">
      <c r="Q111" s="79"/>
      <c r="R111" s="79"/>
      <c r="S111" s="7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7:43" s="1" customFormat="1">
      <c r="Q112" s="79"/>
      <c r="R112" s="79"/>
      <c r="S112" s="7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7:43" s="1" customFormat="1">
      <c r="Q113" s="79"/>
      <c r="R113" s="79"/>
      <c r="S113" s="7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7:43" s="1" customFormat="1">
      <c r="Q114" s="79"/>
      <c r="R114" s="79"/>
      <c r="S114" s="7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7:43" s="1" customFormat="1">
      <c r="Q115" s="79"/>
      <c r="R115" s="79"/>
      <c r="S115" s="7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7:43" s="1" customFormat="1">
      <c r="Q116" s="79"/>
      <c r="R116" s="79"/>
      <c r="S116" s="7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7:43" s="1" customFormat="1">
      <c r="Q117" s="79"/>
      <c r="R117" s="79"/>
      <c r="S117" s="7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7:43" s="1" customFormat="1">
      <c r="Q118" s="79"/>
      <c r="R118" s="79"/>
      <c r="S118" s="7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7:43" s="1" customFormat="1">
      <c r="Q119" s="79"/>
      <c r="R119" s="79"/>
      <c r="S119" s="7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7:43" s="1" customFormat="1">
      <c r="Q120" s="79"/>
      <c r="R120" s="79"/>
      <c r="S120" s="7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7:43" s="1" customFormat="1">
      <c r="Q121" s="79"/>
      <c r="R121" s="79"/>
      <c r="S121" s="7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7:43" s="1" customFormat="1">
      <c r="Q122" s="79"/>
      <c r="R122" s="79"/>
      <c r="S122" s="7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7:43" s="1" customFormat="1">
      <c r="Q123" s="79"/>
      <c r="R123" s="79"/>
      <c r="S123" s="7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7:43" s="1" customFormat="1">
      <c r="Q124" s="79"/>
      <c r="R124" s="79"/>
      <c r="S124" s="7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7:43" s="1" customFormat="1">
      <c r="Q125" s="79"/>
      <c r="R125" s="79"/>
      <c r="S125" s="7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7:43" s="1" customFormat="1">
      <c r="Q126" s="79"/>
      <c r="R126" s="79"/>
      <c r="S126" s="7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7:43" s="1" customFormat="1">
      <c r="Q127" s="79"/>
      <c r="R127" s="79"/>
      <c r="S127" s="7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7:43" s="1" customFormat="1">
      <c r="Q128" s="79"/>
      <c r="R128" s="79"/>
      <c r="S128" s="7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7:43" s="1" customFormat="1">
      <c r="Q129" s="79"/>
      <c r="R129" s="79"/>
      <c r="S129" s="7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7:43" s="1" customFormat="1">
      <c r="Q130" s="79"/>
      <c r="R130" s="79"/>
      <c r="S130" s="7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7:43" s="1" customFormat="1">
      <c r="Q131" s="79"/>
      <c r="R131" s="79"/>
      <c r="S131" s="7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7:43" s="1" customFormat="1">
      <c r="Q132" s="79"/>
      <c r="R132" s="79"/>
      <c r="S132" s="7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7:43" s="1" customFormat="1">
      <c r="Q133" s="79"/>
      <c r="R133" s="79"/>
      <c r="S133" s="7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7:43" s="1" customFormat="1">
      <c r="Q134" s="79"/>
      <c r="R134" s="79"/>
      <c r="S134" s="7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7:43" s="1" customFormat="1">
      <c r="Q135" s="79"/>
      <c r="R135" s="79"/>
      <c r="S135" s="7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7:43" s="1" customFormat="1">
      <c r="Q136" s="79"/>
      <c r="R136" s="79"/>
      <c r="S136" s="7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7:43" s="1" customFormat="1">
      <c r="Q137" s="79"/>
      <c r="R137" s="79"/>
      <c r="S137" s="7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7:43" s="1" customFormat="1">
      <c r="Q138" s="79"/>
      <c r="R138" s="79"/>
      <c r="S138" s="7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7:43" s="1" customFormat="1">
      <c r="Q139" s="79"/>
      <c r="R139" s="79"/>
      <c r="S139" s="7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7:43" s="1" customFormat="1">
      <c r="Q140" s="79"/>
      <c r="R140" s="79"/>
      <c r="S140" s="7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7:43" s="1" customFormat="1">
      <c r="Q141" s="79"/>
      <c r="R141" s="79"/>
      <c r="S141" s="7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7:43" s="1" customFormat="1">
      <c r="Q142" s="79"/>
      <c r="R142" s="79"/>
      <c r="S142" s="7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7:43" s="1" customFormat="1">
      <c r="Q143" s="79"/>
      <c r="R143" s="79"/>
      <c r="S143" s="7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7:43" s="1" customFormat="1">
      <c r="Q144" s="79"/>
      <c r="R144" s="79"/>
      <c r="S144" s="7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7:43" s="1" customFormat="1">
      <c r="Q145" s="79"/>
      <c r="R145" s="79"/>
      <c r="S145" s="7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7:43" s="1" customFormat="1">
      <c r="Q146" s="79"/>
      <c r="R146" s="79"/>
      <c r="S146" s="7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7:43" s="1" customFormat="1">
      <c r="Q147" s="79"/>
      <c r="R147" s="79"/>
      <c r="S147" s="7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7:43" s="1" customFormat="1">
      <c r="Q148" s="79"/>
      <c r="R148" s="79"/>
      <c r="S148" s="7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7:43" s="1" customFormat="1">
      <c r="Q149" s="79"/>
      <c r="R149" s="79"/>
      <c r="S149" s="7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7:43" s="1" customFormat="1">
      <c r="Q150" s="79"/>
      <c r="R150" s="79"/>
      <c r="S150" s="7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7:43" s="1" customFormat="1">
      <c r="Q151" s="79"/>
      <c r="R151" s="79"/>
      <c r="S151" s="7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7:43" s="1" customFormat="1">
      <c r="Q152" s="79"/>
      <c r="R152" s="79"/>
      <c r="S152" s="7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7:43" s="1" customFormat="1">
      <c r="Q153" s="79"/>
      <c r="R153" s="79"/>
      <c r="S153" s="7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7:43" s="1" customFormat="1">
      <c r="Q154" s="79"/>
      <c r="R154" s="79"/>
      <c r="S154" s="7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7:43" s="1" customFormat="1">
      <c r="Q155" s="79"/>
      <c r="R155" s="79"/>
      <c r="S155" s="7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7:43" s="1" customFormat="1">
      <c r="Q156" s="79"/>
      <c r="R156" s="79"/>
      <c r="S156" s="7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7:43" s="1" customFormat="1">
      <c r="Q157" s="79"/>
      <c r="R157" s="79"/>
      <c r="S157" s="7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7:43" s="1" customFormat="1">
      <c r="Q158" s="79"/>
      <c r="R158" s="79"/>
      <c r="S158" s="7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7:43" s="1" customFormat="1">
      <c r="Q159" s="79"/>
      <c r="R159" s="79"/>
      <c r="S159" s="7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7:43" s="1" customFormat="1">
      <c r="Q160" s="79"/>
      <c r="R160" s="79"/>
      <c r="S160" s="7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7:43" s="1" customFormat="1">
      <c r="Q161" s="79"/>
      <c r="R161" s="79"/>
      <c r="S161" s="7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7:43" s="1" customFormat="1">
      <c r="Q162" s="79"/>
      <c r="R162" s="79"/>
      <c r="S162" s="7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7:43" s="1" customFormat="1">
      <c r="Q163" s="79"/>
      <c r="R163" s="79"/>
      <c r="S163" s="7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7:43" s="1" customFormat="1">
      <c r="Q164" s="79"/>
      <c r="R164" s="79"/>
      <c r="S164" s="7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7:43" s="1" customFormat="1">
      <c r="Q165" s="79"/>
      <c r="R165" s="79"/>
      <c r="S165" s="7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7:43" s="1" customFormat="1">
      <c r="Q166" s="79"/>
      <c r="R166" s="79"/>
      <c r="S166" s="7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7:43" s="1" customFormat="1">
      <c r="Q167" s="79"/>
      <c r="R167" s="79"/>
      <c r="S167" s="7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7:43" s="1" customFormat="1">
      <c r="Q168" s="79"/>
      <c r="R168" s="79"/>
      <c r="S168" s="7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7:43" s="1" customFormat="1">
      <c r="Q169" s="79"/>
      <c r="R169" s="79"/>
      <c r="S169" s="7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7:43" s="1" customFormat="1">
      <c r="Q170" s="79"/>
      <c r="R170" s="79"/>
      <c r="S170" s="7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7:43" s="1" customFormat="1">
      <c r="Q171" s="79"/>
      <c r="R171" s="79"/>
      <c r="S171" s="7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7:43" s="1" customFormat="1">
      <c r="Q172" s="79"/>
      <c r="R172" s="79"/>
      <c r="S172" s="79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7:43" s="1" customFormat="1">
      <c r="Q173" s="79"/>
      <c r="R173" s="79"/>
      <c r="S173" s="79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7:43" s="1" customFormat="1">
      <c r="Q174" s="79"/>
      <c r="R174" s="79"/>
      <c r="S174" s="79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7:43" s="1" customFormat="1">
      <c r="Q175" s="79"/>
      <c r="R175" s="79"/>
      <c r="S175" s="79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7:43" s="1" customFormat="1">
      <c r="Q176" s="79"/>
      <c r="R176" s="79"/>
      <c r="S176" s="79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3:19">
      <c r="Q177" s="79"/>
      <c r="R177" s="79"/>
      <c r="S177" s="79"/>
    </row>
    <row r="178" spans="3:19">
      <c r="Q178" s="79"/>
      <c r="R178" s="79"/>
      <c r="S178" s="79"/>
    </row>
    <row r="179" spans="3:19">
      <c r="Q179" s="79"/>
      <c r="R179" s="79"/>
      <c r="S179" s="79"/>
    </row>
    <row r="180" spans="3:19">
      <c r="Q180" s="79"/>
      <c r="R180" s="79"/>
      <c r="S180" s="79"/>
    </row>
    <row r="181" spans="3:19">
      <c r="Q181" s="79"/>
      <c r="R181" s="79"/>
      <c r="S181" s="79"/>
    </row>
    <row r="182" spans="3:19">
      <c r="Q182" s="79"/>
      <c r="R182" s="79"/>
      <c r="S182" s="79"/>
    </row>
    <row r="183" spans="3:19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9"/>
      <c r="O183" s="79"/>
      <c r="Q183" s="79"/>
      <c r="R183" s="79"/>
      <c r="S183" s="79"/>
    </row>
    <row r="184" spans="3:19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9"/>
      <c r="O184" s="79"/>
      <c r="P184" s="79"/>
      <c r="Q184" s="79"/>
      <c r="R184" s="79"/>
      <c r="S184" s="79"/>
    </row>
    <row r="185" spans="3:19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9"/>
      <c r="O185" s="79"/>
      <c r="P185" s="79"/>
      <c r="Q185" s="79"/>
      <c r="R185" s="79"/>
      <c r="S185" s="79"/>
    </row>
    <row r="186" spans="3:19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9"/>
      <c r="O186" s="79"/>
      <c r="P186" s="79"/>
      <c r="Q186" s="79"/>
      <c r="R186" s="79"/>
      <c r="S186" s="79"/>
    </row>
    <row r="187" spans="3:19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9"/>
      <c r="O187" s="79"/>
      <c r="P187" s="79"/>
      <c r="Q187" s="79"/>
      <c r="R187" s="79"/>
      <c r="S187" s="79"/>
    </row>
    <row r="188" spans="3:19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9"/>
      <c r="O188" s="79"/>
      <c r="P188" s="79"/>
      <c r="Q188" s="79"/>
      <c r="R188" s="79"/>
      <c r="S188" s="79"/>
    </row>
    <row r="189" spans="3:19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9"/>
      <c r="O189" s="79"/>
      <c r="P189" s="79"/>
      <c r="Q189" s="79"/>
      <c r="R189" s="79"/>
      <c r="S189" s="79"/>
    </row>
    <row r="190" spans="3:19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9"/>
      <c r="O190" s="79"/>
      <c r="P190" s="79"/>
      <c r="Q190" s="79"/>
      <c r="R190" s="79"/>
      <c r="S190" s="79"/>
    </row>
    <row r="191" spans="3:19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9"/>
      <c r="O191" s="79"/>
      <c r="P191" s="79"/>
      <c r="Q191" s="79"/>
      <c r="R191" s="79"/>
      <c r="S191" s="79"/>
    </row>
    <row r="192" spans="3:19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9"/>
      <c r="O192" s="79"/>
      <c r="P192" s="79"/>
      <c r="Q192" s="79"/>
      <c r="R192" s="79"/>
      <c r="S192" s="79"/>
    </row>
    <row r="193" spans="3:19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9"/>
      <c r="O193" s="79"/>
      <c r="P193" s="79"/>
      <c r="Q193" s="79"/>
      <c r="R193" s="79"/>
      <c r="S193" s="79"/>
    </row>
    <row r="194" spans="3:19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9"/>
      <c r="O194" s="79"/>
      <c r="P194" s="79"/>
      <c r="Q194" s="79"/>
      <c r="R194" s="79"/>
      <c r="S194" s="79"/>
    </row>
    <row r="195" spans="3:19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9"/>
      <c r="O195" s="79"/>
      <c r="P195" s="79"/>
      <c r="Q195" s="79"/>
      <c r="R195" s="79"/>
      <c r="S195" s="79"/>
    </row>
    <row r="196" spans="3:19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9"/>
      <c r="O196" s="79"/>
      <c r="P196" s="79"/>
      <c r="Q196" s="79"/>
      <c r="R196" s="79"/>
      <c r="S196" s="79"/>
    </row>
    <row r="197" spans="3:19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9"/>
      <c r="O197" s="79"/>
      <c r="P197" s="79"/>
      <c r="Q197" s="79"/>
      <c r="R197" s="79"/>
      <c r="S197" s="79"/>
    </row>
    <row r="198" spans="3:19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9"/>
      <c r="O198" s="79"/>
      <c r="P198" s="79"/>
      <c r="Q198" s="79"/>
      <c r="R198" s="79"/>
      <c r="S198" s="79"/>
    </row>
    <row r="199" spans="3:19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9"/>
      <c r="O199" s="79"/>
      <c r="P199" s="79"/>
      <c r="Q199" s="79"/>
      <c r="R199" s="79"/>
      <c r="S199" s="79"/>
    </row>
    <row r="200" spans="3:19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9"/>
      <c r="O200" s="79"/>
      <c r="P200" s="79"/>
      <c r="Q200" s="79"/>
      <c r="R200" s="79"/>
      <c r="S200" s="79"/>
    </row>
    <row r="201" spans="3:19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9"/>
      <c r="O201" s="79"/>
      <c r="P201" s="79"/>
      <c r="Q201" s="79"/>
      <c r="R201" s="79"/>
      <c r="S201" s="79"/>
    </row>
    <row r="202" spans="3:19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9"/>
      <c r="O202" s="79"/>
      <c r="P202" s="79"/>
      <c r="Q202" s="79"/>
      <c r="R202" s="79"/>
      <c r="S202" s="79"/>
    </row>
    <row r="203" spans="3:19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9"/>
      <c r="O203" s="79"/>
      <c r="P203" s="79"/>
      <c r="Q203" s="79"/>
      <c r="R203" s="79"/>
      <c r="S203" s="79"/>
    </row>
    <row r="204" spans="3:19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9"/>
      <c r="O204" s="79"/>
      <c r="P204" s="79"/>
      <c r="Q204" s="79"/>
      <c r="R204" s="79"/>
      <c r="S204" s="79"/>
    </row>
    <row r="205" spans="3:19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9"/>
      <c r="O205" s="79"/>
      <c r="P205" s="79"/>
      <c r="Q205" s="79"/>
      <c r="R205" s="79"/>
      <c r="S205" s="79"/>
    </row>
    <row r="206" spans="3:19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9"/>
      <c r="O206" s="79"/>
      <c r="P206" s="79"/>
      <c r="Q206" s="79"/>
      <c r="R206" s="79"/>
      <c r="S206" s="79"/>
    </row>
    <row r="207" spans="3:19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9"/>
      <c r="O207" s="79"/>
      <c r="P207" s="79"/>
      <c r="Q207" s="79"/>
      <c r="R207" s="79"/>
      <c r="S207" s="79"/>
    </row>
    <row r="208" spans="3:19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9"/>
      <c r="O208" s="79"/>
      <c r="P208" s="79"/>
      <c r="Q208" s="79"/>
      <c r="R208" s="79"/>
      <c r="S208" s="79"/>
    </row>
    <row r="209" spans="3:19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9"/>
      <c r="O209" s="79"/>
      <c r="P209" s="79"/>
      <c r="Q209" s="79"/>
      <c r="R209" s="79"/>
      <c r="S209" s="79"/>
    </row>
    <row r="210" spans="3:19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9"/>
      <c r="O210" s="79"/>
      <c r="P210" s="79"/>
      <c r="Q210" s="79"/>
      <c r="R210" s="79"/>
      <c r="S210" s="79"/>
    </row>
    <row r="211" spans="3:19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9"/>
      <c r="O211" s="79"/>
      <c r="P211" s="79"/>
      <c r="Q211" s="79"/>
      <c r="R211" s="79"/>
      <c r="S211" s="79"/>
    </row>
    <row r="212" spans="3:19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9"/>
      <c r="O212" s="79"/>
      <c r="P212" s="79"/>
      <c r="Q212" s="79"/>
      <c r="R212" s="79"/>
      <c r="S212" s="79"/>
    </row>
    <row r="213" spans="3:19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9"/>
      <c r="O213" s="79"/>
      <c r="P213" s="79"/>
      <c r="Q213" s="79"/>
      <c r="R213" s="79"/>
      <c r="S213" s="79"/>
    </row>
    <row r="214" spans="3:19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9"/>
      <c r="O214" s="79"/>
      <c r="P214" s="79"/>
      <c r="Q214" s="79"/>
      <c r="R214" s="79"/>
      <c r="S214" s="79"/>
    </row>
    <row r="215" spans="3:19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9"/>
      <c r="O215" s="79"/>
      <c r="P215" s="79"/>
      <c r="Q215" s="79"/>
      <c r="R215" s="79"/>
      <c r="S215" s="79"/>
    </row>
    <row r="216" spans="3:19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9"/>
      <c r="O216" s="79"/>
      <c r="P216" s="79"/>
      <c r="Q216" s="79"/>
      <c r="R216" s="79"/>
      <c r="S216" s="79"/>
    </row>
    <row r="217" spans="3:19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9"/>
      <c r="O217" s="79"/>
      <c r="P217" s="79"/>
      <c r="Q217" s="79"/>
      <c r="R217" s="79"/>
      <c r="S217" s="79"/>
    </row>
    <row r="218" spans="3:19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9"/>
      <c r="O218" s="79"/>
      <c r="P218" s="79"/>
      <c r="Q218" s="79"/>
      <c r="R218" s="79"/>
      <c r="S218" s="79"/>
    </row>
    <row r="219" spans="3:19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9"/>
      <c r="O219" s="79"/>
      <c r="P219" s="79"/>
      <c r="Q219" s="79"/>
      <c r="R219" s="79"/>
      <c r="S219" s="79"/>
    </row>
    <row r="220" spans="3:19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9"/>
      <c r="O220" s="79"/>
      <c r="P220" s="79"/>
      <c r="Q220" s="79"/>
      <c r="R220" s="79"/>
      <c r="S220" s="79"/>
    </row>
    <row r="221" spans="3:19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9"/>
      <c r="O221" s="79"/>
      <c r="P221" s="79"/>
      <c r="Q221" s="79"/>
      <c r="R221" s="79"/>
      <c r="S221" s="79"/>
    </row>
    <row r="222" spans="3:19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9"/>
      <c r="O222" s="79"/>
      <c r="P222" s="79"/>
      <c r="Q222" s="79"/>
      <c r="R222" s="79"/>
      <c r="S222" s="79"/>
    </row>
    <row r="223" spans="3:19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9"/>
      <c r="O223" s="79"/>
      <c r="P223" s="79"/>
      <c r="Q223" s="79"/>
      <c r="R223" s="79"/>
      <c r="S223" s="79"/>
    </row>
    <row r="224" spans="3:19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9"/>
      <c r="O224" s="79"/>
      <c r="P224" s="79"/>
      <c r="Q224" s="79"/>
      <c r="R224" s="79"/>
      <c r="S224" s="79"/>
    </row>
    <row r="225" spans="3:19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9"/>
      <c r="O225" s="79"/>
      <c r="P225" s="79"/>
      <c r="Q225" s="79"/>
      <c r="R225" s="79"/>
      <c r="S225" s="79"/>
    </row>
    <row r="226" spans="3:19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9"/>
      <c r="O226" s="79"/>
      <c r="P226" s="79"/>
      <c r="Q226" s="79"/>
      <c r="R226" s="79"/>
      <c r="S226" s="79"/>
    </row>
    <row r="227" spans="3:19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9"/>
      <c r="O227" s="79"/>
      <c r="P227" s="79"/>
      <c r="Q227" s="79"/>
      <c r="R227" s="79"/>
      <c r="S227" s="79"/>
    </row>
    <row r="228" spans="3:19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9"/>
      <c r="O228" s="79"/>
      <c r="P228" s="79"/>
      <c r="Q228" s="79"/>
      <c r="R228" s="79"/>
      <c r="S228" s="79"/>
    </row>
    <row r="229" spans="3:19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9"/>
      <c r="O229" s="79"/>
      <c r="P229" s="79"/>
      <c r="Q229" s="79"/>
      <c r="R229" s="79"/>
      <c r="S229" s="79"/>
    </row>
    <row r="230" spans="3:19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9"/>
      <c r="O230" s="79"/>
      <c r="P230" s="79"/>
      <c r="Q230" s="79"/>
      <c r="R230" s="79"/>
      <c r="S230" s="79"/>
    </row>
    <row r="231" spans="3:19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9"/>
      <c r="O231" s="79"/>
      <c r="P231" s="79"/>
      <c r="Q231" s="79"/>
      <c r="R231" s="79"/>
      <c r="S231" s="79"/>
    </row>
    <row r="232" spans="3:19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9"/>
      <c r="O232" s="79"/>
      <c r="P232" s="79"/>
      <c r="Q232" s="79"/>
      <c r="R232" s="79"/>
      <c r="S232" s="79"/>
    </row>
    <row r="233" spans="3:19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9"/>
      <c r="O233" s="79"/>
      <c r="P233" s="79"/>
      <c r="Q233" s="79"/>
      <c r="R233" s="79"/>
      <c r="S233" s="79"/>
    </row>
    <row r="234" spans="3:19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9"/>
      <c r="O234" s="79"/>
      <c r="P234" s="79"/>
      <c r="Q234" s="79"/>
      <c r="R234" s="79"/>
      <c r="S234" s="79"/>
    </row>
    <row r="235" spans="3:19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9"/>
      <c r="O235" s="79"/>
      <c r="P235" s="79"/>
      <c r="Q235" s="79"/>
      <c r="R235" s="79"/>
      <c r="S235" s="79"/>
    </row>
    <row r="236" spans="3:19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9"/>
      <c r="O236" s="79"/>
      <c r="P236" s="79"/>
      <c r="Q236" s="79"/>
      <c r="R236" s="79"/>
      <c r="S236" s="79"/>
    </row>
    <row r="237" spans="3:19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9"/>
      <c r="O237" s="79"/>
      <c r="P237" s="79"/>
      <c r="Q237" s="79"/>
      <c r="R237" s="79"/>
      <c r="S237" s="79"/>
    </row>
    <row r="238" spans="3:19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9"/>
      <c r="O238" s="79"/>
      <c r="P238" s="79"/>
      <c r="Q238" s="79"/>
      <c r="R238" s="79"/>
      <c r="S238" s="79"/>
    </row>
    <row r="239" spans="3:19">
      <c r="P239" s="79"/>
      <c r="Q239" s="79"/>
      <c r="R239" s="79"/>
      <c r="S239" s="79"/>
    </row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</sheetData>
  <printOptions horizontalCentered="1"/>
  <pageMargins left="0.75" right="0.75" top="0.52" bottom="0.49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X236"/>
  <sheetViews>
    <sheetView workbookViewId="0"/>
  </sheetViews>
  <sheetFormatPr defaultColWidth="9.33203125" defaultRowHeight="15.7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24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106"/>
      <c r="O1" s="106"/>
      <c r="P1" s="106"/>
    </row>
    <row r="2" spans="1:24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106"/>
      <c r="O2" s="106"/>
      <c r="P2" s="106"/>
    </row>
    <row r="3" spans="1:24">
      <c r="A3" s="1"/>
      <c r="B3" s="1"/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106"/>
      <c r="O3" s="106"/>
      <c r="P3" s="106"/>
    </row>
    <row r="4" spans="1:24">
      <c r="A4" s="1" t="s">
        <v>186</v>
      </c>
      <c r="B4" s="1"/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106"/>
      <c r="O4" s="106"/>
      <c r="P4" s="106"/>
    </row>
    <row r="5" spans="1:24">
      <c r="A5" s="207" t="s">
        <v>187</v>
      </c>
      <c r="B5" s="1"/>
      <c r="C5" s="2"/>
      <c r="D5" s="1" t="s">
        <v>0</v>
      </c>
      <c r="E5" s="1"/>
      <c r="F5" s="8"/>
      <c r="G5" s="8"/>
      <c r="H5" s="8"/>
      <c r="I5" s="2"/>
      <c r="J5" s="206" t="s">
        <v>124</v>
      </c>
      <c r="K5" s="192"/>
      <c r="L5" s="192"/>
      <c r="M5" s="4"/>
      <c r="N5" s="106"/>
      <c r="O5" s="106"/>
      <c r="P5" s="106"/>
    </row>
    <row r="6" spans="1:24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6"/>
      <c r="O6" s="106"/>
      <c r="P6" s="106"/>
    </row>
    <row r="7" spans="1:24">
      <c r="A7" s="209" t="str">
        <f>'NITS Pg 2 of 5'!A7</f>
        <v>LG&amp;E and KU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146"/>
      <c r="O7" s="146"/>
      <c r="P7" s="155"/>
    </row>
    <row r="8" spans="1:24">
      <c r="A8" s="84"/>
      <c r="C8" s="156" t="s">
        <v>18</v>
      </c>
      <c r="D8" s="156" t="s">
        <v>19</v>
      </c>
      <c r="E8" s="156" t="s">
        <v>20</v>
      </c>
      <c r="F8" s="146" t="s">
        <v>0</v>
      </c>
      <c r="G8" s="146"/>
      <c r="H8" s="530" t="s">
        <v>21</v>
      </c>
      <c r="I8" s="146"/>
      <c r="J8" s="153" t="s">
        <v>22</v>
      </c>
      <c r="K8" s="146"/>
      <c r="L8" s="146"/>
      <c r="M8" s="146"/>
      <c r="N8" s="106"/>
      <c r="O8" s="146"/>
      <c r="P8" s="155"/>
    </row>
    <row r="9" spans="1:24">
      <c r="A9" s="84"/>
      <c r="C9" s="156"/>
      <c r="D9" s="110"/>
      <c r="E9" s="110"/>
      <c r="F9" s="110"/>
      <c r="G9" s="110"/>
      <c r="H9" s="110"/>
      <c r="I9" s="110"/>
      <c r="J9" s="110"/>
      <c r="K9" s="110"/>
      <c r="L9" s="531"/>
      <c r="M9" s="110"/>
      <c r="N9" s="110"/>
      <c r="O9" s="146"/>
      <c r="P9" s="155"/>
    </row>
    <row r="10" spans="1:24">
      <c r="A10" s="84" t="s">
        <v>1</v>
      </c>
      <c r="C10" s="155"/>
      <c r="D10" s="168" t="s">
        <v>23</v>
      </c>
      <c r="E10" s="146"/>
      <c r="F10" s="146"/>
      <c r="G10" s="146"/>
      <c r="H10" s="84"/>
      <c r="I10" s="146"/>
      <c r="J10" s="531" t="s">
        <v>24</v>
      </c>
      <c r="K10" s="146"/>
      <c r="L10" s="531"/>
      <c r="M10" s="146"/>
      <c r="N10" s="106"/>
      <c r="O10" s="146"/>
      <c r="P10" s="155"/>
    </row>
    <row r="11" spans="1:24" ht="16.5" thickBot="1">
      <c r="A11" s="408" t="s">
        <v>3</v>
      </c>
      <c r="C11" s="155"/>
      <c r="D11" s="532" t="s">
        <v>25</v>
      </c>
      <c r="E11" s="531" t="s">
        <v>26</v>
      </c>
      <c r="F11" s="533"/>
      <c r="G11" s="534" t="s">
        <v>7</v>
      </c>
      <c r="H11" s="404"/>
      <c r="I11" s="533"/>
      <c r="J11" s="535" t="s">
        <v>28</v>
      </c>
      <c r="K11" s="146"/>
      <c r="L11" s="531"/>
      <c r="M11" s="536"/>
      <c r="N11" s="531"/>
      <c r="O11" s="146"/>
    </row>
    <row r="12" spans="1:24">
      <c r="C12" s="155"/>
      <c r="D12" s="146"/>
      <c r="E12" s="537"/>
      <c r="F12" s="538"/>
      <c r="G12" s="539"/>
      <c r="I12" s="538"/>
      <c r="J12" s="537"/>
      <c r="K12" s="146"/>
      <c r="L12" s="146"/>
      <c r="M12" s="146"/>
      <c r="N12" s="146"/>
      <c r="O12" s="146"/>
      <c r="Q12" s="173"/>
      <c r="V12" s="167"/>
      <c r="X12" s="174"/>
    </row>
    <row r="13" spans="1:24">
      <c r="A13" s="84"/>
      <c r="C13" s="155" t="s">
        <v>55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5"/>
    </row>
    <row r="14" spans="1:24">
      <c r="A14" s="84">
        <v>1</v>
      </c>
      <c r="C14" s="194" t="s">
        <v>24</v>
      </c>
      <c r="D14" s="262" t="s">
        <v>384</v>
      </c>
      <c r="E14" s="410">
        <f>'OATT Input Data'!E189</f>
        <v>46190354.789999999</v>
      </c>
      <c r="F14" s="146"/>
      <c r="G14" s="146" t="s">
        <v>53</v>
      </c>
      <c r="H14" s="419">
        <f>'NITS Pg 4 of 5'!$J$25</f>
        <v>0.82591000000000003</v>
      </c>
      <c r="I14" s="146"/>
      <c r="J14" s="410">
        <f>ROUND(E14*H14,0)</f>
        <v>38149076</v>
      </c>
      <c r="K14" s="106"/>
      <c r="L14" s="146"/>
      <c r="M14" s="146"/>
      <c r="N14" s="146"/>
      <c r="O14" s="155"/>
      <c r="P14" s="146"/>
      <c r="Q14" s="146"/>
    </row>
    <row r="15" spans="1:24">
      <c r="A15" s="84">
        <v>2</v>
      </c>
      <c r="C15" s="194" t="s">
        <v>198</v>
      </c>
      <c r="D15" s="184" t="s">
        <v>274</v>
      </c>
      <c r="E15" s="147">
        <f>'OATT Input Data'!E190*-1</f>
        <v>-4174529</v>
      </c>
      <c r="F15" s="146"/>
      <c r="G15" s="146" t="s">
        <v>0</v>
      </c>
      <c r="H15" s="419">
        <v>1</v>
      </c>
      <c r="I15" s="146"/>
      <c r="J15" s="147">
        <f>ROUND(E15*H15,0)</f>
        <v>-4174529</v>
      </c>
      <c r="K15" s="106"/>
      <c r="L15" s="146"/>
      <c r="M15" s="146"/>
      <c r="N15" s="146"/>
      <c r="O15" s="156"/>
      <c r="P15" s="146"/>
      <c r="Q15" s="146"/>
    </row>
    <row r="16" spans="1:24">
      <c r="A16" s="84">
        <v>3</v>
      </c>
      <c r="C16" s="155" t="s">
        <v>56</v>
      </c>
      <c r="D16" s="184" t="s">
        <v>275</v>
      </c>
      <c r="E16" s="147">
        <f>'OATT Input Data'!E192</f>
        <v>205099094</v>
      </c>
      <c r="F16" s="146"/>
      <c r="G16" s="146" t="s">
        <v>36</v>
      </c>
      <c r="H16" s="419">
        <f>'NITS Pg 4 of 5'!$J$33</f>
        <v>6.5890000000000004E-2</v>
      </c>
      <c r="I16" s="146"/>
      <c r="J16" s="147">
        <f t="shared" ref="J16:J21" si="0">ROUND(E16*H16,0)</f>
        <v>13513979</v>
      </c>
      <c r="K16" s="146"/>
      <c r="L16" s="146" t="s">
        <v>0</v>
      </c>
      <c r="M16" s="146"/>
      <c r="N16" s="146"/>
      <c r="O16" s="156"/>
      <c r="P16" s="146"/>
      <c r="Q16" s="146"/>
    </row>
    <row r="17" spans="1:21">
      <c r="A17" s="84">
        <v>4</v>
      </c>
      <c r="C17" s="194" t="s">
        <v>200</v>
      </c>
      <c r="D17" s="184" t="s">
        <v>276</v>
      </c>
      <c r="E17" s="147">
        <f>'OATT Input Data'!E194*-1</f>
        <v>-757340</v>
      </c>
      <c r="F17" s="146"/>
      <c r="G17" s="146" t="str">
        <f>+G16</f>
        <v>W/S</v>
      </c>
      <c r="H17" s="419">
        <f>'NITS Pg 4 of 5'!$J$33</f>
        <v>6.5890000000000004E-2</v>
      </c>
      <c r="I17" s="146"/>
      <c r="J17" s="147">
        <f t="shared" si="0"/>
        <v>-49901</v>
      </c>
      <c r="K17" s="146"/>
      <c r="L17" s="146"/>
      <c r="M17" s="146"/>
      <c r="N17" s="146"/>
      <c r="O17" s="156"/>
      <c r="P17" s="146"/>
      <c r="Q17" s="146"/>
    </row>
    <row r="18" spans="1:21" ht="31.5">
      <c r="A18" s="540">
        <v>5</v>
      </c>
      <c r="C18" s="199" t="s">
        <v>279</v>
      </c>
      <c r="D18" s="496" t="s">
        <v>277</v>
      </c>
      <c r="E18" s="147">
        <f>'OATT Input Data'!E200*-1</f>
        <v>-6359782</v>
      </c>
      <c r="F18" s="497"/>
      <c r="G18" s="497" t="str">
        <f>+G17</f>
        <v>W/S</v>
      </c>
      <c r="H18" s="498">
        <f>'NITS Pg 4 of 5'!$J$33</f>
        <v>6.5890000000000004E-2</v>
      </c>
      <c r="I18" s="497"/>
      <c r="J18" s="147">
        <f t="shared" si="0"/>
        <v>-419046</v>
      </c>
      <c r="K18" s="146"/>
      <c r="L18" s="146"/>
      <c r="M18" s="146"/>
      <c r="N18" s="146"/>
      <c r="O18" s="155"/>
      <c r="P18" s="146"/>
      <c r="Q18" s="146"/>
    </row>
    <row r="19" spans="1:21">
      <c r="A19" s="84">
        <v>6</v>
      </c>
      <c r="C19" s="194" t="s">
        <v>278</v>
      </c>
      <c r="D19" s="414" t="s">
        <v>277</v>
      </c>
      <c r="E19" s="147">
        <f>'OATT Input Data'!E201</f>
        <v>445707</v>
      </c>
      <c r="F19" s="146"/>
      <c r="G19" s="176" t="str">
        <f>+G14</f>
        <v>TE</v>
      </c>
      <c r="H19" s="419">
        <f>'NITS Pg 4 of 5'!$J$25</f>
        <v>0.82591000000000003</v>
      </c>
      <c r="I19" s="146"/>
      <c r="J19" s="147">
        <f t="shared" si="0"/>
        <v>368114</v>
      </c>
      <c r="K19" s="146"/>
      <c r="L19" s="146"/>
      <c r="M19" s="146"/>
      <c r="O19" s="156"/>
      <c r="P19" s="146"/>
      <c r="Q19" s="146"/>
    </row>
    <row r="20" spans="1:21">
      <c r="A20" s="84">
        <v>7</v>
      </c>
      <c r="C20" s="155" t="s">
        <v>43</v>
      </c>
      <c r="D20" s="184" t="s">
        <v>179</v>
      </c>
      <c r="E20" s="331">
        <f>'OATT Input Data'!E202</f>
        <v>0</v>
      </c>
      <c r="F20" s="146"/>
      <c r="G20" s="146" t="s">
        <v>38</v>
      </c>
      <c r="H20" s="419">
        <f>'NITS Pg 4 of 5'!$J$41</f>
        <v>6.0560000000000003E-2</v>
      </c>
      <c r="I20" s="146"/>
      <c r="J20" s="331">
        <f t="shared" si="0"/>
        <v>0</v>
      </c>
      <c r="K20" s="146"/>
      <c r="L20" s="146"/>
      <c r="M20" s="146"/>
      <c r="N20" s="146"/>
      <c r="O20" s="156"/>
      <c r="P20" s="146"/>
      <c r="Q20" s="146"/>
    </row>
    <row r="21" spans="1:21" ht="18">
      <c r="A21" s="84">
        <v>8</v>
      </c>
      <c r="C21" s="155" t="s">
        <v>199</v>
      </c>
      <c r="D21" s="146"/>
      <c r="E21" s="413">
        <f>'OATT Input Data'!E203</f>
        <v>0</v>
      </c>
      <c r="F21" s="146"/>
      <c r="G21" s="146" t="s">
        <v>0</v>
      </c>
      <c r="H21" s="419">
        <v>1</v>
      </c>
      <c r="I21" s="146"/>
      <c r="J21" s="413">
        <f t="shared" si="0"/>
        <v>0</v>
      </c>
      <c r="K21" s="146"/>
      <c r="L21" s="146"/>
      <c r="M21" s="146"/>
      <c r="N21" s="146"/>
      <c r="O21" s="156"/>
      <c r="P21" s="146"/>
      <c r="Q21" s="146"/>
    </row>
    <row r="22" spans="1:21">
      <c r="A22" s="84">
        <v>9</v>
      </c>
      <c r="C22" s="194" t="s">
        <v>197</v>
      </c>
      <c r="D22" s="409" t="s">
        <v>322</v>
      </c>
      <c r="E22" s="410">
        <f>ROUND(SUM(E14:E21),0)</f>
        <v>240443505</v>
      </c>
      <c r="F22" s="146"/>
      <c r="G22" s="146"/>
      <c r="H22" s="146"/>
      <c r="I22" s="146"/>
      <c r="J22" s="410">
        <f>ROUND(SUM(J14:J21),0)</f>
        <v>47387693</v>
      </c>
      <c r="K22" s="146"/>
      <c r="L22" s="146"/>
      <c r="M22" s="146"/>
      <c r="N22" s="541"/>
      <c r="O22" s="146"/>
      <c r="P22" s="155"/>
    </row>
    <row r="23" spans="1:21">
      <c r="A23" s="84"/>
      <c r="D23" s="146"/>
      <c r="E23" s="147"/>
      <c r="F23" s="146"/>
      <c r="G23" s="146"/>
      <c r="H23" s="146"/>
      <c r="I23" s="146"/>
      <c r="J23" s="147"/>
      <c r="K23" s="146"/>
      <c r="L23" s="146"/>
      <c r="M23" s="146"/>
      <c r="N23" s="146"/>
      <c r="O23" s="146"/>
      <c r="P23" s="155"/>
    </row>
    <row r="24" spans="1:21">
      <c r="A24" s="84"/>
      <c r="C24" s="194" t="s">
        <v>416</v>
      </c>
      <c r="D24" s="414" t="s">
        <v>252</v>
      </c>
      <c r="E24" s="147"/>
      <c r="F24" s="146"/>
      <c r="G24" s="146"/>
      <c r="H24" s="146"/>
      <c r="I24" s="146"/>
      <c r="J24" s="147"/>
      <c r="K24" s="146"/>
      <c r="L24" s="146"/>
      <c r="M24" s="146"/>
      <c r="N24" s="146"/>
      <c r="O24" s="146"/>
      <c r="P24" s="155"/>
    </row>
    <row r="25" spans="1:21">
      <c r="A25" s="84">
        <v>10</v>
      </c>
      <c r="C25" s="542" t="s">
        <v>414</v>
      </c>
      <c r="D25" s="409" t="s">
        <v>194</v>
      </c>
      <c r="E25" s="410">
        <f>'OATT Input Data'!$E$208-'OATT Input Data'!$E$214</f>
        <v>21719525.440000001</v>
      </c>
      <c r="F25" s="146"/>
      <c r="G25" s="146" t="s">
        <v>9</v>
      </c>
      <c r="H25" s="419">
        <f>'NITS Pg 4 of 5'!$J$24</f>
        <v>0.95574999999999999</v>
      </c>
      <c r="I25" s="146"/>
      <c r="J25" s="410">
        <f t="shared" ref="J25" si="1">ROUND(H25*E25,0)</f>
        <v>20758436</v>
      </c>
      <c r="K25" s="146"/>
      <c r="L25" s="434"/>
      <c r="M25" s="146"/>
      <c r="N25" s="146"/>
      <c r="O25" s="156"/>
      <c r="P25" s="155"/>
    </row>
    <row r="26" spans="1:21">
      <c r="A26" s="84">
        <v>11</v>
      </c>
      <c r="C26" s="542" t="s">
        <v>399</v>
      </c>
      <c r="D26" s="409" t="s">
        <v>195</v>
      </c>
      <c r="E26" s="147">
        <f>'OATT Input Data'!$E$211</f>
        <v>23308692.829999998</v>
      </c>
      <c r="F26" s="146"/>
      <c r="G26" s="146" t="s">
        <v>36</v>
      </c>
      <c r="H26" s="419">
        <f>'NITS Pg 4 of 5'!$J$33</f>
        <v>6.5890000000000004E-2</v>
      </c>
      <c r="I26" s="146"/>
      <c r="J26" s="147">
        <f>ROUND(H26*E26,0)</f>
        <v>1535810</v>
      </c>
      <c r="K26" s="146"/>
      <c r="L26" s="434"/>
      <c r="M26" s="146"/>
      <c r="N26" s="543"/>
      <c r="O26" s="156"/>
      <c r="P26" s="155"/>
    </row>
    <row r="27" spans="1:21">
      <c r="A27" s="84">
        <v>12</v>
      </c>
      <c r="C27" s="542" t="s">
        <v>415</v>
      </c>
      <c r="D27" s="409" t="s">
        <v>196</v>
      </c>
      <c r="E27" s="430">
        <f>'OATT Input Data'!$E$212</f>
        <v>19221539.75</v>
      </c>
      <c r="F27" s="146"/>
      <c r="G27" s="146" t="s">
        <v>38</v>
      </c>
      <c r="H27" s="419">
        <f>'NITS Pg 4 of 5'!$J$41</f>
        <v>6.0560000000000003E-2</v>
      </c>
      <c r="I27" s="146"/>
      <c r="J27" s="430">
        <f t="shared" ref="J27" si="2">ROUND(H27*E27,0)</f>
        <v>1164056</v>
      </c>
      <c r="K27" s="146"/>
      <c r="L27" s="434"/>
      <c r="M27" s="146"/>
      <c r="N27" s="543"/>
      <c r="O27" s="156"/>
      <c r="P27" s="155"/>
    </row>
    <row r="28" spans="1:21">
      <c r="A28" s="84">
        <v>13</v>
      </c>
      <c r="C28" s="194" t="s">
        <v>201</v>
      </c>
      <c r="D28" s="409" t="s">
        <v>336</v>
      </c>
      <c r="E28" s="410">
        <f>ROUND(SUM(E25:E27),0)</f>
        <v>64249758</v>
      </c>
      <c r="F28" s="146"/>
      <c r="G28" s="146"/>
      <c r="H28" s="146"/>
      <c r="I28" s="146"/>
      <c r="J28" s="410">
        <f>ROUND(SUM(J25:J27),0)</f>
        <v>23458302</v>
      </c>
      <c r="K28" s="146"/>
      <c r="L28" s="146"/>
      <c r="M28" s="146"/>
      <c r="N28" s="146"/>
      <c r="O28" s="146"/>
      <c r="P28" s="155"/>
      <c r="U28" s="544"/>
    </row>
    <row r="29" spans="1:21">
      <c r="A29" s="84"/>
      <c r="C29" s="155"/>
      <c r="D29" s="146"/>
      <c r="E29" s="147"/>
      <c r="F29" s="146"/>
      <c r="G29" s="146"/>
      <c r="H29" s="146"/>
      <c r="I29" s="146"/>
      <c r="J29" s="147"/>
      <c r="K29" s="146"/>
      <c r="L29" s="146"/>
      <c r="M29" s="146"/>
      <c r="N29" s="146"/>
      <c r="O29" s="146"/>
      <c r="P29" s="155"/>
    </row>
    <row r="30" spans="1:21">
      <c r="A30" s="84" t="s">
        <v>0</v>
      </c>
      <c r="C30" s="194" t="s">
        <v>280</v>
      </c>
      <c r="D30" s="121" t="s">
        <v>303</v>
      </c>
      <c r="E30" s="147"/>
      <c r="F30" s="146"/>
      <c r="G30" s="146"/>
      <c r="H30" s="146"/>
      <c r="I30" s="146"/>
      <c r="J30" s="147"/>
      <c r="K30" s="146"/>
      <c r="L30" s="146"/>
      <c r="M30" s="146"/>
      <c r="N30" s="146"/>
      <c r="O30" s="146"/>
      <c r="P30" s="155"/>
    </row>
    <row r="31" spans="1:21">
      <c r="A31" s="84"/>
      <c r="C31" s="155" t="s">
        <v>57</v>
      </c>
      <c r="D31" s="121"/>
      <c r="E31" s="147"/>
      <c r="F31" s="146"/>
      <c r="G31" s="146"/>
      <c r="I31" s="146"/>
      <c r="J31" s="147"/>
      <c r="K31" s="146"/>
      <c r="L31" s="434"/>
      <c r="M31" s="146"/>
      <c r="N31" s="150"/>
      <c r="O31" s="156"/>
      <c r="P31" s="155"/>
    </row>
    <row r="32" spans="1:21">
      <c r="A32" s="84">
        <v>14</v>
      </c>
      <c r="C32" s="545" t="s">
        <v>59</v>
      </c>
      <c r="D32" s="414" t="s">
        <v>58</v>
      </c>
      <c r="E32" s="410">
        <f>'OATT Input Data'!$E$226</f>
        <v>16525945</v>
      </c>
      <c r="F32" s="146"/>
      <c r="G32" s="146" t="s">
        <v>36</v>
      </c>
      <c r="H32" s="419">
        <f>'NITS Pg 4 of 5'!$J$33</f>
        <v>6.5890000000000004E-2</v>
      </c>
      <c r="I32" s="146"/>
      <c r="J32" s="410">
        <f>ROUND(H32*E32,0)</f>
        <v>1088895</v>
      </c>
      <c r="K32" s="146"/>
      <c r="L32" s="434"/>
      <c r="M32" s="146"/>
      <c r="N32" s="150"/>
      <c r="P32" s="156"/>
      <c r="Q32" s="156"/>
    </row>
    <row r="33" spans="1:17">
      <c r="A33" s="84">
        <v>15</v>
      </c>
      <c r="C33" s="545" t="s">
        <v>390</v>
      </c>
      <c r="D33" s="414" t="s">
        <v>58</v>
      </c>
      <c r="E33" s="331">
        <f>'OATT Input Data'!$E$227</f>
        <v>90932</v>
      </c>
      <c r="F33" s="146"/>
      <c r="G33" s="146" t="str">
        <f>+G32</f>
        <v>W/S</v>
      </c>
      <c r="H33" s="419">
        <f>'NITS Pg 4 of 5'!$J$33</f>
        <v>6.5890000000000004E-2</v>
      </c>
      <c r="I33" s="146"/>
      <c r="J33" s="331">
        <f>ROUND(H33*E33,0)</f>
        <v>5992</v>
      </c>
      <c r="K33" s="146"/>
      <c r="L33" s="434"/>
      <c r="M33" s="146"/>
      <c r="N33" s="150"/>
      <c r="P33" s="146"/>
      <c r="Q33" s="146"/>
    </row>
    <row r="34" spans="1:17">
      <c r="A34" s="84">
        <v>16</v>
      </c>
      <c r="C34" s="155" t="s">
        <v>60</v>
      </c>
      <c r="D34" s="414" t="s">
        <v>0</v>
      </c>
      <c r="E34" s="147"/>
      <c r="F34" s="146"/>
      <c r="G34" s="146"/>
      <c r="I34" s="146"/>
      <c r="J34" s="147"/>
      <c r="K34" s="146"/>
      <c r="L34" s="434"/>
      <c r="M34" s="146"/>
      <c r="N34" s="150"/>
      <c r="P34" s="146"/>
      <c r="Q34" s="146"/>
    </row>
    <row r="35" spans="1:17">
      <c r="A35" s="84">
        <v>17</v>
      </c>
      <c r="C35" s="545" t="s">
        <v>61</v>
      </c>
      <c r="D35" s="414" t="s">
        <v>58</v>
      </c>
      <c r="E35" s="147">
        <f>'OATT Input Data'!$E$229</f>
        <v>44916728</v>
      </c>
      <c r="F35" s="146"/>
      <c r="G35" s="146" t="s">
        <v>54</v>
      </c>
      <c r="H35" s="439">
        <f>'NITS Pg 2 of 5'!$H$19</f>
        <v>8.4339999999999998E-2</v>
      </c>
      <c r="I35" s="146"/>
      <c r="J35" s="147">
        <f>ROUND(H35*E35,0)</f>
        <v>3788277</v>
      </c>
      <c r="K35" s="146"/>
      <c r="L35" s="434"/>
      <c r="M35" s="146"/>
      <c r="N35" s="150"/>
      <c r="P35" s="146"/>
      <c r="Q35" s="146"/>
    </row>
    <row r="36" spans="1:17">
      <c r="A36" s="84">
        <v>18</v>
      </c>
      <c r="C36" s="545" t="s">
        <v>41</v>
      </c>
      <c r="D36" s="414" t="s">
        <v>58</v>
      </c>
      <c r="E36" s="147">
        <f>'OATT Input Data'!$E$235</f>
        <v>5107720</v>
      </c>
      <c r="F36" s="146"/>
      <c r="G36" s="146" t="str">
        <f>+G35</f>
        <v>GP</v>
      </c>
      <c r="H36" s="439">
        <f>'NITS Pg 2 of 5'!$H$19</f>
        <v>8.4339999999999998E-2</v>
      </c>
      <c r="I36" s="146"/>
      <c r="J36" s="147">
        <f>ROUND(H36*E36,0)</f>
        <v>430785</v>
      </c>
      <c r="K36" s="146"/>
      <c r="L36" s="434"/>
      <c r="M36" s="146"/>
      <c r="P36" s="157"/>
      <c r="Q36" s="157"/>
    </row>
    <row r="37" spans="1:17">
      <c r="A37" s="84">
        <v>19</v>
      </c>
      <c r="C37" s="545" t="s">
        <v>391</v>
      </c>
      <c r="D37" s="146"/>
      <c r="E37" s="499">
        <v>0</v>
      </c>
      <c r="F37" s="146"/>
      <c r="G37" s="146" t="s">
        <v>54</v>
      </c>
      <c r="H37" s="439">
        <f>'NITS Pg 2 of 5'!$H$19</f>
        <v>8.4339999999999998E-2</v>
      </c>
      <c r="I37" s="146"/>
      <c r="J37" s="499">
        <f>ROUND(H37*E37,0)</f>
        <v>0</v>
      </c>
      <c r="K37" s="146"/>
      <c r="L37" s="434"/>
      <c r="M37" s="146"/>
      <c r="N37" s="150"/>
      <c r="O37" s="150"/>
      <c r="P37" s="146"/>
      <c r="Q37" s="146"/>
    </row>
    <row r="38" spans="1:17">
      <c r="A38" s="84">
        <v>20</v>
      </c>
      <c r="C38" s="194" t="s">
        <v>202</v>
      </c>
      <c r="D38" s="409" t="s">
        <v>410</v>
      </c>
      <c r="E38" s="410">
        <f>ROUND(SUM(E32:E37),0)</f>
        <v>66641325</v>
      </c>
      <c r="F38" s="146"/>
      <c r="G38" s="146"/>
      <c r="H38" s="439"/>
      <c r="I38" s="146"/>
      <c r="J38" s="410">
        <f>ROUND(SUM(J32:J37),0)</f>
        <v>5313949</v>
      </c>
      <c r="K38" s="146"/>
      <c r="L38" s="146"/>
      <c r="M38" s="146"/>
      <c r="N38" s="150"/>
      <c r="O38" s="168"/>
      <c r="P38" s="146"/>
      <c r="Q38" s="146"/>
    </row>
    <row r="39" spans="1:17">
      <c r="A39" s="84"/>
      <c r="C39" s="155"/>
      <c r="D39" s="146"/>
      <c r="E39" s="147"/>
      <c r="F39" s="146"/>
      <c r="G39" s="146"/>
      <c r="H39" s="439"/>
      <c r="I39" s="146"/>
      <c r="J39" s="147"/>
      <c r="K39" s="146"/>
      <c r="L39" s="146"/>
      <c r="M39" s="146"/>
      <c r="N39" s="155"/>
      <c r="P39" s="156"/>
      <c r="Q39" s="156"/>
    </row>
    <row r="40" spans="1:17">
      <c r="A40" s="84" t="s">
        <v>62</v>
      </c>
      <c r="C40" s="155"/>
      <c r="D40" s="146"/>
      <c r="E40" s="147"/>
      <c r="F40" s="146"/>
      <c r="G40" s="146"/>
      <c r="H40" s="439"/>
      <c r="I40" s="146"/>
      <c r="J40" s="147"/>
      <c r="K40" s="146"/>
      <c r="L40" s="146"/>
      <c r="M40" s="146"/>
      <c r="N40" s="146"/>
      <c r="P40" s="156"/>
      <c r="Q40" s="156"/>
    </row>
    <row r="41" spans="1:17">
      <c r="A41" s="84" t="s">
        <v>0</v>
      </c>
      <c r="C41" s="194" t="s">
        <v>307</v>
      </c>
      <c r="D41" s="414" t="s">
        <v>305</v>
      </c>
      <c r="E41" s="147"/>
      <c r="F41" s="146"/>
      <c r="H41" s="433"/>
      <c r="I41" s="146"/>
      <c r="J41" s="147"/>
      <c r="K41" s="146"/>
      <c r="M41" s="146"/>
      <c r="N41" s="165"/>
      <c r="P41" s="156"/>
      <c r="Q41" s="156"/>
    </row>
    <row r="42" spans="1:17">
      <c r="A42" s="84">
        <v>21</v>
      </c>
      <c r="C42" s="546" t="s">
        <v>400</v>
      </c>
      <c r="D42" s="146"/>
      <c r="E42" s="500">
        <f>IF('OATT Input Data'!$B$240&gt;0,1-(((1-'OATT Input Data'!$B$241)*(1-'OATT Input Data'!$B$240))/(1-'OATT Input Data'!$B$241*'OATT Input Data'!$B$240*'OATT Input Data'!$B$242)),0)</f>
        <v>0.38900000000000001</v>
      </c>
      <c r="F42" s="146"/>
      <c r="H42" s="433"/>
      <c r="I42" s="146"/>
      <c r="J42" s="147"/>
      <c r="K42" s="146"/>
      <c r="M42" s="146"/>
      <c r="N42" s="146"/>
      <c r="P42" s="156"/>
      <c r="Q42" s="156"/>
    </row>
    <row r="43" spans="1:17">
      <c r="A43" s="84">
        <v>22</v>
      </c>
      <c r="C43" s="547" t="s">
        <v>401</v>
      </c>
      <c r="D43" s="146"/>
      <c r="E43" s="500">
        <f>IF('NITS Pg 4 of 5'!$J$56&gt;0,ROUND((E42/(1-E42))*(1-'NITS Pg 4 of 5'!$J$53/'NITS Pg 4 of 5'!$J$56),4),0)</f>
        <v>0.50290000000000001</v>
      </c>
      <c r="F43" s="146"/>
      <c r="H43" s="433"/>
      <c r="I43" s="146"/>
      <c r="J43" s="147"/>
      <c r="K43" s="146"/>
      <c r="M43" s="146"/>
      <c r="N43" s="146"/>
      <c r="O43" s="168"/>
      <c r="P43" s="156"/>
      <c r="Q43" s="156"/>
    </row>
    <row r="44" spans="1:17">
      <c r="A44" s="84"/>
      <c r="C44" s="438" t="s">
        <v>337</v>
      </c>
      <c r="D44" s="409" t="s">
        <v>333</v>
      </c>
      <c r="E44" s="501">
        <f>'NITS Pg 4 of 5'!J53</f>
        <v>1.55E-2</v>
      </c>
      <c r="F44" s="146"/>
      <c r="H44" s="433"/>
      <c r="I44" s="146"/>
      <c r="J44" s="147"/>
      <c r="K44" s="146"/>
      <c r="M44" s="146"/>
      <c r="P44" s="146"/>
    </row>
    <row r="45" spans="1:17">
      <c r="A45" s="84"/>
      <c r="C45" s="438" t="s">
        <v>338</v>
      </c>
      <c r="D45" s="409" t="s">
        <v>334</v>
      </c>
      <c r="E45" s="501">
        <f>'NITS Pg 4 of 5'!J56</f>
        <v>7.3800000010000005E-2</v>
      </c>
      <c r="F45" s="146"/>
      <c r="H45" s="433"/>
      <c r="I45" s="146"/>
      <c r="J45" s="147"/>
      <c r="K45" s="146"/>
      <c r="M45" s="146"/>
      <c r="N45" s="146"/>
      <c r="O45" s="150"/>
      <c r="P45" s="146"/>
    </row>
    <row r="46" spans="1:17">
      <c r="A46" s="84"/>
      <c r="C46" s="438" t="s">
        <v>306</v>
      </c>
      <c r="D46" s="414" t="s">
        <v>305</v>
      </c>
      <c r="E46" s="147"/>
      <c r="F46" s="146"/>
      <c r="H46" s="433"/>
      <c r="I46" s="146"/>
      <c r="J46" s="147"/>
      <c r="K46" s="146"/>
      <c r="M46" s="146"/>
      <c r="N46" s="146"/>
      <c r="O46" s="150"/>
      <c r="P46" s="146"/>
    </row>
    <row r="47" spans="1:17">
      <c r="A47" s="84">
        <v>23</v>
      </c>
      <c r="C47" s="548" t="s">
        <v>308</v>
      </c>
      <c r="D47" s="409" t="s">
        <v>879</v>
      </c>
      <c r="E47" s="502">
        <f>IF(E42&gt;0,ROUND(1/(1-E42),8),0)</f>
        <v>1.63666121</v>
      </c>
      <c r="F47" s="146"/>
      <c r="H47" s="433"/>
      <c r="I47" s="146"/>
      <c r="J47" s="147"/>
      <c r="K47" s="146"/>
      <c r="M47" s="146"/>
      <c r="N47" s="146"/>
      <c r="O47" s="150"/>
      <c r="P47" s="177"/>
      <c r="Q47" s="177"/>
    </row>
    <row r="48" spans="1:17">
      <c r="A48" s="84">
        <v>24</v>
      </c>
      <c r="C48" s="194" t="s">
        <v>309</v>
      </c>
      <c r="D48" s="409" t="s">
        <v>392</v>
      </c>
      <c r="E48" s="331">
        <v>0</v>
      </c>
      <c r="F48" s="146"/>
      <c r="H48" s="433"/>
      <c r="I48" s="146"/>
      <c r="J48" s="147"/>
      <c r="K48" s="146"/>
      <c r="M48" s="146"/>
      <c r="N48" s="146"/>
      <c r="O48" s="150"/>
      <c r="P48" s="146"/>
      <c r="Q48" s="146"/>
    </row>
    <row r="49" spans="1:19">
      <c r="A49" s="84"/>
      <c r="C49" s="155"/>
      <c r="D49" s="146"/>
      <c r="E49" s="147"/>
      <c r="F49" s="146"/>
      <c r="H49" s="433"/>
      <c r="I49" s="146"/>
      <c r="J49" s="147"/>
      <c r="K49" s="146"/>
      <c r="M49" s="146"/>
      <c r="N49" s="146"/>
      <c r="O49" s="150"/>
      <c r="P49" s="150"/>
    </row>
    <row r="50" spans="1:19">
      <c r="A50" s="84">
        <v>25</v>
      </c>
      <c r="C50" s="548" t="s">
        <v>311</v>
      </c>
      <c r="D50" s="503" t="s">
        <v>411</v>
      </c>
      <c r="E50" s="410">
        <f>ROUND(E43*E54,0)</f>
        <v>281651343</v>
      </c>
      <c r="F50" s="146"/>
      <c r="G50" s="146"/>
      <c r="H50" s="439"/>
      <c r="I50" s="146"/>
      <c r="J50" s="410">
        <f>ROUND(E43*J54,0)</f>
        <v>21250640</v>
      </c>
      <c r="K50" s="146"/>
      <c r="L50" s="549" t="s">
        <v>0</v>
      </c>
      <c r="M50" s="146"/>
      <c r="N50" s="146"/>
      <c r="O50" s="150"/>
      <c r="P50" s="150"/>
    </row>
    <row r="51" spans="1:19" ht="18">
      <c r="A51" s="84">
        <v>26</v>
      </c>
      <c r="C51" s="167" t="s">
        <v>312</v>
      </c>
      <c r="D51" s="503" t="s">
        <v>412</v>
      </c>
      <c r="E51" s="413">
        <f>ROUND(E47*E48,0)</f>
        <v>0</v>
      </c>
      <c r="F51" s="146"/>
      <c r="G51" s="89" t="s">
        <v>46</v>
      </c>
      <c r="H51" s="439">
        <f>'NITS Pg 2 of 5'!$H$35</f>
        <v>7.5130000000000002E-2</v>
      </c>
      <c r="I51" s="146"/>
      <c r="J51" s="413">
        <f>ROUND(H51*E51,0)</f>
        <v>0</v>
      </c>
      <c r="K51" s="146"/>
      <c r="L51" s="549"/>
      <c r="M51" s="146"/>
      <c r="N51" s="146"/>
      <c r="O51" s="150"/>
      <c r="P51" s="150"/>
    </row>
    <row r="52" spans="1:19">
      <c r="A52" s="84">
        <v>27</v>
      </c>
      <c r="C52" s="550" t="s">
        <v>63</v>
      </c>
      <c r="D52" s="412" t="s">
        <v>413</v>
      </c>
      <c r="E52" s="504">
        <f>E50+E51</f>
        <v>281651343</v>
      </c>
      <c r="F52" s="146"/>
      <c r="G52" s="146" t="s">
        <v>0</v>
      </c>
      <c r="H52" s="439" t="s">
        <v>0</v>
      </c>
      <c r="I52" s="146"/>
      <c r="J52" s="504">
        <f>J50+J51</f>
        <v>21250640</v>
      </c>
      <c r="K52" s="146"/>
      <c r="L52" s="146"/>
      <c r="M52" s="146"/>
      <c r="N52" s="146"/>
      <c r="O52" s="146"/>
      <c r="P52" s="155"/>
    </row>
    <row r="53" spans="1:19">
      <c r="A53" s="84" t="s">
        <v>0</v>
      </c>
      <c r="D53" s="505"/>
      <c r="E53" s="147"/>
      <c r="F53" s="146"/>
      <c r="G53" s="146"/>
      <c r="H53" s="439"/>
      <c r="I53" s="146"/>
      <c r="J53" s="147"/>
      <c r="K53" s="146"/>
      <c r="L53" s="146"/>
      <c r="M53" s="146"/>
      <c r="N53" s="146"/>
      <c r="O53" s="146"/>
      <c r="P53" s="155"/>
    </row>
    <row r="54" spans="1:19" ht="18">
      <c r="A54" s="84">
        <v>28</v>
      </c>
      <c r="C54" s="194" t="s">
        <v>310</v>
      </c>
      <c r="D54" s="412" t="s">
        <v>339</v>
      </c>
      <c r="E54" s="506">
        <f>ROUND('NITS Pg 4 of 5'!$J$56*'NITS Pg 2 of 5'!$E$57,0)</f>
        <v>560054370</v>
      </c>
      <c r="F54" s="146"/>
      <c r="G54" s="146"/>
      <c r="H54" s="433"/>
      <c r="I54" s="146"/>
      <c r="J54" s="506">
        <f>ROUND('NITS Pg 4 of 5'!$J$56*'NITS Pg 2 of 5'!$J$57,0)</f>
        <v>42256195</v>
      </c>
      <c r="K54" s="146"/>
      <c r="M54" s="146"/>
      <c r="N54" s="146"/>
      <c r="O54" s="156"/>
      <c r="P54" s="146"/>
    </row>
    <row r="55" spans="1:19">
      <c r="A55" s="84"/>
      <c r="C55" s="155"/>
      <c r="E55" s="147"/>
      <c r="F55" s="146"/>
      <c r="G55" s="146"/>
      <c r="H55" s="433"/>
      <c r="I55" s="146"/>
      <c r="J55" s="147"/>
      <c r="K55" s="146"/>
      <c r="L55" s="434"/>
      <c r="M55" s="146"/>
      <c r="N55" s="146"/>
      <c r="O55" s="156"/>
      <c r="P55" s="146"/>
    </row>
    <row r="56" spans="1:19" ht="18">
      <c r="A56" s="84">
        <v>29</v>
      </c>
      <c r="C56" s="194" t="s">
        <v>203</v>
      </c>
      <c r="D56" s="409" t="s">
        <v>408</v>
      </c>
      <c r="E56" s="507">
        <f>ROUND(E54+E52+E38+E28+E22,0)</f>
        <v>1213040301</v>
      </c>
      <c r="F56" s="146"/>
      <c r="G56" s="146"/>
      <c r="H56" s="146"/>
      <c r="I56" s="146"/>
      <c r="J56" s="507">
        <f>ROUND(J54+J52+J38+J28+J22,0)</f>
        <v>139666779</v>
      </c>
      <c r="K56" s="106"/>
      <c r="L56" s="106"/>
      <c r="M56" s="106"/>
      <c r="N56" s="106"/>
      <c r="O56" s="106"/>
      <c r="P56" s="155"/>
    </row>
    <row r="57" spans="1:19">
      <c r="Q57" s="121"/>
      <c r="R57" s="121"/>
      <c r="S57" s="121"/>
    </row>
    <row r="58" spans="1:19">
      <c r="Q58" s="121"/>
      <c r="R58" s="121"/>
      <c r="S58" s="121"/>
    </row>
    <row r="59" spans="1:19">
      <c r="Q59" s="121"/>
      <c r="R59" s="121"/>
      <c r="S59" s="121"/>
    </row>
    <row r="60" spans="1:19">
      <c r="Q60" s="121"/>
      <c r="R60" s="121"/>
      <c r="S60" s="121"/>
    </row>
    <row r="61" spans="1:19">
      <c r="P61" s="89" t="s">
        <v>0</v>
      </c>
      <c r="Q61" s="121"/>
      <c r="R61" s="121"/>
      <c r="S61" s="121"/>
    </row>
    <row r="62" spans="1:19">
      <c r="Q62" s="121"/>
      <c r="R62" s="121"/>
      <c r="S62" s="121"/>
    </row>
    <row r="63" spans="1:19">
      <c r="Q63" s="121"/>
      <c r="R63" s="121"/>
      <c r="S63" s="121"/>
    </row>
    <row r="64" spans="1:19">
      <c r="Q64" s="121"/>
      <c r="R64" s="121"/>
      <c r="S64" s="121"/>
    </row>
    <row r="65" spans="17:19">
      <c r="Q65" s="121"/>
      <c r="R65" s="121"/>
      <c r="S65" s="121"/>
    </row>
    <row r="66" spans="17:19">
      <c r="Q66" s="121"/>
      <c r="R66" s="121"/>
      <c r="S66" s="121"/>
    </row>
    <row r="67" spans="17:19">
      <c r="Q67" s="121"/>
      <c r="R67" s="121"/>
      <c r="S67" s="121"/>
    </row>
    <row r="68" spans="17:19">
      <c r="Q68" s="121"/>
      <c r="R68" s="121"/>
      <c r="S68" s="121"/>
    </row>
    <row r="69" spans="17:19">
      <c r="Q69" s="121"/>
      <c r="R69" s="121"/>
      <c r="S69" s="121"/>
    </row>
    <row r="70" spans="17:19">
      <c r="Q70" s="121"/>
      <c r="R70" s="121"/>
      <c r="S70" s="121"/>
    </row>
    <row r="71" spans="17:19">
      <c r="Q71" s="121"/>
      <c r="R71" s="121"/>
      <c r="S71" s="121"/>
    </row>
    <row r="72" spans="17:19">
      <c r="Q72" s="121"/>
      <c r="R72" s="121"/>
      <c r="S72" s="121"/>
    </row>
    <row r="73" spans="17:19">
      <c r="Q73" s="121"/>
      <c r="R73" s="121"/>
      <c r="S73" s="121"/>
    </row>
    <row r="74" spans="17:19">
      <c r="Q74" s="121"/>
      <c r="R74" s="121"/>
      <c r="S74" s="121"/>
    </row>
    <row r="75" spans="17:19">
      <c r="Q75" s="121"/>
      <c r="R75" s="121"/>
      <c r="S75" s="121"/>
    </row>
    <row r="76" spans="17:19">
      <c r="Q76" s="121"/>
      <c r="R76" s="121"/>
      <c r="S76" s="121"/>
    </row>
    <row r="77" spans="17:19">
      <c r="Q77" s="121"/>
      <c r="R77" s="121"/>
      <c r="S77" s="121"/>
    </row>
    <row r="78" spans="17:19">
      <c r="Q78" s="121"/>
      <c r="R78" s="121"/>
      <c r="S78" s="121"/>
    </row>
    <row r="79" spans="17:19">
      <c r="Q79" s="121"/>
      <c r="R79" s="121"/>
      <c r="S79" s="121"/>
    </row>
    <row r="80" spans="17:19">
      <c r="Q80" s="121"/>
      <c r="R80" s="121"/>
      <c r="S80" s="121"/>
    </row>
    <row r="81" spans="17:19">
      <c r="Q81" s="121"/>
      <c r="R81" s="121"/>
      <c r="S81" s="121"/>
    </row>
    <row r="82" spans="17:19">
      <c r="Q82" s="121"/>
      <c r="R82" s="121"/>
      <c r="S82" s="121"/>
    </row>
    <row r="83" spans="17:19">
      <c r="Q83" s="121"/>
      <c r="R83" s="121"/>
      <c r="S83" s="121"/>
    </row>
    <row r="84" spans="17:19">
      <c r="Q84" s="121"/>
      <c r="R84" s="121"/>
      <c r="S84" s="121"/>
    </row>
    <row r="85" spans="17:19">
      <c r="Q85" s="121"/>
      <c r="R85" s="121"/>
      <c r="S85" s="121"/>
    </row>
    <row r="86" spans="17:19">
      <c r="Q86" s="121"/>
      <c r="R86" s="121"/>
      <c r="S86" s="121"/>
    </row>
    <row r="87" spans="17:19">
      <c r="Q87" s="121"/>
      <c r="R87" s="121"/>
      <c r="S87" s="121"/>
    </row>
    <row r="88" spans="17:19">
      <c r="Q88" s="121"/>
      <c r="R88" s="121"/>
      <c r="S88" s="121"/>
    </row>
    <row r="89" spans="17:19">
      <c r="Q89" s="121"/>
      <c r="R89" s="121"/>
      <c r="S89" s="121"/>
    </row>
    <row r="90" spans="17:19">
      <c r="Q90" s="121"/>
      <c r="R90" s="121"/>
      <c r="S90" s="121"/>
    </row>
    <row r="91" spans="17:19">
      <c r="Q91" s="121"/>
      <c r="R91" s="121"/>
      <c r="S91" s="121"/>
    </row>
    <row r="92" spans="17:19">
      <c r="Q92" s="121"/>
      <c r="R92" s="121"/>
      <c r="S92" s="121"/>
    </row>
    <row r="93" spans="17:19">
      <c r="Q93" s="121"/>
      <c r="R93" s="121"/>
      <c r="S93" s="121"/>
    </row>
    <row r="94" spans="17:19">
      <c r="Q94" s="121"/>
      <c r="R94" s="121"/>
      <c r="S94" s="121"/>
    </row>
    <row r="95" spans="17:19">
      <c r="Q95" s="121"/>
      <c r="R95" s="121"/>
      <c r="S95" s="121"/>
    </row>
    <row r="96" spans="17:19">
      <c r="Q96" s="121"/>
      <c r="R96" s="121"/>
      <c r="S96" s="121"/>
    </row>
    <row r="97" spans="17:19">
      <c r="Q97" s="121"/>
      <c r="R97" s="121"/>
      <c r="S97" s="121"/>
    </row>
    <row r="98" spans="17:19">
      <c r="Q98" s="121"/>
      <c r="R98" s="121"/>
      <c r="S98" s="121"/>
    </row>
    <row r="99" spans="17:19">
      <c r="Q99" s="121"/>
      <c r="R99" s="121"/>
      <c r="S99" s="121"/>
    </row>
    <row r="100" spans="17:19">
      <c r="Q100" s="121"/>
      <c r="R100" s="121"/>
      <c r="S100" s="121"/>
    </row>
    <row r="101" spans="17:19">
      <c r="Q101" s="121"/>
      <c r="R101" s="121"/>
      <c r="S101" s="121"/>
    </row>
    <row r="102" spans="17:19">
      <c r="Q102" s="121"/>
      <c r="R102" s="121"/>
      <c r="S102" s="121"/>
    </row>
    <row r="103" spans="17:19">
      <c r="Q103" s="121"/>
      <c r="R103" s="121"/>
      <c r="S103" s="121"/>
    </row>
    <row r="104" spans="17:19">
      <c r="Q104" s="121"/>
      <c r="R104" s="121"/>
      <c r="S104" s="121"/>
    </row>
    <row r="105" spans="17:19">
      <c r="Q105" s="121"/>
      <c r="R105" s="121"/>
      <c r="S105" s="121"/>
    </row>
    <row r="106" spans="17:19">
      <c r="Q106" s="121"/>
      <c r="R106" s="121"/>
      <c r="S106" s="121"/>
    </row>
    <row r="107" spans="17:19">
      <c r="Q107" s="121"/>
      <c r="R107" s="121"/>
      <c r="S107" s="121"/>
    </row>
    <row r="108" spans="17:19">
      <c r="Q108" s="121"/>
      <c r="R108" s="121"/>
      <c r="S108" s="121"/>
    </row>
    <row r="109" spans="17:19">
      <c r="Q109" s="121"/>
      <c r="R109" s="121"/>
      <c r="S109" s="121"/>
    </row>
    <row r="110" spans="17:19">
      <c r="Q110" s="121"/>
      <c r="R110" s="121"/>
      <c r="S110" s="121"/>
    </row>
    <row r="111" spans="17:19">
      <c r="Q111" s="121"/>
      <c r="R111" s="121"/>
      <c r="S111" s="121"/>
    </row>
    <row r="112" spans="17:19">
      <c r="Q112" s="121"/>
      <c r="R112" s="121"/>
      <c r="S112" s="121"/>
    </row>
    <row r="113" spans="17:19">
      <c r="Q113" s="121"/>
      <c r="R113" s="121"/>
      <c r="S113" s="121"/>
    </row>
    <row r="114" spans="17:19">
      <c r="Q114" s="121"/>
      <c r="R114" s="121"/>
      <c r="S114" s="121"/>
    </row>
    <row r="115" spans="17:19">
      <c r="Q115" s="121"/>
      <c r="R115" s="121"/>
      <c r="S115" s="121"/>
    </row>
    <row r="116" spans="17:19">
      <c r="Q116" s="121"/>
      <c r="R116" s="121"/>
      <c r="S116" s="121"/>
    </row>
    <row r="117" spans="17:19">
      <c r="Q117" s="121"/>
      <c r="R117" s="121"/>
      <c r="S117" s="121"/>
    </row>
    <row r="118" spans="17:19">
      <c r="Q118" s="121"/>
      <c r="R118" s="121"/>
      <c r="S118" s="121"/>
    </row>
    <row r="119" spans="17:19">
      <c r="Q119" s="121"/>
      <c r="R119" s="121"/>
      <c r="S119" s="121"/>
    </row>
    <row r="120" spans="17:19">
      <c r="Q120" s="121"/>
      <c r="R120" s="121"/>
      <c r="S120" s="121"/>
    </row>
    <row r="121" spans="17:19">
      <c r="Q121" s="121"/>
      <c r="R121" s="121"/>
      <c r="S121" s="121"/>
    </row>
    <row r="122" spans="17:19">
      <c r="Q122" s="121"/>
      <c r="R122" s="121"/>
      <c r="S122" s="121"/>
    </row>
    <row r="123" spans="17:19">
      <c r="Q123" s="121"/>
      <c r="R123" s="121"/>
      <c r="S123" s="121"/>
    </row>
    <row r="124" spans="17:19">
      <c r="Q124" s="121"/>
      <c r="R124" s="121"/>
      <c r="S124" s="121"/>
    </row>
    <row r="125" spans="17:19">
      <c r="Q125" s="121"/>
      <c r="R125" s="121"/>
      <c r="S125" s="121"/>
    </row>
    <row r="126" spans="17:19">
      <c r="Q126" s="121"/>
      <c r="R126" s="121"/>
      <c r="S126" s="121"/>
    </row>
    <row r="127" spans="17:19">
      <c r="Q127" s="121"/>
      <c r="R127" s="121"/>
      <c r="S127" s="121"/>
    </row>
    <row r="128" spans="17:19">
      <c r="Q128" s="121"/>
      <c r="R128" s="121"/>
      <c r="S128" s="121"/>
    </row>
    <row r="129" spans="17:19">
      <c r="Q129" s="121"/>
      <c r="R129" s="121"/>
      <c r="S129" s="121"/>
    </row>
    <row r="130" spans="17:19">
      <c r="Q130" s="121"/>
      <c r="R130" s="121"/>
      <c r="S130" s="121"/>
    </row>
    <row r="131" spans="17:19">
      <c r="Q131" s="121"/>
      <c r="R131" s="121"/>
      <c r="S131" s="121"/>
    </row>
    <row r="132" spans="17:19">
      <c r="Q132" s="121"/>
      <c r="R132" s="121"/>
      <c r="S132" s="121"/>
    </row>
    <row r="133" spans="17:19">
      <c r="Q133" s="121"/>
      <c r="R133" s="121"/>
      <c r="S133" s="121"/>
    </row>
    <row r="134" spans="17:19">
      <c r="Q134" s="121"/>
      <c r="R134" s="121"/>
      <c r="S134" s="121"/>
    </row>
    <row r="135" spans="17:19">
      <c r="Q135" s="121"/>
      <c r="R135" s="121"/>
      <c r="S135" s="121"/>
    </row>
    <row r="136" spans="17:19">
      <c r="Q136" s="121"/>
      <c r="R136" s="121"/>
      <c r="S136" s="121"/>
    </row>
    <row r="137" spans="17:19">
      <c r="Q137" s="121"/>
      <c r="R137" s="121"/>
      <c r="S137" s="121"/>
    </row>
    <row r="138" spans="17:19">
      <c r="Q138" s="121"/>
      <c r="R138" s="121"/>
      <c r="S138" s="121"/>
    </row>
    <row r="139" spans="17:19">
      <c r="Q139" s="121"/>
      <c r="R139" s="121"/>
      <c r="S139" s="121"/>
    </row>
    <row r="140" spans="17:19">
      <c r="Q140" s="121"/>
      <c r="R140" s="121"/>
      <c r="S140" s="121"/>
    </row>
    <row r="141" spans="17:19">
      <c r="Q141" s="121"/>
      <c r="R141" s="121"/>
      <c r="S141" s="121"/>
    </row>
    <row r="142" spans="17:19">
      <c r="Q142" s="121"/>
      <c r="R142" s="121"/>
      <c r="S142" s="121"/>
    </row>
    <row r="143" spans="17:19">
      <c r="Q143" s="121"/>
      <c r="R143" s="121"/>
      <c r="S143" s="121"/>
    </row>
    <row r="144" spans="17:19">
      <c r="Q144" s="121"/>
      <c r="R144" s="121"/>
      <c r="S144" s="121"/>
    </row>
    <row r="145" spans="17:19">
      <c r="Q145" s="121"/>
      <c r="R145" s="121"/>
      <c r="S145" s="121"/>
    </row>
    <row r="146" spans="17:19">
      <c r="Q146" s="121"/>
      <c r="R146" s="121"/>
      <c r="S146" s="121"/>
    </row>
    <row r="147" spans="17:19">
      <c r="Q147" s="121"/>
      <c r="R147" s="121"/>
      <c r="S147" s="121"/>
    </row>
    <row r="148" spans="17:19">
      <c r="Q148" s="121"/>
      <c r="R148" s="121"/>
      <c r="S148" s="121"/>
    </row>
    <row r="149" spans="17:19">
      <c r="Q149" s="121"/>
      <c r="R149" s="121"/>
      <c r="S149" s="121"/>
    </row>
    <row r="150" spans="17:19">
      <c r="Q150" s="121"/>
      <c r="R150" s="121"/>
      <c r="S150" s="121"/>
    </row>
    <row r="151" spans="17:19">
      <c r="Q151" s="121"/>
      <c r="R151" s="121"/>
      <c r="S151" s="121"/>
    </row>
    <row r="152" spans="17:19">
      <c r="Q152" s="121"/>
      <c r="R152" s="121"/>
      <c r="S152" s="121"/>
    </row>
    <row r="153" spans="17:19">
      <c r="Q153" s="121"/>
      <c r="R153" s="121"/>
      <c r="S153" s="121"/>
    </row>
    <row r="154" spans="17:19">
      <c r="Q154" s="121"/>
      <c r="R154" s="121"/>
      <c r="S154" s="121"/>
    </row>
    <row r="155" spans="17:19">
      <c r="Q155" s="121"/>
      <c r="R155" s="121"/>
      <c r="S155" s="121"/>
    </row>
    <row r="156" spans="17:19">
      <c r="Q156" s="121"/>
      <c r="R156" s="121"/>
      <c r="S156" s="121"/>
    </row>
    <row r="157" spans="17:19">
      <c r="Q157" s="121"/>
      <c r="R157" s="121"/>
      <c r="S157" s="121"/>
    </row>
    <row r="158" spans="17:19">
      <c r="Q158" s="121"/>
      <c r="R158" s="121"/>
      <c r="S158" s="121"/>
    </row>
    <row r="159" spans="17:19">
      <c r="Q159" s="121"/>
      <c r="R159" s="121"/>
      <c r="S159" s="121"/>
    </row>
    <row r="160" spans="17:19">
      <c r="Q160" s="121"/>
      <c r="R160" s="121"/>
      <c r="S160" s="121"/>
    </row>
    <row r="161" spans="17:19">
      <c r="Q161" s="121"/>
      <c r="R161" s="121"/>
      <c r="S161" s="121"/>
    </row>
    <row r="162" spans="17:19">
      <c r="Q162" s="121"/>
      <c r="R162" s="121"/>
      <c r="S162" s="121"/>
    </row>
    <row r="163" spans="17:19">
      <c r="Q163" s="121"/>
      <c r="R163" s="121"/>
      <c r="S163" s="121"/>
    </row>
    <row r="164" spans="17:19">
      <c r="Q164" s="121"/>
      <c r="R164" s="121"/>
      <c r="S164" s="121"/>
    </row>
    <row r="165" spans="17:19">
      <c r="Q165" s="121"/>
      <c r="R165" s="121"/>
      <c r="S165" s="121"/>
    </row>
    <row r="166" spans="17:19">
      <c r="Q166" s="121"/>
      <c r="R166" s="121"/>
      <c r="S166" s="121"/>
    </row>
    <row r="167" spans="17:19">
      <c r="Q167" s="121"/>
      <c r="R167" s="121"/>
      <c r="S167" s="121"/>
    </row>
    <row r="168" spans="17:19">
      <c r="Q168" s="121"/>
      <c r="R168" s="121"/>
      <c r="S168" s="121"/>
    </row>
    <row r="169" spans="17:19">
      <c r="Q169" s="121"/>
      <c r="R169" s="121"/>
      <c r="S169" s="121"/>
    </row>
    <row r="170" spans="17:19">
      <c r="Q170" s="121"/>
      <c r="R170" s="121"/>
      <c r="S170" s="121"/>
    </row>
    <row r="171" spans="17:19">
      <c r="Q171" s="121"/>
      <c r="R171" s="121"/>
      <c r="S171" s="121"/>
    </row>
    <row r="172" spans="17:19">
      <c r="Q172" s="121"/>
      <c r="R172" s="121"/>
      <c r="S172" s="121"/>
    </row>
    <row r="173" spans="17:19">
      <c r="Q173" s="121"/>
      <c r="R173" s="121"/>
      <c r="S173" s="121"/>
    </row>
    <row r="174" spans="17:19">
      <c r="Q174" s="121"/>
      <c r="R174" s="121"/>
      <c r="S174" s="121"/>
    </row>
    <row r="175" spans="17:19">
      <c r="Q175" s="121"/>
      <c r="R175" s="121"/>
      <c r="S175" s="121"/>
    </row>
    <row r="176" spans="17:19">
      <c r="Q176" s="121"/>
      <c r="R176" s="121"/>
      <c r="S176" s="121"/>
    </row>
    <row r="177" spans="3:19">
      <c r="Q177" s="121"/>
      <c r="R177" s="121"/>
      <c r="S177" s="121"/>
    </row>
    <row r="178" spans="3:19">
      <c r="Q178" s="121"/>
      <c r="R178" s="121"/>
      <c r="S178" s="121"/>
    </row>
    <row r="179" spans="3:19">
      <c r="Q179" s="121"/>
      <c r="R179" s="121"/>
      <c r="S179" s="121"/>
    </row>
    <row r="180" spans="3:19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Q180" s="121"/>
      <c r="R180" s="121"/>
      <c r="S180" s="121"/>
    </row>
    <row r="181" spans="3:19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3:19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3:19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3:19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3:19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3:19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3:19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3:19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3:19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3:19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3:19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3:19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3:19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3:19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3:19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3:19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3:19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3:19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3:19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3:19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3:19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3:19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3:19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3:19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3:19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>
      <c r="P236" s="121"/>
      <c r="Q236" s="121"/>
      <c r="R236" s="121"/>
      <c r="S236" s="121"/>
    </row>
  </sheetData>
  <printOptions horizontalCentered="1"/>
  <pageMargins left="0.75" right="0.75" top="0.53" bottom="0.51" header="0.5" footer="0.5"/>
  <pageSetup scale="59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V260"/>
  <sheetViews>
    <sheetView workbookViewId="0"/>
  </sheetViews>
  <sheetFormatPr defaultColWidth="9.33203125" defaultRowHeight="15.7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16" s="1" customFormat="1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2"/>
      <c r="M1" s="179"/>
      <c r="N1" s="4"/>
      <c r="O1" s="4"/>
      <c r="P1" s="4"/>
    </row>
    <row r="2" spans="1:16" s="1" customFormat="1">
      <c r="A2" s="190" t="s">
        <v>427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2"/>
      <c r="M2" s="188"/>
      <c r="N2" s="4"/>
      <c r="O2" s="4"/>
      <c r="P2" s="4"/>
    </row>
    <row r="3" spans="1:16" s="1" customFormat="1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s="1" customFormat="1">
      <c r="A4" s="1" t="s">
        <v>186</v>
      </c>
      <c r="C4" s="2"/>
      <c r="D4" s="2"/>
      <c r="E4" s="7"/>
      <c r="F4" s="2"/>
      <c r="G4" s="2"/>
      <c r="H4" s="2"/>
      <c r="I4" s="4"/>
      <c r="K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 s="1" customFormat="1">
      <c r="A5" s="207" t="s">
        <v>187</v>
      </c>
      <c r="C5" s="2"/>
      <c r="D5" s="8"/>
      <c r="F5" s="8"/>
      <c r="G5" s="8"/>
      <c r="H5" s="8"/>
      <c r="I5" s="2"/>
      <c r="J5" s="2"/>
      <c r="K5" s="206" t="s">
        <v>125</v>
      </c>
      <c r="L5" s="192"/>
      <c r="M5" s="4"/>
      <c r="N5" s="4"/>
      <c r="O5" s="4"/>
      <c r="P5" s="4"/>
    </row>
    <row r="6" spans="1:16" s="1" customForma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>
      <c r="A7" s="209" t="s">
        <v>130</v>
      </c>
      <c r="B7" s="190"/>
      <c r="C7" s="210"/>
      <c r="D7" s="210"/>
      <c r="E7" s="190"/>
      <c r="F7" s="210"/>
      <c r="G7" s="210"/>
      <c r="H7" s="210"/>
      <c r="I7" s="210"/>
      <c r="J7" s="210"/>
      <c r="K7" s="210"/>
      <c r="L7" s="2"/>
      <c r="M7" s="4"/>
      <c r="N7" s="4"/>
      <c r="O7" s="4"/>
      <c r="P7" s="4"/>
    </row>
    <row r="8" spans="1:16">
      <c r="A8" s="403" t="s">
        <v>389</v>
      </c>
      <c r="B8" s="404"/>
      <c r="C8" s="404"/>
      <c r="D8" s="404"/>
      <c r="E8" s="404"/>
      <c r="F8" s="405"/>
      <c r="G8" s="405"/>
      <c r="H8" s="405"/>
      <c r="I8" s="405"/>
      <c r="J8" s="405"/>
      <c r="K8" s="406"/>
      <c r="L8" s="146"/>
      <c r="M8" s="146"/>
      <c r="N8" s="106"/>
      <c r="O8" s="146"/>
      <c r="P8" s="155"/>
    </row>
    <row r="9" spans="1:16">
      <c r="A9" s="84" t="s">
        <v>1</v>
      </c>
      <c r="C9" s="407"/>
      <c r="D9" s="106"/>
      <c r="E9" s="106"/>
      <c r="F9" s="106"/>
      <c r="G9" s="106"/>
      <c r="H9" s="106"/>
      <c r="I9" s="106"/>
      <c r="J9" s="106"/>
      <c r="K9" s="146"/>
      <c r="L9" s="146"/>
      <c r="M9" s="146"/>
      <c r="N9" s="106"/>
      <c r="O9" s="146"/>
      <c r="P9" s="155"/>
    </row>
    <row r="10" spans="1:16" ht="16.5" thickBot="1">
      <c r="A10" s="408" t="s">
        <v>3</v>
      </c>
      <c r="C10" s="145" t="s">
        <v>204</v>
      </c>
      <c r="D10" s="106"/>
      <c r="E10" s="106"/>
      <c r="F10" s="106"/>
      <c r="G10" s="106"/>
      <c r="H10" s="106"/>
      <c r="K10" s="146"/>
      <c r="L10" s="146"/>
      <c r="M10" s="146"/>
      <c r="N10" s="106"/>
      <c r="O10" s="146"/>
      <c r="P10" s="155"/>
    </row>
    <row r="11" spans="1:16">
      <c r="A11" s="84">
        <v>1</v>
      </c>
      <c r="C11" s="145" t="s">
        <v>205</v>
      </c>
      <c r="D11" s="106"/>
      <c r="E11" s="146"/>
      <c r="F11" s="146"/>
      <c r="G11" s="409" t="s">
        <v>331</v>
      </c>
      <c r="H11" s="146"/>
      <c r="I11" s="146"/>
      <c r="J11" s="410">
        <f>'NITS Pg 2 of 5'!E15</f>
        <v>1189651345</v>
      </c>
      <c r="K11" s="146"/>
      <c r="L11" s="146"/>
      <c r="M11" s="146"/>
      <c r="N11" s="106"/>
      <c r="O11" s="146"/>
      <c r="P11" s="155"/>
    </row>
    <row r="12" spans="1:16">
      <c r="A12" s="84">
        <v>2</v>
      </c>
      <c r="C12" s="145" t="s">
        <v>207</v>
      </c>
      <c r="G12" s="121" t="s">
        <v>206</v>
      </c>
      <c r="J12" s="147">
        <f>ROUND('VA Transmission'!$G$60,0)</f>
        <v>52642796</v>
      </c>
      <c r="K12" s="146"/>
      <c r="L12" s="146"/>
      <c r="M12" s="146"/>
      <c r="N12" s="106"/>
      <c r="O12" s="146"/>
      <c r="P12" s="411"/>
    </row>
    <row r="13" spans="1:16" ht="18.75" thickBot="1">
      <c r="A13" s="84">
        <v>3</v>
      </c>
      <c r="C13" s="195" t="s">
        <v>209</v>
      </c>
      <c r="D13" s="148"/>
      <c r="E13" s="149"/>
      <c r="F13" s="146"/>
      <c r="G13" s="412" t="s">
        <v>208</v>
      </c>
      <c r="H13" s="150"/>
      <c r="I13" s="146"/>
      <c r="J13" s="413">
        <v>0</v>
      </c>
      <c r="K13" s="146"/>
      <c r="L13" s="146"/>
      <c r="M13" s="146"/>
      <c r="N13" s="106"/>
      <c r="O13" s="146"/>
      <c r="P13" s="411"/>
    </row>
    <row r="14" spans="1:16">
      <c r="A14" s="84">
        <v>4</v>
      </c>
      <c r="C14" s="145" t="s">
        <v>340</v>
      </c>
      <c r="D14" s="106"/>
      <c r="E14" s="146"/>
      <c r="F14" s="146"/>
      <c r="G14" s="414" t="s">
        <v>210</v>
      </c>
      <c r="H14" s="150"/>
      <c r="I14" s="146"/>
      <c r="J14" s="410">
        <f>ROUND(J11-J12-J13,0)</f>
        <v>1137008549</v>
      </c>
      <c r="K14" s="146"/>
      <c r="L14" s="146"/>
      <c r="M14" s="146"/>
      <c r="N14" s="106"/>
      <c r="O14" s="146"/>
      <c r="P14" s="155"/>
    </row>
    <row r="15" spans="1:16">
      <c r="A15" s="84"/>
      <c r="D15" s="106"/>
      <c r="E15" s="146"/>
      <c r="F15" s="146"/>
      <c r="G15" s="146"/>
      <c r="H15" s="150"/>
      <c r="I15" s="146"/>
      <c r="J15" s="147"/>
      <c r="K15" s="146"/>
      <c r="L15" s="146"/>
      <c r="M15" s="146"/>
      <c r="N15" s="106"/>
    </row>
    <row r="16" spans="1:16">
      <c r="A16" s="84">
        <v>5</v>
      </c>
      <c r="C16" s="145" t="s">
        <v>341</v>
      </c>
      <c r="D16" s="151"/>
      <c r="E16" s="152"/>
      <c r="F16" s="152"/>
      <c r="G16" s="415" t="s">
        <v>211</v>
      </c>
      <c r="H16" s="153"/>
      <c r="I16" s="146" t="s">
        <v>64</v>
      </c>
      <c r="J16" s="416">
        <f>IF(J11&gt;0,ROUND(J14/J11,5),0)</f>
        <v>0.95574999999999999</v>
      </c>
      <c r="K16" s="146"/>
      <c r="L16" s="146"/>
      <c r="M16" s="146"/>
      <c r="N16" s="106"/>
    </row>
    <row r="17" spans="1:22">
      <c r="A17" s="84"/>
      <c r="J17" s="147"/>
      <c r="K17" s="146"/>
      <c r="L17" s="146"/>
      <c r="M17" s="146"/>
      <c r="N17" s="106"/>
      <c r="R17" s="154"/>
      <c r="S17" s="154"/>
      <c r="T17" s="154"/>
      <c r="U17" s="154"/>
      <c r="V17" s="154"/>
    </row>
    <row r="18" spans="1:22">
      <c r="A18" s="84"/>
      <c r="C18" s="155" t="s">
        <v>65</v>
      </c>
      <c r="J18" s="147"/>
      <c r="K18" s="146"/>
      <c r="L18" s="146"/>
      <c r="M18" s="146"/>
      <c r="N18" s="106"/>
      <c r="R18" s="154"/>
      <c r="S18" s="154"/>
      <c r="T18" s="154"/>
      <c r="U18" s="154"/>
      <c r="V18" s="154"/>
    </row>
    <row r="19" spans="1:22">
      <c r="A19" s="84">
        <v>6</v>
      </c>
      <c r="C19" s="167" t="s">
        <v>216</v>
      </c>
      <c r="E19" s="106"/>
      <c r="F19" s="106"/>
      <c r="G19" s="409" t="s">
        <v>332</v>
      </c>
      <c r="H19" s="156"/>
      <c r="I19" s="106"/>
      <c r="J19" s="410">
        <f>'NITS Pg 3 of 5'!E14</f>
        <v>46190354.789999999</v>
      </c>
      <c r="K19" s="146"/>
      <c r="L19" s="146"/>
      <c r="M19" s="146"/>
      <c r="N19" s="146"/>
      <c r="R19" s="157"/>
      <c r="S19" s="158"/>
      <c r="T19" s="154"/>
      <c r="U19" s="154"/>
      <c r="V19" s="154"/>
    </row>
    <row r="20" spans="1:22" ht="18.75" thickBot="1">
      <c r="A20" s="84">
        <v>7</v>
      </c>
      <c r="C20" s="195" t="s">
        <v>215</v>
      </c>
      <c r="D20" s="148"/>
      <c r="E20" s="149"/>
      <c r="F20" s="157"/>
      <c r="G20" s="412" t="s">
        <v>212</v>
      </c>
      <c r="H20" s="146"/>
      <c r="I20" s="146"/>
      <c r="J20" s="417">
        <f>'Sch 1'!$D$21</f>
        <v>6274911</v>
      </c>
      <c r="K20" s="146"/>
      <c r="L20" s="146"/>
      <c r="M20" s="146"/>
      <c r="N20" s="157"/>
      <c r="R20" s="157"/>
      <c r="S20" s="158"/>
      <c r="T20" s="154"/>
      <c r="U20" s="154"/>
      <c r="V20" s="154"/>
    </row>
    <row r="21" spans="1:22">
      <c r="A21" s="84">
        <v>8</v>
      </c>
      <c r="C21" s="145" t="s">
        <v>214</v>
      </c>
      <c r="D21" s="151"/>
      <c r="E21" s="152"/>
      <c r="F21" s="152"/>
      <c r="G21" s="409" t="s">
        <v>213</v>
      </c>
      <c r="H21" s="153"/>
      <c r="I21" s="152"/>
      <c r="J21" s="410">
        <f>ROUND(J19-J20,0)</f>
        <v>39915444</v>
      </c>
      <c r="M21" s="146"/>
      <c r="N21" s="146"/>
      <c r="S21" s="154"/>
      <c r="T21" s="154"/>
      <c r="U21" s="154"/>
      <c r="V21" s="154"/>
    </row>
    <row r="22" spans="1:22">
      <c r="A22" s="84"/>
      <c r="C22" s="110"/>
      <c r="D22" s="106"/>
      <c r="E22" s="146"/>
      <c r="F22" s="146"/>
      <c r="G22" s="146"/>
      <c r="H22" s="146"/>
      <c r="M22" s="146"/>
      <c r="N22" s="146"/>
      <c r="S22" s="154"/>
      <c r="T22" s="154"/>
      <c r="U22" s="154"/>
      <c r="V22" s="154"/>
    </row>
    <row r="23" spans="1:22">
      <c r="A23" s="84">
        <v>9</v>
      </c>
      <c r="C23" s="145" t="s">
        <v>220</v>
      </c>
      <c r="D23" s="106"/>
      <c r="E23" s="146"/>
      <c r="F23" s="146"/>
      <c r="G23" s="418" t="s">
        <v>217</v>
      </c>
      <c r="H23" s="146"/>
      <c r="I23" s="146"/>
      <c r="J23" s="419">
        <f>ROUND(J21/J19,5)</f>
        <v>0.86414999999999997</v>
      </c>
      <c r="M23" s="146"/>
      <c r="N23" s="146"/>
      <c r="S23" s="159"/>
      <c r="T23" s="154"/>
      <c r="U23" s="154"/>
      <c r="V23" s="154"/>
    </row>
    <row r="24" spans="1:22">
      <c r="A24" s="84">
        <v>10</v>
      </c>
      <c r="C24" s="145" t="s">
        <v>341</v>
      </c>
      <c r="D24" s="106"/>
      <c r="E24" s="146"/>
      <c r="F24" s="146"/>
      <c r="G24" s="412" t="s">
        <v>218</v>
      </c>
      <c r="H24" s="146"/>
      <c r="I24" s="106" t="s">
        <v>9</v>
      </c>
      <c r="J24" s="420">
        <f>J16</f>
        <v>0.95574999999999999</v>
      </c>
      <c r="M24" s="146"/>
      <c r="N24" s="146"/>
      <c r="S24" s="159"/>
      <c r="T24" s="154"/>
      <c r="U24" s="154"/>
      <c r="V24" s="154"/>
    </row>
    <row r="25" spans="1:22">
      <c r="A25" s="84">
        <v>11</v>
      </c>
      <c r="C25" s="145" t="s">
        <v>342</v>
      </c>
      <c r="D25" s="106"/>
      <c r="E25" s="106"/>
      <c r="F25" s="106"/>
      <c r="G25" s="412" t="s">
        <v>219</v>
      </c>
      <c r="H25" s="106"/>
      <c r="I25" s="106" t="s">
        <v>66</v>
      </c>
      <c r="J25" s="421">
        <f>ROUND(J24*J23,5)</f>
        <v>0.82591000000000003</v>
      </c>
      <c r="M25" s="146"/>
      <c r="N25" s="146"/>
      <c r="S25" s="159"/>
      <c r="T25" s="154"/>
      <c r="U25" s="154"/>
      <c r="V25" s="154"/>
    </row>
    <row r="26" spans="1:22">
      <c r="A26" s="84"/>
      <c r="D26" s="106"/>
      <c r="E26" s="146"/>
      <c r="F26" s="146"/>
      <c r="G26" s="146"/>
      <c r="H26" s="150"/>
      <c r="I26" s="146"/>
      <c r="M26" s="146"/>
      <c r="N26" s="146"/>
      <c r="S26" s="160"/>
      <c r="T26" s="154"/>
      <c r="U26" s="154"/>
      <c r="V26" s="154"/>
    </row>
    <row r="27" spans="1:22">
      <c r="A27" s="84" t="s">
        <v>0</v>
      </c>
      <c r="C27" s="194" t="s">
        <v>167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S27" s="158"/>
      <c r="T27" s="154"/>
      <c r="U27" s="154"/>
      <c r="V27" s="154"/>
    </row>
    <row r="28" spans="1:22">
      <c r="A28" s="84" t="s">
        <v>0</v>
      </c>
      <c r="C28" s="155"/>
      <c r="D28" s="422" t="s">
        <v>67</v>
      </c>
      <c r="E28" s="423" t="s">
        <v>230</v>
      </c>
      <c r="F28" s="423" t="s">
        <v>9</v>
      </c>
      <c r="G28" s="146"/>
      <c r="H28" s="423" t="s">
        <v>229</v>
      </c>
      <c r="I28" s="146"/>
      <c r="J28" s="146"/>
      <c r="K28" s="146"/>
      <c r="L28" s="146"/>
      <c r="M28" s="146"/>
      <c r="N28" s="146"/>
      <c r="S28" s="158"/>
      <c r="T28" s="154"/>
      <c r="U28" s="154"/>
      <c r="V28" s="154"/>
    </row>
    <row r="29" spans="1:22">
      <c r="A29" s="84">
        <v>12</v>
      </c>
      <c r="C29" s="155" t="s">
        <v>31</v>
      </c>
      <c r="D29" s="409" t="s">
        <v>174</v>
      </c>
      <c r="E29" s="424">
        <f>'OATT Input Data'!$E$269</f>
        <v>79373567</v>
      </c>
      <c r="F29" s="425">
        <v>0</v>
      </c>
      <c r="G29" s="425"/>
      <c r="H29" s="426">
        <f>ROUND(E29*F29,0)</f>
        <v>0</v>
      </c>
      <c r="I29" s="146"/>
      <c r="J29" s="146"/>
      <c r="K29" s="146"/>
      <c r="L29" s="146"/>
      <c r="M29" s="146"/>
      <c r="N29" s="165"/>
      <c r="S29" s="154"/>
      <c r="T29" s="154"/>
      <c r="U29" s="154"/>
      <c r="V29" s="154"/>
    </row>
    <row r="30" spans="1:22">
      <c r="A30" s="84">
        <v>13</v>
      </c>
      <c r="C30" s="155" t="s">
        <v>33</v>
      </c>
      <c r="D30" s="409" t="s">
        <v>221</v>
      </c>
      <c r="E30" s="161">
        <f>'OATT Input Data'!$E$270</f>
        <v>9196900</v>
      </c>
      <c r="F30" s="419">
        <f>+J16</f>
        <v>0.95574999999999999</v>
      </c>
      <c r="G30" s="425"/>
      <c r="H30" s="161">
        <f t="shared" ref="H30:H32" si="0">ROUND(E30*F30,0)</f>
        <v>8789937</v>
      </c>
      <c r="I30" s="146"/>
      <c r="J30" s="146"/>
      <c r="K30" s="146"/>
      <c r="L30" s="146"/>
      <c r="M30" s="106"/>
      <c r="N30" s="427"/>
    </row>
    <row r="31" spans="1:22">
      <c r="A31" s="84">
        <v>14</v>
      </c>
      <c r="C31" s="155" t="s">
        <v>34</v>
      </c>
      <c r="D31" s="409" t="s">
        <v>222</v>
      </c>
      <c r="E31" s="161">
        <f>'OATT Input Data'!$E$271</f>
        <v>26803734</v>
      </c>
      <c r="F31" s="425">
        <v>0</v>
      </c>
      <c r="G31" s="425"/>
      <c r="H31" s="428">
        <f t="shared" si="0"/>
        <v>0</v>
      </c>
      <c r="I31" s="146"/>
      <c r="J31" s="429" t="s">
        <v>68</v>
      </c>
      <c r="K31" s="146"/>
      <c r="L31" s="146"/>
      <c r="M31" s="146"/>
      <c r="N31" s="427"/>
    </row>
    <row r="32" spans="1:22" ht="22.5" customHeight="1">
      <c r="A32" s="84">
        <v>15</v>
      </c>
      <c r="C32" s="155" t="s">
        <v>69</v>
      </c>
      <c r="D32" s="409" t="s">
        <v>865</v>
      </c>
      <c r="E32" s="430">
        <f>'OATT Input Data'!$E$276</f>
        <v>18031188</v>
      </c>
      <c r="F32" s="425">
        <v>0</v>
      </c>
      <c r="G32" s="425"/>
      <c r="H32" s="413">
        <f t="shared" si="0"/>
        <v>0</v>
      </c>
      <c r="I32" s="146"/>
      <c r="J32" s="431" t="s">
        <v>393</v>
      </c>
      <c r="K32" s="146"/>
      <c r="L32" s="146"/>
      <c r="M32" s="146"/>
      <c r="N32" s="427"/>
    </row>
    <row r="33" spans="1:22">
      <c r="A33" s="84">
        <v>16</v>
      </c>
      <c r="C33" s="194" t="s">
        <v>223</v>
      </c>
      <c r="D33" s="414" t="s">
        <v>224</v>
      </c>
      <c r="E33" s="424">
        <f>ROUND(SUM(E29:E32),0)</f>
        <v>133405389</v>
      </c>
      <c r="F33" s="146"/>
      <c r="G33" s="146"/>
      <c r="H33" s="424">
        <f>ROUND(SUM(H29:H32),0)</f>
        <v>8789937</v>
      </c>
      <c r="I33" s="156" t="s">
        <v>70</v>
      </c>
      <c r="J33" s="419">
        <f>IF(H33&gt;0,ROUND(H33/E33,5),0)</f>
        <v>6.5890000000000004E-2</v>
      </c>
      <c r="K33" s="551" t="s">
        <v>323</v>
      </c>
      <c r="L33" s="146"/>
      <c r="M33" s="146"/>
      <c r="N33" s="146"/>
      <c r="O33" s="146"/>
      <c r="P33" s="155"/>
    </row>
    <row r="34" spans="1:22">
      <c r="A34" s="84"/>
      <c r="C34" s="155"/>
      <c r="D34" s="414"/>
      <c r="E34" s="161"/>
      <c r="F34" s="146"/>
      <c r="G34" s="146"/>
      <c r="H34" s="146"/>
      <c r="I34" s="146"/>
      <c r="J34" s="146"/>
      <c r="K34" s="146"/>
      <c r="L34" s="146"/>
      <c r="M34" s="146" t="s">
        <v>0</v>
      </c>
      <c r="N34" s="146"/>
      <c r="O34" s="146"/>
      <c r="P34" s="155"/>
    </row>
    <row r="35" spans="1:22">
      <c r="A35" s="84"/>
      <c r="C35" s="194" t="s">
        <v>225</v>
      </c>
      <c r="D35" s="414" t="s">
        <v>226</v>
      </c>
      <c r="E35" s="161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5"/>
    </row>
    <row r="36" spans="1:22">
      <c r="A36" s="84"/>
      <c r="C36" s="155"/>
      <c r="D36" s="414"/>
      <c r="E36" s="432" t="s">
        <v>231</v>
      </c>
      <c r="F36" s="146"/>
      <c r="G36" s="146"/>
      <c r="H36" s="150"/>
      <c r="I36" s="433" t="s">
        <v>0</v>
      </c>
      <c r="J36" s="434"/>
      <c r="M36" s="146"/>
      <c r="N36" s="146"/>
      <c r="O36" s="146"/>
      <c r="P36" s="157"/>
      <c r="Q36" s="162"/>
    </row>
    <row r="37" spans="1:22">
      <c r="A37" s="84">
        <v>17</v>
      </c>
      <c r="C37" s="155" t="s">
        <v>71</v>
      </c>
      <c r="D37" s="414" t="s">
        <v>72</v>
      </c>
      <c r="E37" s="424">
        <f>ROUND('OATT Input Data'!E281,0)</f>
        <v>10981269334</v>
      </c>
      <c r="F37" s="146"/>
      <c r="H37" s="435"/>
      <c r="I37" s="436"/>
      <c r="J37" s="84"/>
      <c r="K37" s="146"/>
      <c r="L37" s="156"/>
      <c r="M37" s="146"/>
      <c r="N37" s="146"/>
      <c r="O37" s="146"/>
      <c r="P37" s="146"/>
      <c r="Q37" s="146"/>
      <c r="R37" s="163"/>
      <c r="S37" s="161"/>
      <c r="T37" s="163"/>
      <c r="U37" s="163"/>
    </row>
    <row r="38" spans="1:22">
      <c r="A38" s="84">
        <v>18</v>
      </c>
      <c r="C38" s="155" t="s">
        <v>73</v>
      </c>
      <c r="D38" s="414" t="s">
        <v>74</v>
      </c>
      <c r="E38" s="161">
        <f>ROUND('OATT Input Data'!E282,0)</f>
        <v>966619554</v>
      </c>
      <c r="F38" s="146"/>
      <c r="I38" s="150"/>
      <c r="K38" s="433"/>
      <c r="M38" s="146"/>
      <c r="N38" s="146"/>
      <c r="O38" s="146"/>
      <c r="P38" s="155"/>
      <c r="Q38" s="146"/>
      <c r="R38" s="161"/>
      <c r="S38" s="161"/>
      <c r="T38" s="163"/>
      <c r="U38" s="163"/>
    </row>
    <row r="39" spans="1:22" ht="18">
      <c r="A39" s="84">
        <v>19</v>
      </c>
      <c r="C39" s="158" t="s">
        <v>75</v>
      </c>
      <c r="D39" s="437" t="s">
        <v>76</v>
      </c>
      <c r="E39" s="413">
        <f>ROUND('OATT Input Data'!E283,0)</f>
        <v>0</v>
      </c>
      <c r="F39" s="146"/>
      <c r="G39" s="146"/>
      <c r="H39" s="146" t="s">
        <v>0</v>
      </c>
      <c r="I39" s="146"/>
      <c r="J39" s="146"/>
      <c r="K39" s="146"/>
      <c r="L39" s="146"/>
      <c r="M39" s="146"/>
      <c r="N39" s="146"/>
      <c r="O39" s="146"/>
      <c r="P39" s="155"/>
      <c r="R39" s="161"/>
      <c r="S39" s="161"/>
      <c r="T39" s="161"/>
      <c r="U39" s="161"/>
    </row>
    <row r="40" spans="1:22">
      <c r="A40" s="84">
        <v>20</v>
      </c>
      <c r="C40" s="194" t="s">
        <v>228</v>
      </c>
      <c r="D40" s="414" t="s">
        <v>227</v>
      </c>
      <c r="E40" s="424">
        <f>ROUND(SUM(E37:E39),0)</f>
        <v>11947888888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55"/>
      <c r="R40" s="161"/>
      <c r="S40" s="161"/>
      <c r="T40" s="161"/>
      <c r="U40" s="161"/>
    </row>
    <row r="41" spans="1:22">
      <c r="A41" s="84">
        <v>21</v>
      </c>
      <c r="C41" s="438" t="s">
        <v>313</v>
      </c>
      <c r="D41" s="414" t="s">
        <v>314</v>
      </c>
      <c r="F41" s="439">
        <f>IF(E40&gt;0,ROUND(E37/E40,5),0)</f>
        <v>0.91910000000000003</v>
      </c>
      <c r="G41" s="440" t="s">
        <v>324</v>
      </c>
      <c r="H41" s="439">
        <f>J33</f>
        <v>6.5890000000000004E-2</v>
      </c>
      <c r="I41" s="146"/>
      <c r="J41" s="439">
        <f>ROUND(H41*F41,5)</f>
        <v>6.0560000000000003E-2</v>
      </c>
      <c r="K41" s="441" t="s">
        <v>315</v>
      </c>
      <c r="L41" s="146"/>
      <c r="M41" s="146"/>
      <c r="N41" s="146"/>
      <c r="O41" s="146"/>
      <c r="P41" s="155"/>
      <c r="R41" s="161"/>
      <c r="S41" s="161"/>
      <c r="T41" s="161"/>
      <c r="U41" s="161"/>
    </row>
    <row r="42" spans="1:22">
      <c r="A42" s="84"/>
      <c r="C42" s="438"/>
      <c r="D42" s="414"/>
      <c r="F42" s="439"/>
      <c r="G42" s="442"/>
      <c r="H42" s="439"/>
      <c r="I42" s="146"/>
      <c r="J42" s="439"/>
      <c r="K42" s="441"/>
      <c r="L42" s="146"/>
      <c r="M42" s="146"/>
      <c r="N42" s="146"/>
      <c r="O42" s="146"/>
      <c r="P42" s="155"/>
      <c r="R42" s="161"/>
      <c r="S42" s="161"/>
      <c r="T42" s="161"/>
      <c r="U42" s="161"/>
    </row>
    <row r="43" spans="1:22">
      <c r="A43" s="84"/>
      <c r="B43" s="110"/>
      <c r="C43" s="145" t="s">
        <v>316</v>
      </c>
      <c r="D43" s="146"/>
      <c r="E43" s="443" t="s">
        <v>232</v>
      </c>
      <c r="F43" s="146"/>
      <c r="G43" s="146"/>
      <c r="H43" s="146"/>
      <c r="I43" s="146"/>
      <c r="K43" s="146"/>
      <c r="L43" s="146"/>
      <c r="M43" s="146"/>
      <c r="N43" s="146"/>
      <c r="O43" s="146"/>
      <c r="P43" s="156"/>
      <c r="Q43" s="164"/>
      <c r="R43" s="161"/>
      <c r="S43" s="161"/>
      <c r="T43" s="161"/>
      <c r="U43" s="161"/>
    </row>
    <row r="44" spans="1:22">
      <c r="A44" s="84">
        <v>22</v>
      </c>
      <c r="B44" s="110"/>
      <c r="C44" s="444" t="s">
        <v>77</v>
      </c>
      <c r="D44" s="409" t="s">
        <v>343</v>
      </c>
      <c r="E44" s="424">
        <f>'OATT Input Data'!$E$298</f>
        <v>133811886</v>
      </c>
      <c r="F44" s="146"/>
      <c r="H44" s="146"/>
      <c r="I44" s="146"/>
      <c r="K44" s="146"/>
      <c r="L44" s="146"/>
      <c r="M44" s="146"/>
      <c r="N44" s="146"/>
      <c r="O44" s="165"/>
      <c r="P44" s="146"/>
      <c r="Q44" s="146"/>
      <c r="R44" s="163"/>
      <c r="S44" s="163"/>
      <c r="T44" s="163"/>
      <c r="U44" s="163"/>
    </row>
    <row r="45" spans="1:22">
      <c r="A45" s="84">
        <v>23</v>
      </c>
      <c r="B45" s="110"/>
      <c r="C45" s="444" t="s">
        <v>126</v>
      </c>
      <c r="D45" s="409" t="s">
        <v>233</v>
      </c>
      <c r="E45" s="428">
        <v>0</v>
      </c>
      <c r="F45" s="146"/>
      <c r="H45" s="146"/>
      <c r="I45" s="146"/>
      <c r="K45" s="146"/>
      <c r="L45" s="146"/>
      <c r="M45" s="146"/>
      <c r="N45" s="146"/>
      <c r="O45" s="146"/>
      <c r="P45" s="166"/>
      <c r="Q45" s="166"/>
      <c r="R45" s="161"/>
      <c r="S45" s="161"/>
      <c r="T45" s="161"/>
      <c r="U45" s="161"/>
    </row>
    <row r="46" spans="1:22">
      <c r="A46" s="84"/>
      <c r="B46" s="110"/>
      <c r="C46" s="145" t="s">
        <v>129</v>
      </c>
      <c r="D46" s="146"/>
      <c r="E46" s="146"/>
      <c r="F46" s="146"/>
      <c r="G46" s="146"/>
      <c r="H46" s="146"/>
      <c r="I46" s="146"/>
      <c r="K46" s="146"/>
      <c r="L46" s="146"/>
      <c r="M46" s="146"/>
      <c r="N46" s="146"/>
      <c r="O46" s="146"/>
      <c r="P46" s="166"/>
      <c r="Q46" s="166"/>
      <c r="R46" s="163"/>
      <c r="S46" s="163"/>
      <c r="T46" s="163"/>
      <c r="U46" s="163"/>
      <c r="V46" s="167"/>
    </row>
    <row r="47" spans="1:22">
      <c r="A47" s="84">
        <v>24</v>
      </c>
      <c r="B47" s="110"/>
      <c r="C47" s="444" t="s">
        <v>78</v>
      </c>
      <c r="D47" s="409" t="s">
        <v>344</v>
      </c>
      <c r="E47" s="424">
        <f>'OATT Input Data'!$E$314</f>
        <v>4619623241</v>
      </c>
      <c r="F47" s="146"/>
      <c r="H47" s="146"/>
      <c r="I47" s="146"/>
      <c r="K47" s="146"/>
      <c r="L47" s="146"/>
      <c r="M47" s="146"/>
      <c r="N47" s="146"/>
      <c r="O47" s="146"/>
      <c r="P47" s="146"/>
      <c r="Q47" s="146"/>
      <c r="R47" s="163"/>
      <c r="S47" s="163"/>
      <c r="T47" s="163"/>
      <c r="U47" s="163"/>
      <c r="V47" s="167"/>
    </row>
    <row r="48" spans="1:22">
      <c r="A48" s="84">
        <v>25</v>
      </c>
      <c r="B48" s="110"/>
      <c r="C48" s="444" t="s">
        <v>318</v>
      </c>
      <c r="D48" s="409" t="s">
        <v>345</v>
      </c>
      <c r="E48" s="445">
        <f>-E54</f>
        <v>0</v>
      </c>
      <c r="F48" s="146"/>
      <c r="H48" s="146"/>
      <c r="I48" s="146"/>
      <c r="K48" s="146"/>
      <c r="L48" s="146"/>
      <c r="M48" s="146"/>
      <c r="N48" s="146"/>
      <c r="O48" s="146"/>
      <c r="P48" s="168"/>
      <c r="Q48" s="150"/>
      <c r="R48" s="163"/>
      <c r="S48" s="163"/>
      <c r="T48" s="163"/>
      <c r="U48" s="163"/>
    </row>
    <row r="49" spans="1:21" ht="33.75">
      <c r="A49" s="84">
        <v>26</v>
      </c>
      <c r="B49" s="110"/>
      <c r="C49" s="205" t="s">
        <v>234</v>
      </c>
      <c r="D49" s="414" t="s">
        <v>235</v>
      </c>
      <c r="E49" s="417">
        <f>'OATT Input Data'!$E$325</f>
        <v>-1627215</v>
      </c>
      <c r="F49" s="146"/>
      <c r="H49" s="146"/>
      <c r="I49" s="146"/>
      <c r="K49" s="146"/>
      <c r="L49" s="146"/>
      <c r="M49" s="146"/>
      <c r="N49" s="146"/>
      <c r="O49" s="146"/>
      <c r="P49" s="156"/>
      <c r="Q49" s="164"/>
      <c r="R49" s="163"/>
      <c r="S49" s="163"/>
      <c r="T49" s="163"/>
      <c r="U49" s="163"/>
    </row>
    <row r="50" spans="1:21">
      <c r="A50" s="84">
        <v>27</v>
      </c>
      <c r="B50" s="110"/>
      <c r="C50" s="446" t="s">
        <v>346</v>
      </c>
      <c r="D50" s="447" t="s">
        <v>325</v>
      </c>
      <c r="E50" s="424">
        <f>ROUND(SUM(E47:E49),0)</f>
        <v>4617996026</v>
      </c>
      <c r="F50" s="110"/>
      <c r="H50" s="448"/>
      <c r="I50" s="110"/>
      <c r="K50" s="146"/>
      <c r="L50" s="146"/>
      <c r="M50" s="146"/>
      <c r="N50" s="146"/>
      <c r="O50" s="146"/>
      <c r="P50" s="146"/>
      <c r="Q50" s="146"/>
      <c r="R50" s="163"/>
      <c r="S50" s="163"/>
      <c r="T50" s="161"/>
      <c r="U50" s="161"/>
    </row>
    <row r="51" spans="1:21">
      <c r="A51" s="84"/>
      <c r="B51" s="110"/>
      <c r="C51" s="110"/>
      <c r="D51" s="146"/>
      <c r="E51" s="110"/>
      <c r="F51" s="110"/>
      <c r="G51" s="449"/>
      <c r="H51" s="84" t="s">
        <v>237</v>
      </c>
      <c r="I51" s="110"/>
      <c r="J51" s="424"/>
      <c r="K51" s="146"/>
      <c r="L51" s="146"/>
      <c r="M51" s="146"/>
      <c r="N51" s="146"/>
      <c r="O51" s="146"/>
      <c r="P51" s="146"/>
      <c r="Q51" s="146"/>
      <c r="R51" s="163"/>
      <c r="S51" s="163"/>
      <c r="T51" s="161"/>
      <c r="U51" s="161"/>
    </row>
    <row r="52" spans="1:21">
      <c r="A52" s="84"/>
      <c r="C52" s="155" t="s">
        <v>347</v>
      </c>
      <c r="D52" s="146"/>
      <c r="E52" s="450" t="s">
        <v>327</v>
      </c>
      <c r="F52" s="451" t="s">
        <v>79</v>
      </c>
      <c r="G52" s="146"/>
      <c r="H52" s="450" t="s">
        <v>138</v>
      </c>
      <c r="I52" s="146"/>
      <c r="J52" s="451" t="s">
        <v>80</v>
      </c>
      <c r="K52" s="146"/>
      <c r="L52" s="146"/>
      <c r="M52" s="146"/>
      <c r="N52" s="146"/>
      <c r="O52" s="146"/>
      <c r="P52" s="156"/>
      <c r="Q52" s="164"/>
      <c r="R52" s="161"/>
      <c r="S52" s="161"/>
      <c r="T52" s="161"/>
      <c r="U52" s="161"/>
    </row>
    <row r="53" spans="1:21">
      <c r="A53" s="84">
        <v>28</v>
      </c>
      <c r="C53" s="145" t="s">
        <v>282</v>
      </c>
      <c r="D53" s="412" t="s">
        <v>402</v>
      </c>
      <c r="E53" s="424">
        <f>'OATT Input Data'!$E$333</f>
        <v>3995860070</v>
      </c>
      <c r="F53" s="452">
        <f>ROUND(E53/E56,4)</f>
        <v>0.46389999999999998</v>
      </c>
      <c r="G53" s="453"/>
      <c r="H53" s="453">
        <f>IF(E53&gt;0.01,ROUND(E44/E53,4),0)</f>
        <v>3.3500000000000002E-2</v>
      </c>
      <c r="J53" s="454">
        <f>ROUND(F53*H53,4)</f>
        <v>1.55E-2</v>
      </c>
      <c r="K53" s="551" t="s">
        <v>326</v>
      </c>
      <c r="M53" s="146"/>
      <c r="N53" s="146"/>
      <c r="O53" s="146"/>
      <c r="P53" s="156"/>
      <c r="Q53" s="164"/>
      <c r="R53" s="161"/>
      <c r="S53" s="161"/>
      <c r="T53" s="161"/>
      <c r="U53" s="161"/>
    </row>
    <row r="54" spans="1:21">
      <c r="A54" s="84">
        <v>29</v>
      </c>
      <c r="C54" s="145" t="s">
        <v>283</v>
      </c>
      <c r="D54" s="121" t="s">
        <v>236</v>
      </c>
      <c r="E54" s="428">
        <v>0</v>
      </c>
      <c r="F54" s="452">
        <f>ROUND(E54/E56,4)+0.000001</f>
        <v>9.9999999999999995E-7</v>
      </c>
      <c r="G54" s="453"/>
      <c r="H54" s="453">
        <f>IF(E54&gt;0.01,E45/E54,0.00001)</f>
        <v>1.0000000000000001E-5</v>
      </c>
      <c r="J54" s="454">
        <f>F54*H54</f>
        <v>1.0000000000000001E-11</v>
      </c>
      <c r="K54" s="146"/>
      <c r="M54" s="146"/>
      <c r="N54" s="146"/>
      <c r="O54" s="146"/>
      <c r="P54" s="156"/>
      <c r="Q54" s="164"/>
      <c r="R54" s="161"/>
      <c r="S54" s="161"/>
      <c r="T54" s="161"/>
      <c r="U54" s="161"/>
    </row>
    <row r="55" spans="1:21">
      <c r="A55" s="84">
        <v>30</v>
      </c>
      <c r="C55" s="145" t="s">
        <v>284</v>
      </c>
      <c r="D55" s="412" t="s">
        <v>348</v>
      </c>
      <c r="E55" s="455">
        <f>E50</f>
        <v>4617996026</v>
      </c>
      <c r="F55" s="452">
        <f>ROUND(E55/E56,4)</f>
        <v>0.53610000000000002</v>
      </c>
      <c r="G55" s="453"/>
      <c r="H55" s="453">
        <v>0.10879999999999999</v>
      </c>
      <c r="J55" s="456">
        <f t="shared" ref="J55" si="1">ROUND(F55*H55,4)</f>
        <v>5.8299999999999998E-2</v>
      </c>
      <c r="K55" s="146"/>
      <c r="M55" s="146"/>
      <c r="N55" s="146"/>
      <c r="O55" s="165"/>
      <c r="P55" s="166"/>
      <c r="Q55" s="166"/>
      <c r="R55" s="161"/>
      <c r="S55" s="161"/>
      <c r="T55" s="161"/>
      <c r="U55" s="161"/>
    </row>
    <row r="56" spans="1:21">
      <c r="A56" s="84">
        <v>31</v>
      </c>
      <c r="C56" s="194" t="s">
        <v>285</v>
      </c>
      <c r="D56" s="412" t="s">
        <v>328</v>
      </c>
      <c r="E56" s="424">
        <f>ROUND(SUM(E53:E55),0)</f>
        <v>8613856096</v>
      </c>
      <c r="F56" s="146" t="s">
        <v>0</v>
      </c>
      <c r="G56" s="146"/>
      <c r="H56" s="146"/>
      <c r="I56" s="146"/>
      <c r="J56" s="454">
        <f>SUM(J53:J55)</f>
        <v>7.3800000010000005E-2</v>
      </c>
      <c r="K56" s="551" t="s">
        <v>317</v>
      </c>
      <c r="M56" s="146"/>
      <c r="N56" s="146"/>
      <c r="O56" s="165"/>
      <c r="P56" s="166"/>
      <c r="Q56" s="166"/>
      <c r="R56" s="161"/>
      <c r="S56" s="161"/>
      <c r="T56" s="161"/>
      <c r="U56" s="161"/>
    </row>
    <row r="57" spans="1:21">
      <c r="A57" s="84"/>
      <c r="L57" s="146"/>
      <c r="M57" s="146"/>
      <c r="N57" s="146"/>
      <c r="O57" s="165"/>
      <c r="P57" s="146"/>
      <c r="Q57" s="146"/>
      <c r="R57" s="163"/>
      <c r="S57" s="161"/>
      <c r="T57" s="163"/>
      <c r="U57" s="163"/>
    </row>
    <row r="58" spans="1:21">
      <c r="A58" s="84"/>
      <c r="C58" s="457" t="s">
        <v>81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46"/>
      <c r="N58" s="150"/>
      <c r="P58" s="166"/>
      <c r="Q58" s="169"/>
    </row>
    <row r="59" spans="1:21">
      <c r="A59" s="84"/>
      <c r="C59" s="457" t="s">
        <v>83</v>
      </c>
      <c r="D59" s="110"/>
      <c r="G59" s="110"/>
      <c r="I59" s="449"/>
      <c r="J59" s="451" t="s">
        <v>82</v>
      </c>
      <c r="K59" s="1"/>
      <c r="O59" s="146"/>
      <c r="P59" s="168"/>
      <c r="Q59" s="150"/>
    </row>
    <row r="60" spans="1:21">
      <c r="A60" s="84">
        <v>32</v>
      </c>
      <c r="C60" s="167" t="s">
        <v>403</v>
      </c>
      <c r="D60" s="110"/>
      <c r="F60" s="447" t="s">
        <v>319</v>
      </c>
      <c r="G60" s="110"/>
      <c r="J60" s="458">
        <v>0</v>
      </c>
      <c r="K60" s="552"/>
      <c r="O60" s="146"/>
      <c r="P60" s="155"/>
    </row>
    <row r="61" spans="1:21" ht="18">
      <c r="A61" s="84">
        <v>33</v>
      </c>
      <c r="C61" s="459" t="s">
        <v>404</v>
      </c>
      <c r="D61" s="460"/>
      <c r="E61" s="461"/>
      <c r="F61" s="447" t="s">
        <v>330</v>
      </c>
      <c r="G61" s="462"/>
      <c r="I61" s="110"/>
      <c r="J61" s="463">
        <f>+J60</f>
        <v>0</v>
      </c>
      <c r="K61" s="553"/>
      <c r="O61" s="146"/>
      <c r="P61" s="155"/>
    </row>
    <row r="62" spans="1:21">
      <c r="A62" s="84">
        <v>34</v>
      </c>
      <c r="C62" s="167" t="s">
        <v>405</v>
      </c>
      <c r="D62" s="106"/>
      <c r="F62" s="464" t="s">
        <v>329</v>
      </c>
      <c r="G62" s="462"/>
      <c r="I62" s="110"/>
      <c r="J62" s="465">
        <f>+J60-J61</f>
        <v>0</v>
      </c>
      <c r="K62" s="552"/>
      <c r="O62" s="146"/>
      <c r="P62" s="155"/>
    </row>
    <row r="63" spans="1:21">
      <c r="A63" s="84"/>
      <c r="C63" s="167" t="s">
        <v>0</v>
      </c>
      <c r="D63" s="106"/>
      <c r="F63" s="110"/>
      <c r="G63" s="110"/>
      <c r="H63" s="466"/>
      <c r="I63" s="110"/>
      <c r="J63" s="58" t="s">
        <v>0</v>
      </c>
      <c r="K63" s="1"/>
      <c r="L63" s="170"/>
      <c r="M63" s="146"/>
      <c r="N63" s="150"/>
      <c r="O63" s="146"/>
      <c r="P63" s="155"/>
    </row>
    <row r="64" spans="1:21">
      <c r="A64" s="84">
        <v>35</v>
      </c>
      <c r="C64" s="145" t="s">
        <v>241</v>
      </c>
      <c r="D64" s="106"/>
      <c r="F64" s="447" t="s">
        <v>239</v>
      </c>
      <c r="G64" s="110"/>
      <c r="H64" s="467"/>
      <c r="I64" s="110"/>
      <c r="J64" s="468">
        <v>0</v>
      </c>
      <c r="K64" s="1"/>
      <c r="L64" s="170"/>
      <c r="M64" s="146"/>
      <c r="N64" s="150"/>
      <c r="O64" s="146"/>
      <c r="P64" s="155"/>
    </row>
    <row r="65" spans="1:19">
      <c r="C65" s="145" t="s">
        <v>240</v>
      </c>
      <c r="D65" s="110"/>
      <c r="E65" s="449" t="s">
        <v>84</v>
      </c>
      <c r="F65" s="447" t="s">
        <v>406</v>
      </c>
      <c r="G65" s="110"/>
      <c r="H65" s="110"/>
      <c r="I65" s="110"/>
      <c r="L65" s="171"/>
      <c r="M65" s="146"/>
      <c r="N65" s="150"/>
      <c r="O65" s="106"/>
      <c r="P65" s="150"/>
    </row>
    <row r="66" spans="1:19">
      <c r="A66" s="84">
        <v>36</v>
      </c>
      <c r="C66" s="457" t="s">
        <v>85</v>
      </c>
      <c r="D66" s="146"/>
      <c r="E66" s="146"/>
      <c r="F66" s="146"/>
      <c r="G66" s="146"/>
      <c r="H66" s="146"/>
      <c r="I66" s="146"/>
      <c r="J66" s="469">
        <f>'OATT Input Data'!$E$341</f>
        <v>27354398</v>
      </c>
      <c r="K66" s="8"/>
      <c r="L66" s="171"/>
      <c r="M66" s="146"/>
      <c r="N66" s="150"/>
      <c r="O66" s="106"/>
      <c r="P66" s="470"/>
      <c r="Q66" s="470"/>
    </row>
    <row r="67" spans="1:19" ht="18">
      <c r="A67" s="84">
        <v>37</v>
      </c>
      <c r="C67" s="471" t="s">
        <v>86</v>
      </c>
      <c r="D67" s="472"/>
      <c r="E67" s="472"/>
      <c r="F67" s="462"/>
      <c r="G67" s="462"/>
      <c r="H67" s="110"/>
      <c r="I67" s="110"/>
      <c r="J67" s="473">
        <f>'OATT Input Data'!$E$451</f>
        <v>25213757</v>
      </c>
      <c r="L67" s="172"/>
      <c r="M67" s="110"/>
      <c r="N67" s="84"/>
      <c r="O67" s="106"/>
      <c r="P67" s="474"/>
    </row>
    <row r="68" spans="1:19">
      <c r="A68" s="84">
        <v>38</v>
      </c>
      <c r="C68" s="167" t="s">
        <v>238</v>
      </c>
      <c r="D68" s="84"/>
      <c r="E68" s="146"/>
      <c r="F68" s="464" t="s">
        <v>349</v>
      </c>
      <c r="G68" s="146"/>
      <c r="H68" s="146"/>
      <c r="I68" s="110"/>
      <c r="J68" s="128">
        <f>+J66-J67</f>
        <v>2140641</v>
      </c>
      <c r="K68" s="8"/>
      <c r="L68" s="8"/>
      <c r="M68" s="110"/>
      <c r="N68" s="84"/>
      <c r="O68" s="106"/>
      <c r="P68" s="474"/>
    </row>
    <row r="69" spans="1:19">
      <c r="C69" s="167"/>
      <c r="Q69" s="121"/>
      <c r="R69" s="121"/>
      <c r="S69" s="121"/>
    </row>
    <row r="70" spans="1:19">
      <c r="Q70" s="121"/>
      <c r="R70" s="121"/>
      <c r="S70" s="121"/>
    </row>
    <row r="71" spans="1:19">
      <c r="Q71" s="121"/>
      <c r="R71" s="121"/>
      <c r="S71" s="121"/>
    </row>
    <row r="72" spans="1:19">
      <c r="Q72" s="121"/>
      <c r="R72" s="121"/>
      <c r="S72" s="121"/>
    </row>
    <row r="73" spans="1:19">
      <c r="Q73" s="121"/>
      <c r="R73" s="121"/>
      <c r="S73" s="121"/>
    </row>
    <row r="74" spans="1:19">
      <c r="Q74" s="121"/>
      <c r="R74" s="121"/>
      <c r="S74" s="121"/>
    </row>
    <row r="75" spans="1:19">
      <c r="Q75" s="121"/>
      <c r="R75" s="121"/>
      <c r="S75" s="121"/>
    </row>
    <row r="76" spans="1:19">
      <c r="Q76" s="121"/>
      <c r="R76" s="121"/>
      <c r="S76" s="121"/>
    </row>
    <row r="77" spans="1:19">
      <c r="Q77" s="121"/>
      <c r="R77" s="121"/>
      <c r="S77" s="121"/>
    </row>
    <row r="78" spans="1:19">
      <c r="Q78" s="121"/>
      <c r="R78" s="121"/>
      <c r="S78" s="121"/>
    </row>
    <row r="79" spans="1:19">
      <c r="Q79" s="121"/>
      <c r="R79" s="121"/>
      <c r="S79" s="121"/>
    </row>
    <row r="80" spans="1:19">
      <c r="Q80" s="121"/>
      <c r="R80" s="121"/>
      <c r="S80" s="121"/>
    </row>
    <row r="81" spans="17:19">
      <c r="Q81" s="121"/>
      <c r="R81" s="121"/>
      <c r="S81" s="121"/>
    </row>
    <row r="82" spans="17:19">
      <c r="Q82" s="121"/>
      <c r="R82" s="121"/>
      <c r="S82" s="121"/>
    </row>
    <row r="83" spans="17:19">
      <c r="Q83" s="121"/>
      <c r="R83" s="121"/>
      <c r="S83" s="121"/>
    </row>
    <row r="84" spans="17:19">
      <c r="Q84" s="121"/>
      <c r="R84" s="121"/>
      <c r="S84" s="121"/>
    </row>
    <row r="85" spans="17:19">
      <c r="Q85" s="121"/>
      <c r="R85" s="121"/>
      <c r="S85" s="121"/>
    </row>
    <row r="86" spans="17:19">
      <c r="Q86" s="121"/>
      <c r="R86" s="121"/>
      <c r="S86" s="121"/>
    </row>
    <row r="87" spans="17:19">
      <c r="Q87" s="121"/>
      <c r="R87" s="121"/>
      <c r="S87" s="121"/>
    </row>
    <row r="88" spans="17:19">
      <c r="Q88" s="121"/>
      <c r="R88" s="121"/>
      <c r="S88" s="121"/>
    </row>
    <row r="89" spans="17:19">
      <c r="Q89" s="121"/>
      <c r="R89" s="121"/>
      <c r="S89" s="121"/>
    </row>
    <row r="90" spans="17:19">
      <c r="Q90" s="121"/>
      <c r="R90" s="121"/>
      <c r="S90" s="121"/>
    </row>
    <row r="91" spans="17:19">
      <c r="Q91" s="121"/>
      <c r="R91" s="121"/>
      <c r="S91" s="121"/>
    </row>
    <row r="92" spans="17:19">
      <c r="Q92" s="121"/>
      <c r="R92" s="121"/>
      <c r="S92" s="121"/>
    </row>
    <row r="93" spans="17:19">
      <c r="Q93" s="121"/>
      <c r="R93" s="121"/>
      <c r="S93" s="121"/>
    </row>
    <row r="94" spans="17:19">
      <c r="Q94" s="121"/>
      <c r="R94" s="121"/>
      <c r="S94" s="121"/>
    </row>
    <row r="95" spans="17:19">
      <c r="Q95" s="121"/>
      <c r="R95" s="121"/>
      <c r="S95" s="121"/>
    </row>
    <row r="96" spans="17:19">
      <c r="Q96" s="121"/>
      <c r="R96" s="121"/>
      <c r="S96" s="121"/>
    </row>
    <row r="97" spans="17:19">
      <c r="Q97" s="121"/>
      <c r="R97" s="121"/>
      <c r="S97" s="121"/>
    </row>
    <row r="98" spans="17:19">
      <c r="Q98" s="121"/>
      <c r="R98" s="121"/>
      <c r="S98" s="121"/>
    </row>
    <row r="99" spans="17:19">
      <c r="Q99" s="121"/>
      <c r="R99" s="121"/>
      <c r="S99" s="121"/>
    </row>
    <row r="100" spans="17:19">
      <c r="Q100" s="121"/>
      <c r="R100" s="121"/>
      <c r="S100" s="121"/>
    </row>
    <row r="101" spans="17:19">
      <c r="Q101" s="121"/>
      <c r="R101" s="121"/>
      <c r="S101" s="121"/>
    </row>
    <row r="102" spans="17:19">
      <c r="Q102" s="121"/>
      <c r="R102" s="121"/>
      <c r="S102" s="121"/>
    </row>
    <row r="103" spans="17:19">
      <c r="Q103" s="121"/>
      <c r="R103" s="121"/>
      <c r="S103" s="121"/>
    </row>
    <row r="104" spans="17:19">
      <c r="Q104" s="121"/>
      <c r="R104" s="121"/>
      <c r="S104" s="121"/>
    </row>
    <row r="105" spans="17:19">
      <c r="Q105" s="121"/>
      <c r="R105" s="121"/>
      <c r="S105" s="121"/>
    </row>
    <row r="106" spans="17:19">
      <c r="Q106" s="121"/>
      <c r="R106" s="121"/>
      <c r="S106" s="121"/>
    </row>
    <row r="107" spans="17:19">
      <c r="Q107" s="121"/>
      <c r="R107" s="121"/>
      <c r="S107" s="121"/>
    </row>
    <row r="108" spans="17:19">
      <c r="Q108" s="121"/>
      <c r="R108" s="121"/>
      <c r="S108" s="121"/>
    </row>
    <row r="109" spans="17:19">
      <c r="Q109" s="121"/>
      <c r="R109" s="121"/>
      <c r="S109" s="121"/>
    </row>
    <row r="110" spans="17:19">
      <c r="Q110" s="121"/>
      <c r="R110" s="121"/>
      <c r="S110" s="121"/>
    </row>
    <row r="111" spans="17:19">
      <c r="Q111" s="121"/>
      <c r="R111" s="121"/>
      <c r="S111" s="121"/>
    </row>
    <row r="112" spans="17:19">
      <c r="Q112" s="121"/>
      <c r="R112" s="121"/>
      <c r="S112" s="121"/>
    </row>
    <row r="113" spans="17:19">
      <c r="Q113" s="121"/>
      <c r="R113" s="121"/>
      <c r="S113" s="121"/>
    </row>
    <row r="114" spans="17:19">
      <c r="Q114" s="121"/>
      <c r="R114" s="121"/>
      <c r="S114" s="121"/>
    </row>
    <row r="115" spans="17:19">
      <c r="Q115" s="121"/>
      <c r="R115" s="121"/>
      <c r="S115" s="121"/>
    </row>
    <row r="116" spans="17:19">
      <c r="Q116" s="121"/>
      <c r="R116" s="121"/>
      <c r="S116" s="121"/>
    </row>
    <row r="117" spans="17:19">
      <c r="Q117" s="121"/>
      <c r="R117" s="121"/>
      <c r="S117" s="121"/>
    </row>
    <row r="118" spans="17:19">
      <c r="Q118" s="121"/>
      <c r="R118" s="121"/>
      <c r="S118" s="121"/>
    </row>
    <row r="119" spans="17:19">
      <c r="Q119" s="121"/>
      <c r="R119" s="121"/>
      <c r="S119" s="121"/>
    </row>
    <row r="120" spans="17:19">
      <c r="Q120" s="121"/>
      <c r="R120" s="121"/>
      <c r="S120" s="121"/>
    </row>
    <row r="121" spans="17:19">
      <c r="Q121" s="121"/>
      <c r="R121" s="121"/>
      <c r="S121" s="121"/>
    </row>
    <row r="122" spans="17:19">
      <c r="Q122" s="121"/>
      <c r="R122" s="121"/>
      <c r="S122" s="121"/>
    </row>
    <row r="123" spans="17:19">
      <c r="Q123" s="121"/>
      <c r="R123" s="121"/>
      <c r="S123" s="121"/>
    </row>
    <row r="124" spans="17:19">
      <c r="Q124" s="121"/>
      <c r="R124" s="121"/>
      <c r="S124" s="121"/>
    </row>
    <row r="125" spans="17:19">
      <c r="Q125" s="121"/>
      <c r="R125" s="121"/>
      <c r="S125" s="121"/>
    </row>
    <row r="126" spans="17:19">
      <c r="Q126" s="121"/>
      <c r="R126" s="121"/>
      <c r="S126" s="121"/>
    </row>
    <row r="127" spans="17:19">
      <c r="Q127" s="121"/>
      <c r="R127" s="121"/>
      <c r="S127" s="121"/>
    </row>
    <row r="128" spans="17:19">
      <c r="Q128" s="121"/>
      <c r="R128" s="121"/>
      <c r="S128" s="121"/>
    </row>
    <row r="129" spans="17:19">
      <c r="Q129" s="121"/>
      <c r="R129" s="121"/>
      <c r="S129" s="121"/>
    </row>
    <row r="130" spans="17:19">
      <c r="Q130" s="121"/>
      <c r="R130" s="121"/>
      <c r="S130" s="121"/>
    </row>
    <row r="131" spans="17:19">
      <c r="Q131" s="121"/>
      <c r="R131" s="121"/>
      <c r="S131" s="121"/>
    </row>
    <row r="132" spans="17:19">
      <c r="Q132" s="121"/>
      <c r="R132" s="121"/>
      <c r="S132" s="121"/>
    </row>
    <row r="133" spans="17:19">
      <c r="Q133" s="121"/>
      <c r="R133" s="121"/>
      <c r="S133" s="121"/>
    </row>
    <row r="134" spans="17:19">
      <c r="Q134" s="121"/>
      <c r="R134" s="121"/>
      <c r="S134" s="121"/>
    </row>
    <row r="135" spans="17:19">
      <c r="Q135" s="121"/>
      <c r="R135" s="121"/>
      <c r="S135" s="121"/>
    </row>
    <row r="136" spans="17:19">
      <c r="Q136" s="121"/>
      <c r="R136" s="121"/>
      <c r="S136" s="121"/>
    </row>
    <row r="137" spans="17:19">
      <c r="Q137" s="121"/>
      <c r="R137" s="121"/>
      <c r="S137" s="121"/>
    </row>
    <row r="138" spans="17:19">
      <c r="Q138" s="121"/>
      <c r="R138" s="121"/>
      <c r="S138" s="121"/>
    </row>
    <row r="139" spans="17:19">
      <c r="Q139" s="121"/>
      <c r="R139" s="121"/>
      <c r="S139" s="121"/>
    </row>
    <row r="140" spans="17:19">
      <c r="Q140" s="121"/>
      <c r="R140" s="121"/>
      <c r="S140" s="121"/>
    </row>
    <row r="141" spans="17:19">
      <c r="Q141" s="121"/>
      <c r="R141" s="121"/>
      <c r="S141" s="121"/>
    </row>
    <row r="142" spans="17:19">
      <c r="Q142" s="121"/>
      <c r="R142" s="121"/>
      <c r="S142" s="121"/>
    </row>
    <row r="143" spans="17:19">
      <c r="Q143" s="121"/>
      <c r="R143" s="121"/>
      <c r="S143" s="121"/>
    </row>
    <row r="144" spans="17:19">
      <c r="Q144" s="121"/>
      <c r="R144" s="121"/>
      <c r="S144" s="121"/>
    </row>
    <row r="145" spans="17:19">
      <c r="Q145" s="121"/>
      <c r="R145" s="121"/>
      <c r="S145" s="121"/>
    </row>
    <row r="146" spans="17:19">
      <c r="Q146" s="121"/>
      <c r="R146" s="121"/>
      <c r="S146" s="121"/>
    </row>
    <row r="147" spans="17:19">
      <c r="Q147" s="121"/>
      <c r="R147" s="121"/>
      <c r="S147" s="121"/>
    </row>
    <row r="148" spans="17:19">
      <c r="Q148" s="121"/>
      <c r="R148" s="121"/>
      <c r="S148" s="121"/>
    </row>
    <row r="149" spans="17:19">
      <c r="Q149" s="121"/>
      <c r="R149" s="121"/>
      <c r="S149" s="121"/>
    </row>
    <row r="150" spans="17:19">
      <c r="Q150" s="121"/>
      <c r="R150" s="121"/>
      <c r="S150" s="121"/>
    </row>
    <row r="151" spans="17:19">
      <c r="Q151" s="121"/>
      <c r="R151" s="121"/>
      <c r="S151" s="121"/>
    </row>
    <row r="152" spans="17:19">
      <c r="Q152" s="121"/>
      <c r="R152" s="121"/>
      <c r="S152" s="121"/>
    </row>
    <row r="153" spans="17:19">
      <c r="Q153" s="121"/>
      <c r="R153" s="121"/>
      <c r="S153" s="121"/>
    </row>
    <row r="154" spans="17:19">
      <c r="Q154" s="121"/>
      <c r="R154" s="121"/>
      <c r="S154" s="121"/>
    </row>
    <row r="155" spans="17:19">
      <c r="Q155" s="121"/>
      <c r="R155" s="121"/>
      <c r="S155" s="121"/>
    </row>
    <row r="156" spans="17:19">
      <c r="Q156" s="121"/>
      <c r="R156" s="121"/>
      <c r="S156" s="121"/>
    </row>
    <row r="157" spans="17:19">
      <c r="Q157" s="121"/>
      <c r="R157" s="121"/>
      <c r="S157" s="121"/>
    </row>
    <row r="158" spans="17:19">
      <c r="Q158" s="121"/>
      <c r="R158" s="121"/>
      <c r="S158" s="121"/>
    </row>
    <row r="159" spans="17:19">
      <c r="Q159" s="121"/>
      <c r="R159" s="121"/>
      <c r="S159" s="121"/>
    </row>
    <row r="160" spans="17:19">
      <c r="Q160" s="121"/>
      <c r="R160" s="121"/>
      <c r="S160" s="121"/>
    </row>
    <row r="161" spans="17:19">
      <c r="Q161" s="121"/>
      <c r="R161" s="121"/>
      <c r="S161" s="121"/>
    </row>
    <row r="162" spans="17:19">
      <c r="Q162" s="121"/>
      <c r="R162" s="121"/>
      <c r="S162" s="121"/>
    </row>
    <row r="163" spans="17:19">
      <c r="Q163" s="121"/>
      <c r="R163" s="121"/>
      <c r="S163" s="121"/>
    </row>
    <row r="164" spans="17:19">
      <c r="Q164" s="121"/>
      <c r="R164" s="121"/>
      <c r="S164" s="121"/>
    </row>
    <row r="165" spans="17:19">
      <c r="Q165" s="121"/>
      <c r="R165" s="121"/>
      <c r="S165" s="121"/>
    </row>
    <row r="166" spans="17:19">
      <c r="Q166" s="121"/>
      <c r="R166" s="121"/>
      <c r="S166" s="121"/>
    </row>
    <row r="167" spans="17:19">
      <c r="Q167" s="121"/>
      <c r="R167" s="121"/>
      <c r="S167" s="121"/>
    </row>
    <row r="168" spans="17:19">
      <c r="Q168" s="121"/>
      <c r="R168" s="121"/>
      <c r="S168" s="121"/>
    </row>
    <row r="169" spans="17:19">
      <c r="Q169" s="121"/>
      <c r="R169" s="121"/>
      <c r="S169" s="121"/>
    </row>
    <row r="170" spans="17:19">
      <c r="Q170" s="121"/>
      <c r="R170" s="121"/>
      <c r="S170" s="121"/>
    </row>
    <row r="171" spans="17:19">
      <c r="Q171" s="121"/>
      <c r="R171" s="121"/>
      <c r="S171" s="121"/>
    </row>
    <row r="172" spans="17:19">
      <c r="Q172" s="121"/>
      <c r="R172" s="121"/>
      <c r="S172" s="121"/>
    </row>
    <row r="173" spans="17:19">
      <c r="Q173" s="121"/>
      <c r="R173" s="121"/>
      <c r="S173" s="121"/>
    </row>
    <row r="174" spans="17:19">
      <c r="Q174" s="121"/>
      <c r="R174" s="121"/>
      <c r="S174" s="121"/>
    </row>
    <row r="175" spans="17:19">
      <c r="Q175" s="121"/>
      <c r="R175" s="121"/>
      <c r="S175" s="121"/>
    </row>
    <row r="176" spans="17:19">
      <c r="Q176" s="121"/>
      <c r="R176" s="121"/>
      <c r="S176" s="121"/>
    </row>
    <row r="177" spans="17:19">
      <c r="Q177" s="121"/>
      <c r="R177" s="121"/>
      <c r="S177" s="121"/>
    </row>
    <row r="178" spans="17:19">
      <c r="Q178" s="121"/>
      <c r="R178" s="121"/>
      <c r="S178" s="121"/>
    </row>
    <row r="179" spans="17:19">
      <c r="Q179" s="121"/>
      <c r="R179" s="121"/>
      <c r="S179" s="121"/>
    </row>
    <row r="180" spans="17:19">
      <c r="Q180" s="121"/>
      <c r="R180" s="121"/>
      <c r="S180" s="121"/>
    </row>
    <row r="181" spans="17:19">
      <c r="Q181" s="121"/>
      <c r="R181" s="121"/>
      <c r="S181" s="121"/>
    </row>
    <row r="182" spans="17:19">
      <c r="Q182" s="121"/>
      <c r="R182" s="121"/>
      <c r="S182" s="121"/>
    </row>
    <row r="183" spans="17:19">
      <c r="Q183" s="121"/>
      <c r="R183" s="121"/>
      <c r="S183" s="121"/>
    </row>
    <row r="184" spans="17:19">
      <c r="Q184" s="121"/>
      <c r="R184" s="121"/>
      <c r="S184" s="121"/>
    </row>
    <row r="185" spans="17:19">
      <c r="Q185" s="121"/>
      <c r="R185" s="121"/>
      <c r="S185" s="121"/>
    </row>
    <row r="186" spans="17:19">
      <c r="Q186" s="121"/>
      <c r="R186" s="121"/>
      <c r="S186" s="121"/>
    </row>
    <row r="187" spans="17:19">
      <c r="Q187" s="121"/>
      <c r="R187" s="121"/>
      <c r="S187" s="121"/>
    </row>
    <row r="188" spans="17:19">
      <c r="Q188" s="121"/>
      <c r="R188" s="121"/>
      <c r="S188" s="121"/>
    </row>
    <row r="189" spans="17:19">
      <c r="Q189" s="121"/>
      <c r="R189" s="121"/>
      <c r="S189" s="121"/>
    </row>
    <row r="190" spans="17:19">
      <c r="Q190" s="121"/>
      <c r="R190" s="121"/>
      <c r="S190" s="121"/>
    </row>
    <row r="191" spans="17:19">
      <c r="Q191" s="121"/>
      <c r="R191" s="121"/>
      <c r="S191" s="121"/>
    </row>
    <row r="192" spans="17:19">
      <c r="Q192" s="121"/>
      <c r="R192" s="121"/>
      <c r="S192" s="121"/>
    </row>
    <row r="193" spans="3:19">
      <c r="Q193" s="121"/>
      <c r="R193" s="121"/>
      <c r="S193" s="121"/>
    </row>
    <row r="194" spans="3:19">
      <c r="Q194" s="121"/>
      <c r="R194" s="121"/>
      <c r="S194" s="121"/>
    </row>
    <row r="195" spans="3:19">
      <c r="Q195" s="121"/>
      <c r="R195" s="121"/>
      <c r="S195" s="121"/>
    </row>
    <row r="196" spans="3:19">
      <c r="Q196" s="121"/>
      <c r="R196" s="121"/>
      <c r="S196" s="121"/>
    </row>
    <row r="197" spans="3:19">
      <c r="Q197" s="121"/>
      <c r="R197" s="121"/>
      <c r="S197" s="121"/>
    </row>
    <row r="198" spans="3:19">
      <c r="Q198" s="121"/>
      <c r="R198" s="121"/>
      <c r="S198" s="121"/>
    </row>
    <row r="199" spans="3:19">
      <c r="Q199" s="121"/>
      <c r="R199" s="121"/>
      <c r="S199" s="121"/>
    </row>
    <row r="200" spans="3:19">
      <c r="Q200" s="121"/>
      <c r="R200" s="121"/>
      <c r="S200" s="121"/>
    </row>
    <row r="201" spans="3:19">
      <c r="Q201" s="121"/>
      <c r="R201" s="121"/>
      <c r="S201" s="121"/>
    </row>
    <row r="202" spans="3:19">
      <c r="Q202" s="121"/>
      <c r="R202" s="121"/>
      <c r="S202" s="121"/>
    </row>
    <row r="203" spans="3:19">
      <c r="Q203" s="121"/>
      <c r="R203" s="121"/>
      <c r="S203" s="121"/>
    </row>
    <row r="204" spans="3:19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Q204" s="121"/>
      <c r="R204" s="121"/>
      <c r="S204" s="121"/>
    </row>
    <row r="205" spans="3:19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3:19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3:19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3:19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3:19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3:19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3:19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3:19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3:19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3:19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3:19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3:19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3:19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3:19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3:19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3:19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3:19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3:19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3:19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3:19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3:19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3:19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3:19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3:19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3:19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3:19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3:19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3:19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3:19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3:19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3:19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3:19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3:19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3:19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3:19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3:19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3:19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3:19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3:19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3:19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3:19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3:19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3:19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3:19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3:19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3:19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3:19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3:19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3:19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3:19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3:19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3:19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3:19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3:19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3:19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3:19">
      <c r="P260" s="121"/>
      <c r="Q260" s="121"/>
      <c r="R260" s="121"/>
      <c r="S260" s="121"/>
    </row>
  </sheetData>
  <printOptions horizontalCentered="1"/>
  <pageMargins left="0.75" right="0.75" top="0.51" bottom="0.49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workbookViewId="0"/>
  </sheetViews>
  <sheetFormatPr defaultColWidth="9.33203125" defaultRowHeight="15.7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5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15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88"/>
      <c r="N1" s="4"/>
      <c r="O1" s="4"/>
      <c r="P1" s="4"/>
    </row>
    <row r="2" spans="1:16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8"/>
      <c r="N2" s="4"/>
      <c r="O2" s="4"/>
      <c r="P2" s="4"/>
    </row>
    <row r="3" spans="1:16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L4" s="4"/>
      <c r="M4" s="4"/>
      <c r="N4" s="4"/>
      <c r="O4" s="5"/>
      <c r="P4" s="4"/>
    </row>
    <row r="5" spans="1:16">
      <c r="A5" s="207" t="s">
        <v>187</v>
      </c>
      <c r="C5" s="2"/>
      <c r="E5" s="191"/>
      <c r="F5" s="193"/>
      <c r="G5" s="193"/>
      <c r="H5" s="193"/>
      <c r="I5" s="192"/>
      <c r="J5" s="206" t="s">
        <v>382</v>
      </c>
      <c r="L5" s="192"/>
      <c r="M5" s="4"/>
      <c r="N5" s="4"/>
      <c r="O5" s="4"/>
      <c r="P5" s="4"/>
    </row>
    <row r="6" spans="1:16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192"/>
      <c r="L7" s="192"/>
      <c r="M7" s="4"/>
      <c r="N7" s="4"/>
      <c r="O7" s="4"/>
      <c r="P7" s="4"/>
    </row>
    <row r="8" spans="1:16">
      <c r="A8" s="5"/>
      <c r="C8" s="4"/>
      <c r="D8" s="4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5" t="s">
        <v>1</v>
      </c>
      <c r="C9" s="4"/>
      <c r="D9" s="4"/>
      <c r="E9" s="9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>
      <c r="A10" s="10" t="s">
        <v>3</v>
      </c>
      <c r="C10" s="4"/>
      <c r="D10" s="4"/>
      <c r="E10" s="4"/>
      <c r="F10" s="4"/>
      <c r="G10" s="4"/>
      <c r="H10" s="4"/>
      <c r="I10" s="4"/>
      <c r="J10" s="10" t="s">
        <v>4</v>
      </c>
      <c r="K10" s="4"/>
      <c r="L10" s="4"/>
      <c r="M10" s="4"/>
      <c r="N10" s="4"/>
      <c r="O10" s="4"/>
      <c r="P10" s="4"/>
    </row>
    <row r="11" spans="1:16">
      <c r="A11" s="5">
        <v>1</v>
      </c>
      <c r="C11" s="7" t="s">
        <v>127</v>
      </c>
      <c r="D11" s="186" t="s">
        <v>409</v>
      </c>
      <c r="E11" s="11"/>
      <c r="F11" s="4"/>
      <c r="G11" s="4"/>
      <c r="H11" s="4"/>
      <c r="I11" s="4"/>
      <c r="J11" s="486">
        <f>'PTP Pg 3 of 5'!J56</f>
        <v>139666779</v>
      </c>
      <c r="K11" s="4"/>
      <c r="L11" s="4"/>
      <c r="M11" s="4"/>
      <c r="N11" s="4"/>
      <c r="O11" s="4"/>
      <c r="P11" s="4"/>
    </row>
    <row r="12" spans="1:16">
      <c r="A12" s="5"/>
      <c r="C12" s="4"/>
      <c r="D12" s="4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</row>
    <row r="13" spans="1:16" ht="16.5" thickBot="1">
      <c r="A13" s="5" t="s">
        <v>0</v>
      </c>
      <c r="C13" s="2" t="s">
        <v>5</v>
      </c>
      <c r="D13" s="187" t="s">
        <v>242</v>
      </c>
      <c r="E13" s="10" t="s">
        <v>6</v>
      </c>
      <c r="F13" s="8"/>
      <c r="G13" s="12" t="s">
        <v>7</v>
      </c>
      <c r="H13" s="12"/>
      <c r="I13" s="4"/>
      <c r="J13" s="11"/>
      <c r="K13" s="4"/>
      <c r="L13" s="4"/>
      <c r="M13" s="4"/>
      <c r="N13" s="4"/>
      <c r="O13" s="4"/>
      <c r="P13" s="4"/>
    </row>
    <row r="14" spans="1:16">
      <c r="A14" s="5">
        <v>2</v>
      </c>
      <c r="C14" s="2" t="s">
        <v>8</v>
      </c>
      <c r="D14" s="184" t="s">
        <v>378</v>
      </c>
      <c r="E14" s="487">
        <f>'PTP Pg 4 of 5'!$J$64</f>
        <v>0</v>
      </c>
      <c r="F14" s="8"/>
      <c r="G14" s="8" t="s">
        <v>9</v>
      </c>
      <c r="H14" s="13">
        <f>'PTP Pg 4 of 5'!$J$16</f>
        <v>0.95574999999999999</v>
      </c>
      <c r="I14" s="8"/>
      <c r="J14" s="508">
        <f>ROUND(H14*E14,0)</f>
        <v>0</v>
      </c>
      <c r="K14" s="4"/>
      <c r="L14" s="142"/>
      <c r="M14" s="4"/>
      <c r="N14" s="4"/>
      <c r="O14" s="4"/>
      <c r="P14" s="4"/>
    </row>
    <row r="15" spans="1:16">
      <c r="A15" s="5">
        <v>3</v>
      </c>
      <c r="C15" s="2" t="s">
        <v>10</v>
      </c>
      <c r="D15" s="184" t="s">
        <v>379</v>
      </c>
      <c r="E15" s="509">
        <f>'PTP Pg 4 of 5'!J68</f>
        <v>2140641</v>
      </c>
      <c r="F15" s="8"/>
      <c r="G15" s="8" t="str">
        <f t="shared" ref="G15:G17" si="0">+G14</f>
        <v>TP</v>
      </c>
      <c r="H15" s="13">
        <f>'PTP Pg 4 of 5'!$J$16</f>
        <v>0.95574999999999999</v>
      </c>
      <c r="I15" s="8"/>
      <c r="J15" s="509">
        <f>ROUND(H15*E15,0)</f>
        <v>2045918</v>
      </c>
      <c r="K15" s="4"/>
      <c r="L15" s="4"/>
      <c r="M15" s="4"/>
      <c r="N15" s="4"/>
      <c r="O15" s="4"/>
      <c r="P15" s="4"/>
    </row>
    <row r="16" spans="1:16">
      <c r="A16" s="5">
        <v>4</v>
      </c>
      <c r="C16" s="14" t="s">
        <v>11</v>
      </c>
      <c r="D16" s="8"/>
      <c r="E16" s="509">
        <v>0</v>
      </c>
      <c r="F16" s="8"/>
      <c r="G16" s="8" t="str">
        <f t="shared" si="0"/>
        <v>TP</v>
      </c>
      <c r="H16" s="13">
        <f>'PTP Pg 4 of 5'!$J$16</f>
        <v>0.95574999999999999</v>
      </c>
      <c r="I16" s="8"/>
      <c r="J16" s="509">
        <f t="shared" ref="J16:J17" si="1">ROUND(H16*E16,0)</f>
        <v>0</v>
      </c>
      <c r="K16" s="4"/>
      <c r="L16" s="4"/>
      <c r="M16" s="4"/>
      <c r="N16" s="4"/>
      <c r="P16" s="4"/>
    </row>
    <row r="17" spans="1:16" ht="18">
      <c r="A17" s="5">
        <v>5</v>
      </c>
      <c r="C17" s="563" t="s">
        <v>188</v>
      </c>
      <c r="D17" s="564"/>
      <c r="E17" s="509">
        <v>0</v>
      </c>
      <c r="F17" s="8"/>
      <c r="G17" s="8" t="str">
        <f t="shared" si="0"/>
        <v>TP</v>
      </c>
      <c r="H17" s="13">
        <f>'PTP Pg 4 of 5'!$J$16</f>
        <v>0.95574999999999999</v>
      </c>
      <c r="I17" s="8"/>
      <c r="J17" s="510">
        <f t="shared" si="1"/>
        <v>0</v>
      </c>
      <c r="K17" s="243"/>
      <c r="L17" s="4"/>
      <c r="M17" s="4"/>
      <c r="N17" s="4"/>
      <c r="P17" s="4"/>
    </row>
    <row r="18" spans="1:16">
      <c r="A18" s="5">
        <v>6</v>
      </c>
      <c r="C18" s="7" t="s">
        <v>128</v>
      </c>
      <c r="D18" s="185" t="s">
        <v>243</v>
      </c>
      <c r="E18" s="17" t="s">
        <v>0</v>
      </c>
      <c r="F18" s="8"/>
      <c r="G18" s="8"/>
      <c r="H18" s="13"/>
      <c r="I18" s="8"/>
      <c r="J18" s="511">
        <f>SUM(J14:J17)</f>
        <v>2045918</v>
      </c>
      <c r="K18" s="4"/>
      <c r="L18" s="4"/>
      <c r="M18" s="4"/>
      <c r="N18" s="4"/>
      <c r="P18" s="4"/>
    </row>
    <row r="19" spans="1:16">
      <c r="A19" s="5"/>
      <c r="D19" s="4"/>
      <c r="E19" s="8" t="s">
        <v>0</v>
      </c>
      <c r="F19" s="4"/>
      <c r="G19" s="4"/>
      <c r="H19" s="13"/>
      <c r="I19" s="4"/>
      <c r="K19" s="4"/>
      <c r="L19" s="4"/>
      <c r="M19" s="4"/>
      <c r="N19" s="4"/>
      <c r="P19" s="4"/>
    </row>
    <row r="20" spans="1:16" ht="18">
      <c r="A20" s="5">
        <v>7</v>
      </c>
      <c r="C20" s="2" t="s">
        <v>12</v>
      </c>
      <c r="D20" s="185" t="s">
        <v>244</v>
      </c>
      <c r="E20" s="17" t="s">
        <v>0</v>
      </c>
      <c r="F20" s="8"/>
      <c r="G20" s="8"/>
      <c r="H20" s="8"/>
      <c r="I20" s="8"/>
      <c r="J20" s="524">
        <f>J11-J18-190151</f>
        <v>137430710</v>
      </c>
      <c r="K20" s="4"/>
      <c r="L20" s="4"/>
      <c r="M20" s="4"/>
      <c r="N20" s="4"/>
      <c r="P20" s="4"/>
    </row>
    <row r="21" spans="1:16">
      <c r="A21" s="5"/>
      <c r="D21" s="4"/>
      <c r="E21" s="17"/>
      <c r="F21" s="8"/>
      <c r="G21" s="8"/>
      <c r="H21" s="8"/>
      <c r="I21" s="8"/>
      <c r="K21" s="4"/>
      <c r="L21" s="4"/>
      <c r="M21" s="4"/>
      <c r="N21" s="4"/>
      <c r="P21" s="4"/>
    </row>
    <row r="22" spans="1:16">
      <c r="A22" s="5"/>
      <c r="C22" s="2" t="s">
        <v>13</v>
      </c>
      <c r="D22" s="4"/>
      <c r="E22" s="11"/>
      <c r="F22" s="4"/>
      <c r="G22" s="4"/>
      <c r="H22" s="4"/>
      <c r="I22" s="4"/>
      <c r="J22" s="11"/>
      <c r="K22" s="4"/>
      <c r="L22" s="4"/>
      <c r="M22" s="4"/>
      <c r="N22" s="4"/>
      <c r="P22" s="4"/>
    </row>
    <row r="23" spans="1:16">
      <c r="A23" s="5">
        <v>8</v>
      </c>
      <c r="C23" s="7" t="s">
        <v>133</v>
      </c>
      <c r="E23" s="11"/>
      <c r="F23" s="185" t="s">
        <v>245</v>
      </c>
      <c r="G23" s="4"/>
      <c r="H23" s="4"/>
      <c r="I23" s="4"/>
      <c r="J23" s="512">
        <f>ROUND('OATT Input Data'!$E$25,0)</f>
        <v>5778000</v>
      </c>
      <c r="K23" s="4"/>
      <c r="L23" s="4"/>
      <c r="M23" s="4"/>
    </row>
    <row r="24" spans="1:16">
      <c r="A24" s="5">
        <v>9</v>
      </c>
      <c r="C24" s="7" t="s">
        <v>134</v>
      </c>
      <c r="D24" s="8"/>
      <c r="E24" s="8"/>
      <c r="F24" s="187" t="s">
        <v>246</v>
      </c>
      <c r="G24" s="8"/>
      <c r="H24" s="8"/>
      <c r="I24" s="8"/>
      <c r="J24" s="512">
        <f>ROUND('OATT Input Data'!$E$43,0)</f>
        <v>0</v>
      </c>
      <c r="K24" s="4"/>
      <c r="L24" s="4"/>
      <c r="M24" s="4"/>
      <c r="O24" s="4"/>
      <c r="P24" s="4"/>
    </row>
    <row r="25" spans="1:16">
      <c r="A25" s="5">
        <v>10</v>
      </c>
      <c r="C25" s="81" t="s">
        <v>135</v>
      </c>
      <c r="D25" s="4"/>
      <c r="E25" s="4"/>
      <c r="F25" s="184" t="s">
        <v>247</v>
      </c>
      <c r="H25" s="4"/>
      <c r="I25" s="4"/>
      <c r="J25" s="512">
        <f>ROUND('OATT Input Data'!$F$61,0)</f>
        <v>678000</v>
      </c>
      <c r="K25" s="4"/>
      <c r="L25" s="4"/>
      <c r="M25" s="4"/>
      <c r="O25" s="4"/>
      <c r="P25" s="4"/>
    </row>
    <row r="26" spans="1:16">
      <c r="A26" s="5">
        <v>11</v>
      </c>
      <c r="C26" s="7" t="s">
        <v>136</v>
      </c>
      <c r="D26" s="4"/>
      <c r="E26" s="4"/>
      <c r="F26" s="185" t="s">
        <v>248</v>
      </c>
      <c r="H26" s="4"/>
      <c r="I26" s="4"/>
      <c r="J26" s="512">
        <f>ROUND('OATT Input Data'!$E$79*-1,0)</f>
        <v>0</v>
      </c>
      <c r="K26" s="4"/>
      <c r="L26" s="4"/>
      <c r="M26" s="4"/>
      <c r="P26" s="4"/>
    </row>
    <row r="27" spans="1:16">
      <c r="A27" s="5">
        <v>12</v>
      </c>
      <c r="C27" s="81" t="s">
        <v>137</v>
      </c>
      <c r="D27" s="4"/>
      <c r="E27" s="4"/>
      <c r="F27" s="4"/>
      <c r="G27" s="4"/>
      <c r="H27" s="7"/>
      <c r="I27" s="4"/>
      <c r="J27" s="512">
        <f>ROUND('OATT Input Data'!$E$98,0)</f>
        <v>609500</v>
      </c>
      <c r="K27" s="4"/>
      <c r="L27" s="4"/>
      <c r="M27" s="4"/>
      <c r="P27" s="4"/>
    </row>
    <row r="28" spans="1:16">
      <c r="A28" s="5">
        <v>13</v>
      </c>
      <c r="C28" s="81" t="s">
        <v>388</v>
      </c>
      <c r="D28" s="4"/>
      <c r="E28" s="4"/>
      <c r="F28" s="4"/>
      <c r="G28" s="4"/>
      <c r="H28" s="4"/>
      <c r="I28" s="4"/>
      <c r="J28" s="512">
        <f>ROUND('OATT Input Data'!$E$104,0)</f>
        <v>166667</v>
      </c>
      <c r="K28" s="4"/>
      <c r="L28" s="4"/>
      <c r="M28" s="4"/>
      <c r="O28" s="4"/>
      <c r="P28" s="4"/>
    </row>
    <row r="29" spans="1:16" ht="18">
      <c r="A29" s="5">
        <v>14</v>
      </c>
      <c r="C29" s="81" t="s">
        <v>189</v>
      </c>
      <c r="D29" s="4"/>
      <c r="E29" s="4"/>
      <c r="F29" s="4"/>
      <c r="G29" s="4"/>
      <c r="H29" s="4"/>
      <c r="I29" s="4"/>
      <c r="J29" s="513">
        <f>ROUND('OATT Input Data'!$E$105*-1,0)</f>
        <v>-427000</v>
      </c>
      <c r="K29" s="4"/>
      <c r="L29" s="4"/>
      <c r="M29" s="4"/>
      <c r="O29" s="4"/>
      <c r="P29" s="4"/>
    </row>
    <row r="30" spans="1:16">
      <c r="A30" s="5">
        <v>15</v>
      </c>
      <c r="C30" s="7" t="s">
        <v>289</v>
      </c>
      <c r="D30" s="186" t="s">
        <v>288</v>
      </c>
      <c r="E30" s="4"/>
      <c r="F30" s="4"/>
      <c r="G30" s="4"/>
      <c r="H30" s="4"/>
      <c r="I30" s="4"/>
      <c r="J30" s="512">
        <f>ROUND(SUM(J23:J29),0)</f>
        <v>6805167</v>
      </c>
      <c r="K30" s="4"/>
      <c r="L30" s="4"/>
      <c r="M30" s="4"/>
      <c r="N30" s="4"/>
      <c r="O30" s="4"/>
      <c r="P30" s="4"/>
    </row>
    <row r="31" spans="1:16">
      <c r="A31" s="5"/>
      <c r="C31" s="2"/>
      <c r="D31" s="4"/>
      <c r="E31" s="4"/>
      <c r="F31" s="4"/>
      <c r="G31" s="4"/>
      <c r="H31" s="4"/>
      <c r="I31" s="4"/>
      <c r="J31" s="11"/>
      <c r="K31" s="4"/>
      <c r="L31" s="4"/>
      <c r="M31" s="4"/>
      <c r="O31" s="4"/>
      <c r="P31" s="4"/>
    </row>
    <row r="32" spans="1:16" ht="21">
      <c r="A32" s="5">
        <v>16</v>
      </c>
      <c r="C32" s="19" t="s">
        <v>14</v>
      </c>
      <c r="D32" s="203" t="s">
        <v>295</v>
      </c>
      <c r="E32" s="204">
        <f>ROUND(J20/J30,3)</f>
        <v>20.195</v>
      </c>
      <c r="F32" s="22"/>
      <c r="G32" s="4"/>
      <c r="H32" s="4"/>
      <c r="I32" s="4"/>
      <c r="K32" s="4"/>
      <c r="L32" s="4"/>
      <c r="M32" s="4"/>
      <c r="N32" s="2"/>
      <c r="O32" s="4"/>
      <c r="P32" s="4"/>
    </row>
    <row r="33" spans="1:16">
      <c r="A33" s="5">
        <v>17</v>
      </c>
      <c r="C33" s="31" t="s">
        <v>302</v>
      </c>
      <c r="D33" s="203" t="s">
        <v>296</v>
      </c>
      <c r="E33" s="204">
        <f>ROUND(E32/12,3)</f>
        <v>1.6830000000000001</v>
      </c>
      <c r="G33" s="23"/>
      <c r="H33" s="24"/>
      <c r="I33" s="4"/>
      <c r="K33" s="4"/>
      <c r="L33" s="4"/>
      <c r="M33" s="4"/>
      <c r="N33" s="2"/>
      <c r="O33" s="143"/>
      <c r="P33" s="4"/>
    </row>
    <row r="34" spans="1:16">
      <c r="A34" s="5"/>
      <c r="C34" s="19"/>
      <c r="D34" s="27"/>
      <c r="E34" s="25"/>
      <c r="F34" s="4"/>
      <c r="G34" s="4"/>
      <c r="H34" s="4"/>
      <c r="I34" s="4"/>
      <c r="J34" s="26"/>
      <c r="K34" s="4"/>
      <c r="L34" s="4"/>
      <c r="M34" s="4"/>
      <c r="N34" s="4"/>
      <c r="O34" s="4"/>
      <c r="P34" s="4"/>
    </row>
    <row r="35" spans="1:16">
      <c r="A35" s="5"/>
      <c r="C35" s="19"/>
      <c r="D35" s="27"/>
      <c r="E35" s="25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>
      <c r="A36" s="5">
        <v>18</v>
      </c>
      <c r="C36" s="81" t="s">
        <v>291</v>
      </c>
      <c r="D36" s="514" t="s">
        <v>292</v>
      </c>
      <c r="E36" s="204">
        <f>ROUND($E$32/52,3)</f>
        <v>0.38800000000000001</v>
      </c>
      <c r="F36" s="4"/>
      <c r="G36" s="4"/>
      <c r="H36" s="514" t="s">
        <v>292</v>
      </c>
      <c r="I36" s="4"/>
      <c r="J36" s="204">
        <f>ROUND($E$32/52,3)</f>
        <v>0.38800000000000001</v>
      </c>
      <c r="K36" s="4"/>
      <c r="L36" s="4"/>
      <c r="M36" s="4"/>
      <c r="N36" s="4"/>
      <c r="O36" s="4"/>
      <c r="P36" s="4"/>
    </row>
    <row r="37" spans="1:16">
      <c r="A37" s="5">
        <v>19</v>
      </c>
      <c r="C37" s="81" t="s">
        <v>297</v>
      </c>
      <c r="D37" s="186" t="s">
        <v>293</v>
      </c>
      <c r="E37" s="204">
        <f>ROUND(E36/5,3)</f>
        <v>7.8E-2</v>
      </c>
      <c r="F37" s="3" t="s">
        <v>166</v>
      </c>
      <c r="H37" s="186" t="s">
        <v>299</v>
      </c>
      <c r="I37" s="4"/>
      <c r="J37" s="204">
        <f>ROUND(J36/7,3)</f>
        <v>5.5E-2</v>
      </c>
      <c r="K37" s="4"/>
      <c r="L37" s="4"/>
      <c r="M37" s="4"/>
      <c r="N37" s="4"/>
      <c r="O37" s="4"/>
      <c r="P37" s="4"/>
    </row>
    <row r="38" spans="1:16">
      <c r="A38" s="5">
        <v>20</v>
      </c>
      <c r="C38" s="81" t="s">
        <v>429</v>
      </c>
      <c r="D38" s="186" t="s">
        <v>294</v>
      </c>
      <c r="E38" s="204">
        <f>ROUND(E37/16*1000,3)</f>
        <v>4.875</v>
      </c>
      <c r="F38" s="7" t="s">
        <v>290</v>
      </c>
      <c r="H38" s="186" t="s">
        <v>300</v>
      </c>
      <c r="I38" s="4"/>
      <c r="J38" s="204">
        <f>ROUND(J37/24*1000,3)</f>
        <v>2.2919999999999998</v>
      </c>
      <c r="K38" s="4"/>
      <c r="L38" s="4" t="s">
        <v>0</v>
      </c>
      <c r="M38" s="4"/>
      <c r="N38" s="4"/>
      <c r="O38" s="4"/>
      <c r="P38" s="4"/>
    </row>
    <row r="39" spans="1:16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>
      <c r="A40" s="5">
        <v>21</v>
      </c>
      <c r="C40" s="2" t="s">
        <v>15</v>
      </c>
      <c r="D40" s="514" t="s">
        <v>298</v>
      </c>
      <c r="E40" s="515">
        <v>0</v>
      </c>
      <c r="F40" s="208" t="s">
        <v>16</v>
      </c>
      <c r="G40" s="208"/>
      <c r="H40" s="208"/>
      <c r="I40" s="208"/>
      <c r="J40" s="515">
        <v>0</v>
      </c>
      <c r="K40" s="529"/>
      <c r="L40" s="4"/>
      <c r="M40" s="4"/>
      <c r="N40" s="4"/>
      <c r="O40" s="4"/>
      <c r="P40" s="4"/>
    </row>
    <row r="41" spans="1:16">
      <c r="A41" s="5">
        <v>22</v>
      </c>
      <c r="C41" s="2"/>
      <c r="D41" s="4"/>
      <c r="E41" s="515">
        <v>0</v>
      </c>
      <c r="F41" s="208" t="s">
        <v>17</v>
      </c>
      <c r="G41" s="208"/>
      <c r="H41" s="208"/>
      <c r="I41" s="208"/>
      <c r="J41" s="515">
        <v>0</v>
      </c>
      <c r="K41" s="529"/>
      <c r="L41" s="4"/>
      <c r="M41" s="4"/>
      <c r="N41" s="4"/>
      <c r="O41" s="4"/>
      <c r="P41" s="4"/>
    </row>
    <row r="42" spans="1:16">
      <c r="K42" s="4"/>
      <c r="L42" s="4"/>
      <c r="M42" s="4"/>
      <c r="N42" s="4"/>
      <c r="O42" s="4"/>
      <c r="P42" s="4"/>
    </row>
    <row r="43" spans="1:16">
      <c r="A43" s="29"/>
      <c r="B43" s="30"/>
      <c r="C43" s="31"/>
      <c r="D43" s="30"/>
      <c r="E43" s="30"/>
      <c r="F43" s="30"/>
      <c r="G43" s="30"/>
      <c r="H43" s="30"/>
      <c r="I43" s="30"/>
      <c r="J43" s="14"/>
      <c r="K43" s="20"/>
      <c r="L43" s="20"/>
      <c r="M43" s="20"/>
      <c r="N43" s="4"/>
      <c r="O43" s="4"/>
      <c r="P43" s="4"/>
    </row>
    <row r="44" spans="1:16">
      <c r="A44" s="29"/>
      <c r="B44" s="30"/>
      <c r="C44" s="31"/>
      <c r="D44" s="20"/>
      <c r="E44" s="20"/>
      <c r="F44" s="20"/>
      <c r="G44" s="20"/>
      <c r="H44" s="20"/>
      <c r="I44" s="20"/>
      <c r="J44" s="32"/>
      <c r="K44" s="20"/>
      <c r="L44" s="20"/>
      <c r="M44" s="20"/>
      <c r="N44" s="4"/>
      <c r="O44" s="4"/>
      <c r="P44" s="4"/>
    </row>
    <row r="45" spans="1:16">
      <c r="A45" s="29"/>
      <c r="B45" s="30"/>
      <c r="C45" s="19"/>
      <c r="D45" s="20"/>
      <c r="E45" s="20"/>
      <c r="F45" s="20"/>
      <c r="G45" s="20"/>
      <c r="H45" s="20"/>
      <c r="I45" s="20"/>
      <c r="J45" s="33"/>
      <c r="K45" s="20"/>
      <c r="L45" s="20"/>
      <c r="M45" s="20"/>
      <c r="N45" s="4"/>
      <c r="O45" s="4"/>
      <c r="P45" s="4"/>
    </row>
    <row r="46" spans="1:16">
      <c r="A46" s="29"/>
      <c r="B46" s="30"/>
      <c r="C46" s="31"/>
      <c r="D46" s="20"/>
      <c r="E46" s="20"/>
      <c r="F46" s="20"/>
      <c r="G46" s="20"/>
      <c r="H46" s="20"/>
      <c r="I46" s="20"/>
      <c r="J46" s="33"/>
      <c r="K46" s="20"/>
      <c r="L46" s="20"/>
      <c r="M46" s="20"/>
      <c r="N46" s="4"/>
      <c r="O46" s="4"/>
      <c r="P46" s="198"/>
    </row>
    <row r="47" spans="1:16" s="30" customFormat="1">
      <c r="A47" s="29"/>
      <c r="C47" s="31"/>
      <c r="D47" s="19"/>
      <c r="E47" s="27"/>
      <c r="F47" s="19"/>
      <c r="G47" s="19"/>
      <c r="H47" s="19"/>
      <c r="I47" s="20"/>
      <c r="J47" s="33"/>
      <c r="K47" s="29"/>
      <c r="L47" s="29"/>
      <c r="M47" s="525"/>
      <c r="N47" s="20"/>
      <c r="O47" s="35"/>
      <c r="P47" s="37"/>
    </row>
    <row r="48" spans="1:16" s="30" customFormat="1">
      <c r="A48" s="29"/>
      <c r="C48" s="31"/>
      <c r="D48" s="20"/>
      <c r="E48" s="20"/>
      <c r="F48" s="20"/>
      <c r="G48" s="20"/>
      <c r="H48" s="20"/>
      <c r="I48" s="20"/>
      <c r="J48" s="33"/>
      <c r="K48" s="525"/>
      <c r="L48" s="525"/>
      <c r="M48" s="525"/>
      <c r="N48" s="20"/>
      <c r="O48" s="20"/>
      <c r="P48" s="37"/>
    </row>
    <row r="49" spans="1:21" s="30" customFormat="1">
      <c r="A49" s="29"/>
      <c r="C49" s="31"/>
      <c r="D49" s="19"/>
      <c r="E49" s="27"/>
      <c r="F49" s="19"/>
      <c r="G49" s="19"/>
      <c r="H49" s="19"/>
      <c r="I49" s="20"/>
      <c r="J49" s="38"/>
      <c r="K49" s="562"/>
      <c r="L49" s="562"/>
      <c r="M49" s="562"/>
      <c r="N49" s="20"/>
      <c r="O49" s="20"/>
      <c r="P49" s="37"/>
    </row>
    <row r="50" spans="1:21" s="30" customFormat="1">
      <c r="A50" s="29"/>
      <c r="C50" s="31"/>
      <c r="D50" s="19"/>
      <c r="E50" s="27"/>
      <c r="F50" s="19"/>
      <c r="G50" s="19"/>
      <c r="H50" s="19"/>
      <c r="I50" s="20"/>
      <c r="J50" s="39"/>
      <c r="K50" s="525"/>
      <c r="L50" s="525"/>
      <c r="M50" s="525"/>
      <c r="N50" s="20"/>
      <c r="O50" s="20"/>
      <c r="P50" s="37"/>
    </row>
    <row r="51" spans="1:21" s="30" customFormat="1">
      <c r="A51" s="29"/>
      <c r="C51" s="31"/>
      <c r="D51" s="19"/>
      <c r="E51" s="27"/>
      <c r="F51" s="19"/>
      <c r="G51" s="19"/>
      <c r="H51" s="19"/>
      <c r="I51" s="20"/>
      <c r="J51" s="33"/>
      <c r="K51" s="525"/>
      <c r="L51" s="525"/>
      <c r="M51" s="525"/>
      <c r="N51" s="20"/>
      <c r="O51" s="20"/>
      <c r="P51" s="37"/>
    </row>
    <row r="52" spans="1:21" s="30" customFormat="1">
      <c r="A52" s="29"/>
      <c r="C52" s="31"/>
      <c r="D52" s="19"/>
      <c r="E52" s="27"/>
      <c r="F52" s="19"/>
      <c r="G52" s="19"/>
      <c r="H52" s="19"/>
      <c r="I52" s="20"/>
      <c r="J52" s="40"/>
      <c r="K52" s="20"/>
      <c r="L52" s="562"/>
      <c r="M52" s="562"/>
      <c r="N52" s="20"/>
      <c r="O52" s="20"/>
      <c r="P52" s="37"/>
    </row>
    <row r="53" spans="1:21" s="30" customFormat="1">
      <c r="C53" s="19"/>
      <c r="D53" s="19"/>
      <c r="E53" s="27"/>
      <c r="F53" s="19"/>
      <c r="G53" s="19"/>
      <c r="H53" s="19"/>
      <c r="I53" s="20"/>
      <c r="J53" s="20"/>
      <c r="K53" s="20"/>
      <c r="L53" s="525"/>
      <c r="M53" s="525"/>
      <c r="N53" s="20"/>
      <c r="O53" s="20"/>
      <c r="P53" s="37"/>
    </row>
    <row r="54" spans="1:21" s="30" customFormat="1" ht="21">
      <c r="A54" s="29"/>
      <c r="C54" s="19"/>
      <c r="D54" s="31"/>
      <c r="E54" s="21"/>
      <c r="F54" s="41"/>
      <c r="G54" s="20"/>
      <c r="H54" s="20"/>
      <c r="I54" s="20"/>
      <c r="K54" s="20"/>
      <c r="L54" s="20"/>
      <c r="M54" s="20"/>
      <c r="N54" s="20"/>
      <c r="O54" s="20"/>
      <c r="P54" s="20"/>
    </row>
    <row r="55" spans="1:21" s="30" customFormat="1">
      <c r="A55" s="29"/>
      <c r="C55" s="19"/>
      <c r="D55" s="31"/>
      <c r="E55" s="21"/>
      <c r="G55" s="42"/>
      <c r="H55" s="21"/>
      <c r="I55" s="20"/>
      <c r="K55" s="43"/>
      <c r="M55" s="44"/>
      <c r="N55" s="44"/>
      <c r="O55" s="44"/>
      <c r="P55" s="29"/>
      <c r="Q55" s="45"/>
      <c r="R55" s="46"/>
      <c r="S55" s="46"/>
      <c r="T55" s="46"/>
      <c r="U55" s="46"/>
    </row>
    <row r="56" spans="1:21" s="30" customFormat="1">
      <c r="A56" s="29"/>
      <c r="C56" s="19"/>
      <c r="D56" s="20"/>
      <c r="E56" s="21"/>
      <c r="F56" s="21"/>
      <c r="G56" s="20"/>
      <c r="H56" s="20"/>
      <c r="I56" s="20"/>
      <c r="K56" s="44"/>
      <c r="M56" s="44"/>
      <c r="N56" s="44"/>
      <c r="O56" s="44"/>
      <c r="P56" s="29"/>
      <c r="Q56" s="45"/>
      <c r="R56" s="46"/>
      <c r="S56" s="46"/>
      <c r="T56" s="46"/>
      <c r="U56" s="46"/>
    </row>
    <row r="57" spans="1:21" s="30" customFormat="1">
      <c r="A57" s="29"/>
      <c r="C57" s="19"/>
      <c r="D57" s="20"/>
      <c r="E57" s="25"/>
      <c r="F57" s="20"/>
      <c r="G57" s="20"/>
      <c r="H57" s="20"/>
      <c r="I57" s="20"/>
      <c r="J57" s="45"/>
      <c r="K57" s="44"/>
      <c r="M57" s="44"/>
      <c r="N57" s="44"/>
      <c r="O57" s="43"/>
      <c r="P57" s="44"/>
      <c r="Q57" s="44"/>
      <c r="R57" s="46"/>
      <c r="S57" s="46"/>
      <c r="T57" s="46"/>
      <c r="U57" s="46"/>
    </row>
    <row r="58" spans="1:21" s="30" customFormat="1">
      <c r="A58" s="29"/>
      <c r="C58" s="19"/>
      <c r="D58" s="20"/>
      <c r="E58" s="21"/>
      <c r="F58" s="20"/>
      <c r="G58" s="20"/>
      <c r="H58" s="20"/>
      <c r="I58" s="20"/>
      <c r="K58" s="43"/>
      <c r="M58" s="44"/>
      <c r="N58" s="44"/>
      <c r="O58" s="43"/>
      <c r="P58" s="44"/>
      <c r="Q58" s="44"/>
      <c r="R58" s="46"/>
      <c r="S58" s="46"/>
      <c r="T58" s="46"/>
      <c r="U58" s="46"/>
    </row>
    <row r="59" spans="1:21" s="30" customFormat="1">
      <c r="A59" s="29"/>
      <c r="C59" s="19"/>
      <c r="D59" s="27"/>
      <c r="E59" s="21"/>
      <c r="F59" s="20"/>
      <c r="G59" s="20"/>
      <c r="H59" s="20"/>
      <c r="I59" s="20"/>
      <c r="J59" s="48"/>
      <c r="M59" s="44"/>
      <c r="N59" s="44"/>
      <c r="O59" s="43"/>
      <c r="P59" s="44"/>
      <c r="Q59" s="44"/>
      <c r="R59" s="46"/>
      <c r="S59" s="46"/>
      <c r="T59" s="46"/>
      <c r="U59" s="46"/>
    </row>
    <row r="60" spans="1:21" s="30" customFormat="1">
      <c r="A60" s="29"/>
      <c r="C60" s="19"/>
      <c r="D60" s="27"/>
      <c r="E60" s="21"/>
      <c r="F60" s="20"/>
      <c r="H60" s="20"/>
      <c r="I60" s="20"/>
      <c r="J60" s="48"/>
      <c r="L60" s="44"/>
      <c r="M60" s="44"/>
      <c r="N60" s="44"/>
      <c r="O60" s="43"/>
      <c r="P60" s="44"/>
      <c r="Q60" s="44"/>
      <c r="R60" s="46"/>
      <c r="S60" s="46"/>
      <c r="T60" s="46"/>
      <c r="U60" s="46"/>
    </row>
    <row r="61" spans="1:21" s="30" customFormat="1">
      <c r="A61" s="29"/>
      <c r="C61" s="19"/>
      <c r="D61" s="27"/>
      <c r="E61" s="21"/>
      <c r="F61" s="20"/>
      <c r="H61" s="20"/>
      <c r="I61" s="20"/>
      <c r="J61" s="48"/>
      <c r="K61" s="20"/>
      <c r="L61" s="20"/>
      <c r="M61" s="44"/>
      <c r="N61" s="50"/>
      <c r="P61" s="44"/>
      <c r="Q61" s="62"/>
    </row>
    <row r="62" spans="1:21" s="30" customFormat="1">
      <c r="A62" s="29"/>
      <c r="C62" s="19"/>
      <c r="D62" s="20"/>
      <c r="E62" s="20"/>
      <c r="F62" s="20"/>
      <c r="H62" s="20"/>
      <c r="I62" s="20"/>
      <c r="K62" s="29"/>
      <c r="O62" s="44"/>
      <c r="P62" s="44"/>
      <c r="Q62" s="44"/>
    </row>
    <row r="63" spans="1:21" s="30" customFormat="1">
      <c r="A63" s="29"/>
      <c r="C63" s="19"/>
      <c r="D63" s="20"/>
      <c r="E63" s="20"/>
      <c r="F63" s="20"/>
      <c r="G63" s="20"/>
      <c r="H63" s="20"/>
      <c r="O63" s="44"/>
      <c r="P63" s="54"/>
      <c r="Q63" s="50"/>
    </row>
    <row r="64" spans="1:21" s="30" customFormat="1">
      <c r="A64" s="29"/>
      <c r="D64" s="20"/>
      <c r="E64" s="20"/>
      <c r="G64" s="20"/>
      <c r="J64" s="55"/>
      <c r="K64" s="56"/>
      <c r="O64" s="44"/>
      <c r="P64" s="19"/>
    </row>
    <row r="65" spans="1:16" s="30" customFormat="1">
      <c r="A65" s="29"/>
      <c r="D65" s="20"/>
      <c r="F65" s="20"/>
      <c r="G65" s="20"/>
      <c r="H65" s="20"/>
      <c r="I65" s="20"/>
      <c r="J65" s="55"/>
      <c r="K65" s="56"/>
      <c r="O65" s="44"/>
      <c r="P65" s="19"/>
    </row>
    <row r="66" spans="1:16" s="30" customFormat="1">
      <c r="A66" s="29"/>
      <c r="D66" s="20"/>
      <c r="F66" s="20"/>
      <c r="G66" s="20"/>
      <c r="H66" s="20"/>
      <c r="I66" s="20"/>
      <c r="J66" s="55"/>
      <c r="K66" s="56"/>
      <c r="O66" s="44"/>
      <c r="P66" s="19"/>
    </row>
    <row r="67" spans="1:16" s="30" customFormat="1">
      <c r="A67" s="29"/>
      <c r="D67" s="20"/>
      <c r="F67" s="20"/>
      <c r="G67" s="20"/>
      <c r="H67" s="57"/>
      <c r="I67" s="20"/>
      <c r="J67" s="58"/>
      <c r="L67" s="59"/>
      <c r="M67" s="44"/>
      <c r="N67" s="50"/>
      <c r="O67" s="44"/>
      <c r="P67" s="19"/>
    </row>
    <row r="68" spans="1:16" s="30" customFormat="1">
      <c r="A68" s="29"/>
      <c r="C68" s="19"/>
      <c r="D68" s="20"/>
      <c r="F68" s="20"/>
      <c r="G68" s="20"/>
      <c r="H68" s="21"/>
      <c r="I68" s="20"/>
      <c r="J68" s="58"/>
      <c r="L68" s="59"/>
      <c r="M68" s="44"/>
      <c r="N68" s="50"/>
      <c r="O68" s="44"/>
      <c r="P68" s="19"/>
    </row>
    <row r="69" spans="1:16" s="30" customFormat="1">
      <c r="A69" s="29"/>
      <c r="D69" s="20"/>
      <c r="E69" s="20"/>
      <c r="F69" s="20"/>
      <c r="G69" s="20"/>
      <c r="H69" s="20"/>
      <c r="I69" s="20"/>
      <c r="J69" s="58"/>
      <c r="L69" s="59"/>
      <c r="M69" s="44"/>
      <c r="N69" s="50"/>
      <c r="O69" s="44"/>
      <c r="P69" s="140"/>
    </row>
    <row r="70" spans="1:16" s="30" customFormat="1">
      <c r="C70" s="19"/>
      <c r="D70" s="20"/>
      <c r="E70" s="20"/>
      <c r="F70" s="20"/>
      <c r="G70" s="20"/>
      <c r="H70" s="20"/>
      <c r="I70" s="20"/>
      <c r="L70" s="61"/>
      <c r="M70" s="44"/>
      <c r="N70" s="50"/>
      <c r="O70" s="20"/>
      <c r="P70" s="50"/>
    </row>
    <row r="71" spans="1:16" s="30" customFormat="1">
      <c r="A71" s="29"/>
      <c r="C71" s="19"/>
      <c r="D71" s="44"/>
      <c r="E71" s="44"/>
      <c r="F71" s="44"/>
      <c r="G71" s="44"/>
      <c r="H71" s="44"/>
      <c r="I71" s="44"/>
      <c r="J71" s="62"/>
      <c r="K71" s="44"/>
      <c r="L71" s="61"/>
      <c r="M71" s="44"/>
      <c r="N71" s="50"/>
      <c r="O71" s="20"/>
    </row>
    <row r="72" spans="1:16" s="30" customFormat="1">
      <c r="A72" s="29"/>
      <c r="C72" s="19"/>
      <c r="D72" s="20"/>
      <c r="E72" s="20"/>
      <c r="F72" s="20"/>
      <c r="G72" s="20"/>
      <c r="H72" s="20"/>
      <c r="I72" s="20"/>
      <c r="J72" s="62"/>
      <c r="L72" s="64"/>
      <c r="M72" s="20"/>
      <c r="N72" s="29"/>
      <c r="O72" s="20"/>
      <c r="P72" s="140"/>
    </row>
    <row r="73" spans="1:16" s="30" customFormat="1">
      <c r="A73" s="29"/>
      <c r="D73" s="29"/>
      <c r="E73" s="44"/>
      <c r="F73" s="44"/>
      <c r="G73" s="44"/>
      <c r="H73" s="44"/>
      <c r="I73" s="20"/>
      <c r="J73" s="62"/>
      <c r="K73" s="44"/>
      <c r="L73" s="44"/>
      <c r="M73" s="20"/>
      <c r="N73" s="29"/>
      <c r="O73" s="20"/>
      <c r="P73" s="140"/>
    </row>
    <row r="74" spans="1:16" s="30" customFormat="1">
      <c r="C74" s="19"/>
      <c r="D74" s="19"/>
      <c r="E74" s="27"/>
      <c r="F74" s="19"/>
      <c r="G74" s="19"/>
      <c r="H74" s="19"/>
      <c r="I74" s="20"/>
      <c r="J74" s="29"/>
      <c r="K74" s="29"/>
      <c r="L74" s="29"/>
      <c r="M74" s="525"/>
      <c r="N74" s="20"/>
      <c r="O74" s="20"/>
      <c r="P74" s="19"/>
    </row>
    <row r="75" spans="1:16" s="30" customFormat="1">
      <c r="C75" s="19"/>
      <c r="D75" s="19"/>
      <c r="E75" s="27"/>
      <c r="F75" s="19"/>
      <c r="G75" s="19"/>
      <c r="H75" s="19"/>
      <c r="I75" s="20"/>
      <c r="J75" s="525"/>
      <c r="K75" s="525"/>
      <c r="L75" s="525"/>
      <c r="M75" s="525"/>
      <c r="N75" s="20"/>
      <c r="O75" s="20"/>
      <c r="P75" s="20"/>
    </row>
    <row r="76" spans="1:16" s="30" customFormat="1">
      <c r="C76" s="19"/>
      <c r="D76" s="19"/>
      <c r="E76" s="27"/>
      <c r="F76" s="19"/>
      <c r="G76" s="19"/>
      <c r="H76" s="19"/>
      <c r="I76" s="20"/>
      <c r="J76" s="20"/>
      <c r="K76" s="562"/>
      <c r="L76" s="562"/>
      <c r="M76" s="562"/>
      <c r="N76" s="20"/>
      <c r="O76" s="20"/>
      <c r="P76" s="20"/>
    </row>
    <row r="77" spans="1:16" s="30" customFormat="1">
      <c r="C77" s="19"/>
      <c r="D77" s="19"/>
      <c r="E77" s="27"/>
      <c r="F77" s="19"/>
      <c r="G77" s="19"/>
      <c r="H77" s="19"/>
      <c r="I77" s="20"/>
      <c r="J77" s="20"/>
      <c r="K77" s="20"/>
      <c r="L77" s="562"/>
      <c r="M77" s="562"/>
      <c r="N77" s="20"/>
      <c r="O77" s="20"/>
      <c r="P77" s="20"/>
    </row>
    <row r="78" spans="1:16" s="30" customFormat="1">
      <c r="C78" s="19"/>
      <c r="D78" s="19"/>
      <c r="E78" s="27"/>
      <c r="F78" s="19"/>
      <c r="G78" s="19"/>
      <c r="H78" s="19"/>
      <c r="I78" s="20"/>
      <c r="J78" s="20"/>
      <c r="K78" s="20"/>
      <c r="L78" s="525"/>
      <c r="M78" s="525"/>
      <c r="N78" s="20"/>
      <c r="O78" s="20"/>
      <c r="P78" s="20"/>
    </row>
    <row r="79" spans="1:16" s="30" customFormat="1">
      <c r="C79" s="19"/>
      <c r="D79" s="19"/>
      <c r="E79" s="27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</row>
    <row r="80" spans="1:16" s="30" customFormat="1">
      <c r="C80" s="19"/>
      <c r="D80" s="44"/>
      <c r="E80" s="44"/>
      <c r="F80" s="44"/>
      <c r="G80" s="44"/>
      <c r="H80" s="44"/>
      <c r="I80" s="20"/>
      <c r="J80" s="20"/>
      <c r="K80" s="20"/>
      <c r="L80" s="20"/>
      <c r="M80" s="20"/>
      <c r="N80" s="20"/>
      <c r="O80" s="20"/>
      <c r="P80" s="20"/>
    </row>
    <row r="81" spans="1:16" s="30" customFormat="1">
      <c r="A81" s="29"/>
      <c r="B81" s="20"/>
      <c r="D81" s="29"/>
      <c r="E81" s="44"/>
      <c r="F81" s="44"/>
      <c r="G81" s="44"/>
      <c r="H81" s="44"/>
      <c r="I81" s="20"/>
      <c r="J81" s="58"/>
      <c r="L81" s="44"/>
      <c r="M81" s="20"/>
      <c r="N81" s="29"/>
      <c r="O81" s="20"/>
      <c r="P81" s="20"/>
    </row>
    <row r="82" spans="1:16" s="30" customFormat="1">
      <c r="A82" s="29"/>
      <c r="B82" s="20"/>
      <c r="D82" s="29"/>
      <c r="E82" s="44"/>
      <c r="F82" s="44"/>
      <c r="G82" s="44"/>
      <c r="H82" s="44"/>
      <c r="I82" s="20"/>
      <c r="J82" s="58"/>
      <c r="L82" s="44"/>
      <c r="M82" s="20"/>
      <c r="N82" s="29"/>
      <c r="O82" s="20"/>
      <c r="P82" s="20"/>
    </row>
    <row r="83" spans="1:16" s="30" customFormat="1">
      <c r="A83" s="29"/>
      <c r="B83" s="20"/>
      <c r="D83" s="29"/>
      <c r="E83" s="44"/>
      <c r="F83" s="44"/>
      <c r="G83" s="44"/>
      <c r="H83" s="44"/>
      <c r="I83" s="20"/>
      <c r="J83" s="58"/>
      <c r="L83" s="44"/>
      <c r="M83" s="20"/>
      <c r="N83" s="29"/>
      <c r="O83" s="20"/>
      <c r="P83" s="20"/>
    </row>
    <row r="84" spans="1:16" s="30" customFormat="1" ht="21">
      <c r="A84" s="65"/>
      <c r="B84" s="66"/>
      <c r="C84" s="67"/>
      <c r="D84" s="65"/>
      <c r="E84" s="68"/>
      <c r="F84" s="68"/>
      <c r="G84" s="68"/>
      <c r="H84" s="68"/>
      <c r="I84" s="66"/>
      <c r="J84" s="68"/>
      <c r="K84" s="69"/>
      <c r="L84" s="70"/>
      <c r="M84" s="69"/>
      <c r="N84" s="65"/>
      <c r="O84" s="20"/>
      <c r="P84" s="20"/>
    </row>
    <row r="85" spans="1:16" s="30" customFormat="1" ht="21">
      <c r="A85" s="65"/>
      <c r="B85" s="66"/>
      <c r="C85" s="67"/>
      <c r="D85" s="65"/>
      <c r="E85" s="68"/>
      <c r="F85" s="68"/>
      <c r="G85" s="68"/>
      <c r="H85" s="68"/>
      <c r="I85" s="66"/>
      <c r="J85" s="68"/>
      <c r="K85" s="69"/>
      <c r="L85" s="70"/>
      <c r="M85" s="69"/>
      <c r="N85" s="65"/>
      <c r="O85" s="20"/>
      <c r="P85" s="20"/>
    </row>
    <row r="86" spans="1:16" s="30" customFormat="1" ht="21">
      <c r="A86" s="65"/>
      <c r="B86" s="66"/>
      <c r="C86" s="67"/>
      <c r="D86" s="66"/>
      <c r="E86" s="68"/>
      <c r="F86" s="68"/>
      <c r="G86" s="68"/>
      <c r="H86" s="68"/>
      <c r="I86" s="66"/>
      <c r="J86" s="68"/>
      <c r="K86" s="69"/>
      <c r="L86" s="70"/>
      <c r="M86" s="69"/>
      <c r="N86" s="65"/>
      <c r="O86" s="20"/>
      <c r="P86" s="20"/>
    </row>
    <row r="87" spans="1:16" s="30" customFormat="1" ht="21">
      <c r="A87" s="65"/>
      <c r="B87" s="66"/>
      <c r="C87" s="67"/>
      <c r="D87" s="66"/>
      <c r="E87" s="68"/>
      <c r="F87" s="68"/>
      <c r="G87" s="68"/>
      <c r="H87" s="68"/>
      <c r="I87" s="66"/>
      <c r="J87" s="68"/>
      <c r="K87" s="69"/>
      <c r="L87" s="70"/>
      <c r="M87" s="69"/>
      <c r="N87" s="65"/>
      <c r="O87" s="20"/>
      <c r="P87" s="20"/>
    </row>
    <row r="88" spans="1:16" s="30" customFormat="1" ht="21">
      <c r="A88" s="65"/>
      <c r="B88" s="66"/>
      <c r="C88" s="67"/>
      <c r="D88" s="66"/>
      <c r="E88" s="68"/>
      <c r="F88" s="68"/>
      <c r="G88" s="68"/>
      <c r="H88" s="68"/>
      <c r="I88" s="66"/>
      <c r="J88" s="68"/>
      <c r="K88" s="69"/>
      <c r="L88" s="70"/>
      <c r="M88" s="69"/>
      <c r="N88" s="65"/>
      <c r="O88" s="20"/>
      <c r="P88" s="20"/>
    </row>
    <row r="89" spans="1:16" s="30" customFormat="1" ht="21">
      <c r="A89" s="65"/>
      <c r="B89" s="66"/>
      <c r="C89" s="67"/>
      <c r="D89" s="66"/>
      <c r="E89" s="68"/>
      <c r="F89" s="68"/>
      <c r="G89" s="68"/>
      <c r="H89" s="68"/>
      <c r="I89" s="66"/>
      <c r="J89" s="68"/>
      <c r="K89" s="69"/>
      <c r="L89" s="70"/>
      <c r="M89" s="69"/>
      <c r="N89" s="65"/>
      <c r="O89" s="20"/>
      <c r="P89" s="20"/>
    </row>
    <row r="90" spans="1:16" s="30" customFormat="1" ht="21">
      <c r="A90" s="65"/>
      <c r="B90" s="66"/>
      <c r="C90" s="67"/>
      <c r="D90" s="66"/>
      <c r="E90" s="66"/>
      <c r="F90" s="66"/>
      <c r="G90" s="66"/>
      <c r="H90" s="66"/>
      <c r="I90" s="66"/>
      <c r="J90" s="68"/>
      <c r="K90" s="69"/>
      <c r="L90" s="69"/>
      <c r="M90" s="69"/>
      <c r="N90" s="71"/>
      <c r="O90" s="20"/>
      <c r="P90" s="20"/>
    </row>
    <row r="91" spans="1:16" s="30" customFormat="1" ht="21">
      <c r="A91" s="65"/>
      <c r="B91" s="66"/>
      <c r="C91" s="67"/>
      <c r="D91" s="66"/>
      <c r="E91" s="66"/>
      <c r="F91" s="66"/>
      <c r="G91" s="66"/>
      <c r="H91" s="66"/>
      <c r="I91" s="66"/>
      <c r="J91" s="68"/>
      <c r="K91" s="69"/>
      <c r="L91" s="69"/>
      <c r="M91" s="69"/>
      <c r="N91" s="71"/>
      <c r="O91" s="20"/>
      <c r="P91" s="20"/>
    </row>
    <row r="92" spans="1:16" s="30" customFormat="1" ht="21">
      <c r="A92" s="65"/>
      <c r="B92" s="66"/>
      <c r="C92" s="66"/>
      <c r="D92" s="66"/>
      <c r="E92" s="66"/>
      <c r="F92" s="66"/>
      <c r="G92" s="66"/>
      <c r="H92" s="66"/>
      <c r="I92" s="66"/>
      <c r="J92" s="66"/>
      <c r="K92" s="69"/>
      <c r="L92" s="69"/>
      <c r="M92" s="69"/>
      <c r="N92" s="65"/>
      <c r="O92" s="20"/>
      <c r="P92" s="20"/>
    </row>
    <row r="93" spans="1:16" s="30" customFormat="1" ht="2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9"/>
      <c r="L93" s="69"/>
      <c r="M93" s="69"/>
      <c r="N93" s="65"/>
      <c r="O93" s="20"/>
      <c r="P93" s="20"/>
    </row>
    <row r="94" spans="1:16" s="30" customFormat="1" ht="21">
      <c r="A94" s="65"/>
      <c r="B94" s="66"/>
      <c r="C94" s="66"/>
      <c r="D94" s="66"/>
      <c r="E94" s="66"/>
      <c r="F94" s="66"/>
      <c r="G94" s="66"/>
      <c r="H94" s="66"/>
      <c r="I94" s="66"/>
      <c r="J94" s="66"/>
      <c r="K94" s="69"/>
      <c r="L94" s="69"/>
      <c r="M94" s="69"/>
      <c r="N94" s="65"/>
      <c r="O94" s="20"/>
      <c r="P94" s="20"/>
    </row>
    <row r="95" spans="1:16" s="30" customFormat="1" ht="21">
      <c r="A95" s="65"/>
      <c r="B95" s="66"/>
      <c r="C95" s="66"/>
      <c r="D95" s="66"/>
      <c r="E95" s="66"/>
      <c r="F95" s="66"/>
      <c r="G95" s="66"/>
      <c r="H95" s="66"/>
      <c r="I95" s="66"/>
      <c r="J95" s="66"/>
      <c r="K95" s="69"/>
      <c r="L95" s="69"/>
      <c r="M95" s="69"/>
      <c r="N95" s="65"/>
      <c r="O95" s="20"/>
      <c r="P95" s="20"/>
    </row>
    <row r="96" spans="1:16" s="30" customFormat="1" ht="21">
      <c r="A96" s="65"/>
      <c r="B96" s="66"/>
      <c r="C96" s="66"/>
      <c r="D96" s="66"/>
      <c r="E96" s="66"/>
      <c r="F96" s="66"/>
      <c r="G96" s="66"/>
      <c r="H96" s="66"/>
      <c r="I96" s="66"/>
      <c r="J96" s="66"/>
      <c r="K96" s="69"/>
      <c r="L96" s="69"/>
      <c r="M96" s="69"/>
      <c r="N96" s="65"/>
      <c r="O96" s="20"/>
      <c r="P96" s="20"/>
    </row>
    <row r="97" spans="1:17" s="30" customFormat="1" ht="21">
      <c r="A97" s="65"/>
      <c r="B97" s="66"/>
      <c r="C97" s="66"/>
      <c r="D97" s="66"/>
      <c r="E97" s="66"/>
      <c r="F97" s="66"/>
      <c r="G97" s="66"/>
      <c r="H97" s="66"/>
      <c r="I97" s="66"/>
      <c r="J97" s="66"/>
      <c r="K97" s="69"/>
      <c r="L97" s="69"/>
      <c r="M97" s="69"/>
      <c r="N97" s="65"/>
      <c r="O97" s="20"/>
      <c r="P97" s="20"/>
    </row>
    <row r="98" spans="1:17" s="30" customFormat="1" ht="21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9"/>
      <c r="L98" s="69"/>
      <c r="M98" s="69"/>
      <c r="N98" s="65"/>
      <c r="O98" s="20"/>
      <c r="P98" s="20"/>
    </row>
    <row r="99" spans="1:17" s="30" customFormat="1" ht="21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9"/>
      <c r="L99" s="69"/>
      <c r="M99" s="69"/>
      <c r="N99" s="65"/>
      <c r="O99" s="20"/>
      <c r="P99" s="20"/>
    </row>
    <row r="100" spans="1:17" s="30" customFormat="1" ht="21">
      <c r="A100" s="65"/>
      <c r="B100" s="66"/>
      <c r="C100" s="72"/>
      <c r="D100" s="66"/>
      <c r="E100" s="66"/>
      <c r="F100" s="66"/>
      <c r="G100" s="66"/>
      <c r="H100" s="66"/>
      <c r="I100" s="66"/>
      <c r="J100" s="66"/>
      <c r="K100" s="69"/>
      <c r="L100" s="69"/>
      <c r="M100" s="69"/>
      <c r="N100" s="65"/>
      <c r="P100" s="20"/>
    </row>
    <row r="101" spans="1:17" s="30" customFormat="1" ht="21">
      <c r="A101" s="65"/>
      <c r="B101" s="66"/>
      <c r="C101" s="66"/>
      <c r="D101" s="66"/>
      <c r="E101" s="66"/>
      <c r="F101" s="66"/>
      <c r="G101" s="66"/>
      <c r="H101" s="66"/>
      <c r="I101" s="66"/>
      <c r="J101" s="66"/>
      <c r="K101" s="69"/>
      <c r="L101" s="69"/>
      <c r="M101" s="69"/>
      <c r="N101" s="65"/>
      <c r="O101" s="20"/>
      <c r="P101" s="20"/>
      <c r="Q101" s="20"/>
    </row>
    <row r="102" spans="1:17" s="30" customFormat="1" ht="21">
      <c r="A102" s="65"/>
      <c r="B102" s="66"/>
      <c r="C102" s="66"/>
      <c r="D102" s="66"/>
      <c r="E102" s="66"/>
      <c r="F102" s="66"/>
      <c r="G102" s="66"/>
      <c r="H102" s="66"/>
      <c r="I102" s="66"/>
      <c r="J102" s="66"/>
      <c r="K102" s="69"/>
      <c r="L102" s="69"/>
      <c r="M102" s="69"/>
      <c r="N102" s="65"/>
      <c r="O102" s="20"/>
      <c r="P102" s="20"/>
    </row>
    <row r="103" spans="1:17" s="30" customFormat="1" ht="21">
      <c r="A103" s="65"/>
      <c r="B103" s="66"/>
      <c r="C103" s="66"/>
      <c r="D103" s="66"/>
      <c r="E103" s="66"/>
      <c r="F103" s="66"/>
      <c r="G103" s="66"/>
      <c r="H103" s="66"/>
      <c r="I103" s="66"/>
      <c r="J103" s="66"/>
      <c r="K103" s="69"/>
      <c r="L103" s="69"/>
      <c r="M103" s="69"/>
      <c r="N103" s="65"/>
      <c r="O103" s="20"/>
      <c r="P103" s="20"/>
    </row>
    <row r="104" spans="1:17" s="30" customFormat="1" ht="21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9"/>
      <c r="L104" s="69"/>
      <c r="M104" s="69"/>
      <c r="N104" s="65"/>
      <c r="O104" s="20"/>
      <c r="P104" s="20"/>
    </row>
    <row r="105" spans="1:17" s="30" customFormat="1" ht="21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9"/>
      <c r="L105" s="69"/>
      <c r="M105" s="69"/>
      <c r="N105" s="65"/>
      <c r="O105" s="20"/>
      <c r="P105" s="20"/>
    </row>
    <row r="106" spans="1:17" s="30" customFormat="1" ht="21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9"/>
      <c r="L106" s="69"/>
      <c r="M106" s="69"/>
      <c r="N106" s="65"/>
      <c r="O106" s="20"/>
      <c r="P106" s="20"/>
    </row>
    <row r="107" spans="1:17" s="30" customFormat="1" ht="21">
      <c r="A107" s="65"/>
      <c r="B107" s="66"/>
      <c r="C107" s="66"/>
      <c r="D107" s="66"/>
      <c r="E107" s="66"/>
      <c r="F107" s="66"/>
      <c r="G107" s="66"/>
      <c r="H107" s="66"/>
      <c r="I107" s="66"/>
      <c r="J107" s="66"/>
      <c r="K107" s="69"/>
      <c r="L107" s="69"/>
      <c r="M107" s="69"/>
      <c r="N107" s="65"/>
      <c r="O107" s="20"/>
      <c r="P107" s="20"/>
    </row>
    <row r="108" spans="1:17" s="30" customFormat="1" ht="2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9"/>
      <c r="L108" s="69"/>
      <c r="M108" s="69"/>
      <c r="N108" s="65"/>
      <c r="O108" s="20"/>
      <c r="P108" s="20"/>
    </row>
    <row r="109" spans="1:17" s="30" customFormat="1" ht="21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9"/>
      <c r="L109" s="69"/>
      <c r="M109" s="69"/>
      <c r="N109" s="65"/>
      <c r="O109" s="20"/>
      <c r="P109" s="20"/>
    </row>
    <row r="110" spans="1:17" s="30" customFormat="1" ht="2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9"/>
      <c r="L110" s="69"/>
      <c r="M110" s="69"/>
      <c r="N110" s="65"/>
      <c r="O110" s="20"/>
      <c r="P110" s="20"/>
    </row>
    <row r="111" spans="1:17" s="30" customFormat="1" ht="21">
      <c r="A111" s="65"/>
      <c r="B111" s="66"/>
      <c r="C111" s="66"/>
      <c r="D111" s="66"/>
      <c r="E111" s="74"/>
      <c r="F111" s="66"/>
      <c r="G111" s="66"/>
      <c r="H111" s="66"/>
      <c r="I111" s="66"/>
      <c r="J111" s="66"/>
      <c r="K111" s="69"/>
      <c r="L111" s="69"/>
      <c r="M111" s="69"/>
      <c r="N111" s="65"/>
      <c r="O111" s="20"/>
      <c r="P111" s="20"/>
    </row>
    <row r="112" spans="1:17" s="30" customFormat="1" ht="21">
      <c r="A112" s="65"/>
      <c r="B112" s="66"/>
      <c r="C112" s="66"/>
      <c r="D112" s="66"/>
      <c r="E112" s="74"/>
      <c r="F112" s="66"/>
      <c r="G112" s="66"/>
      <c r="H112" s="66"/>
      <c r="I112" s="66"/>
      <c r="J112" s="66"/>
      <c r="K112" s="69"/>
      <c r="L112" s="69"/>
      <c r="M112" s="69"/>
      <c r="N112" s="65"/>
      <c r="O112" s="20"/>
      <c r="P112" s="20"/>
    </row>
    <row r="113" spans="1:16" s="30" customFormat="1" ht="21">
      <c r="A113" s="65"/>
      <c r="B113" s="66"/>
      <c r="C113" s="66"/>
      <c r="D113" s="66"/>
      <c r="E113" s="74"/>
      <c r="F113" s="66"/>
      <c r="G113" s="66"/>
      <c r="H113" s="66"/>
      <c r="I113" s="66"/>
      <c r="J113" s="66"/>
      <c r="K113" s="69"/>
      <c r="L113" s="69"/>
      <c r="M113" s="69"/>
      <c r="N113" s="65"/>
      <c r="O113" s="20"/>
      <c r="P113" s="27"/>
    </row>
    <row r="114" spans="1:16" s="30" customFormat="1" ht="21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9"/>
      <c r="L114" s="69"/>
      <c r="M114" s="69"/>
      <c r="N114" s="65"/>
      <c r="O114" s="20"/>
      <c r="P114" s="20"/>
    </row>
    <row r="115" spans="1:16" s="30" customFormat="1" ht="21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9"/>
      <c r="L115" s="69"/>
      <c r="M115" s="69"/>
      <c r="N115" s="65"/>
      <c r="O115" s="20"/>
      <c r="P115" s="20"/>
    </row>
    <row r="116" spans="1:16" s="30" customFormat="1" ht="21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9"/>
      <c r="L116" s="69"/>
      <c r="M116" s="69"/>
      <c r="N116" s="65"/>
      <c r="O116" s="20"/>
      <c r="P116" s="20"/>
    </row>
    <row r="117" spans="1:16" s="30" customFormat="1" ht="21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9"/>
      <c r="L117" s="69"/>
      <c r="M117" s="69"/>
      <c r="N117" s="65"/>
      <c r="O117" s="20"/>
      <c r="P117" s="20"/>
    </row>
    <row r="118" spans="1:16" s="30" customFormat="1" ht="2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9"/>
      <c r="L118" s="69"/>
      <c r="M118" s="69"/>
      <c r="N118" s="65"/>
      <c r="O118" s="20"/>
      <c r="P118" s="20"/>
    </row>
    <row r="119" spans="1:16" s="30" customFormat="1" ht="21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9"/>
      <c r="L119" s="69"/>
      <c r="M119" s="69"/>
      <c r="N119" s="65"/>
      <c r="O119" s="20"/>
      <c r="P119" s="20"/>
    </row>
    <row r="120" spans="1:16" s="30" customFormat="1" ht="21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9"/>
      <c r="L120" s="69"/>
      <c r="M120" s="69"/>
      <c r="N120" s="65"/>
      <c r="O120" s="20"/>
      <c r="P120" s="20"/>
    </row>
    <row r="121" spans="1:16" s="30" customFormat="1" ht="2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9"/>
      <c r="L121" s="69"/>
      <c r="M121" s="69"/>
      <c r="N121" s="65"/>
      <c r="O121" s="20"/>
      <c r="P121" s="20"/>
    </row>
    <row r="122" spans="1:16" s="30" customFormat="1" ht="21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9"/>
      <c r="L122" s="69"/>
      <c r="M122" s="69"/>
      <c r="N122" s="65"/>
      <c r="O122" s="20"/>
      <c r="P122" s="20"/>
    </row>
    <row r="123" spans="1:16" s="30" customFormat="1" ht="21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9"/>
      <c r="L123" s="69"/>
      <c r="M123" s="69"/>
      <c r="N123" s="65"/>
      <c r="O123" s="20"/>
      <c r="P123" s="20"/>
    </row>
    <row r="124" spans="1:16" s="30" customFormat="1" ht="21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9"/>
      <c r="L124" s="69"/>
      <c r="M124" s="69"/>
      <c r="N124" s="65"/>
      <c r="O124" s="20"/>
      <c r="P124" s="20"/>
    </row>
    <row r="125" spans="1:16" s="30" customFormat="1" ht="2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9"/>
      <c r="L125" s="69"/>
      <c r="M125" s="69"/>
      <c r="N125" s="65"/>
      <c r="O125" s="20"/>
      <c r="P125" s="20"/>
    </row>
    <row r="126" spans="1:16" s="30" customFormat="1" ht="21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9"/>
      <c r="L126" s="69"/>
      <c r="M126" s="69"/>
      <c r="N126" s="65"/>
      <c r="O126" s="20"/>
      <c r="P126" s="20"/>
    </row>
    <row r="127" spans="1:16" s="30" customFormat="1" ht="18.75">
      <c r="A127" s="65"/>
      <c r="B127" s="20"/>
      <c r="C127" s="66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9"/>
      <c r="O127" s="20"/>
      <c r="P127" s="20"/>
    </row>
    <row r="128" spans="1:16" s="30" customFormat="1" ht="18.75">
      <c r="B128" s="20"/>
      <c r="C128" s="66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9"/>
      <c r="O128" s="20"/>
      <c r="P128" s="20"/>
    </row>
    <row r="129" spans="1:19" s="30" customFormat="1" ht="18.75">
      <c r="C129" s="66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9" s="30" customFormat="1" ht="18.75">
      <c r="A130" s="76"/>
      <c r="B130" s="72"/>
      <c r="C130" s="66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9" s="30" customFormat="1" ht="18.75">
      <c r="A131" s="72"/>
      <c r="B131" s="72"/>
      <c r="C131" s="66"/>
      <c r="D131" s="4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9" s="30" customFormat="1" ht="18.75">
      <c r="A132" s="72"/>
      <c r="B132" s="72"/>
      <c r="C132" s="6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20"/>
    </row>
    <row r="133" spans="1:19" s="30" customFormat="1" ht="18.75">
      <c r="A133" s="72"/>
      <c r="B133" s="72"/>
      <c r="C133" s="66"/>
      <c r="D133" s="77"/>
      <c r="E133" s="7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9"/>
      <c r="R133" s="79"/>
      <c r="S133" s="79"/>
    </row>
    <row r="134" spans="1:19" s="30" customFormat="1" ht="18.75">
      <c r="A134" s="76"/>
      <c r="B134" s="72"/>
      <c r="C134" s="6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P134" s="77"/>
      <c r="Q134" s="79"/>
      <c r="R134" s="79"/>
      <c r="S134" s="79"/>
    </row>
    <row r="135" spans="1:19" s="30" customFormat="1" ht="18.75">
      <c r="A135" s="76"/>
      <c r="B135" s="72"/>
      <c r="C135" s="6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9" s="30" customFormat="1" ht="18.75">
      <c r="A136" s="72"/>
      <c r="B136" s="72"/>
      <c r="C136" s="6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9"/>
      <c r="R136" s="79"/>
      <c r="S136" s="79"/>
    </row>
    <row r="137" spans="1:19" s="30" customFormat="1" ht="18.75">
      <c r="A137" s="72"/>
      <c r="B137" s="72"/>
      <c r="C137" s="6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9"/>
      <c r="R137" s="79"/>
      <c r="S137" s="79"/>
    </row>
    <row r="138" spans="1:19" s="30" customFormat="1" ht="18.75">
      <c r="A138" s="72"/>
      <c r="B138" s="72"/>
      <c r="C138" s="6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9"/>
      <c r="R138" s="79"/>
      <c r="S138" s="79"/>
    </row>
    <row r="139" spans="1:19" s="30" customFormat="1" ht="18.75">
      <c r="A139" s="72"/>
      <c r="B139" s="72"/>
      <c r="C139" s="72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7"/>
      <c r="Q139" s="79"/>
      <c r="R139" s="79"/>
      <c r="S139" s="79"/>
    </row>
    <row r="140" spans="1:19" s="30" customFormat="1" ht="18.75">
      <c r="A140" s="72"/>
      <c r="B140" s="72"/>
      <c r="C140" s="72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s="30" customFormat="1" ht="18.75">
      <c r="A141" s="72"/>
      <c r="B141" s="72"/>
      <c r="C141" s="72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</row>
    <row r="142" spans="1:19" s="30" customFormat="1" ht="18.75">
      <c r="A142" s="72"/>
      <c r="B142" s="72"/>
      <c r="C142" s="72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19" s="30" customFormat="1" ht="18.75">
      <c r="A143" s="72"/>
      <c r="B143" s="72"/>
      <c r="C143" s="72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</row>
    <row r="144" spans="1:19" s="30" customFormat="1" ht="18.75">
      <c r="A144" s="72"/>
      <c r="B144" s="72"/>
      <c r="C144" s="72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</row>
    <row r="145" spans="1:19" s="30" customFormat="1" ht="18.75">
      <c r="A145" s="72"/>
      <c r="B145" s="72"/>
      <c r="P145" s="79"/>
      <c r="Q145" s="79"/>
      <c r="R145" s="79"/>
      <c r="S145" s="79"/>
    </row>
    <row r="146" spans="1:19" s="30" customFormat="1">
      <c r="Q146" s="79"/>
      <c r="R146" s="79"/>
      <c r="S146" s="79"/>
    </row>
    <row r="147" spans="1:19" s="30" customFormat="1" ht="149.25" customHeight="1">
      <c r="Q147" s="79"/>
      <c r="R147" s="79"/>
      <c r="S147" s="79"/>
    </row>
    <row r="148" spans="1:19" s="30" customFormat="1">
      <c r="Q148" s="79"/>
      <c r="R148" s="79"/>
      <c r="S148" s="79"/>
    </row>
    <row r="149" spans="1:19" s="30" customFormat="1">
      <c r="Q149" s="79"/>
      <c r="R149" s="79"/>
      <c r="S149" s="79"/>
    </row>
    <row r="150" spans="1:19" s="30" customFormat="1">
      <c r="Q150" s="79"/>
      <c r="R150" s="79"/>
      <c r="S150" s="79"/>
    </row>
    <row r="151" spans="1:19" s="30" customFormat="1">
      <c r="Q151" s="79"/>
      <c r="R151" s="79"/>
      <c r="S151" s="79"/>
    </row>
    <row r="152" spans="1:19" s="30" customFormat="1">
      <c r="Q152" s="79"/>
      <c r="R152" s="79"/>
      <c r="S152" s="79"/>
    </row>
    <row r="153" spans="1:19" s="30" customFormat="1">
      <c r="Q153" s="79"/>
      <c r="R153" s="79"/>
      <c r="S153" s="79"/>
    </row>
    <row r="154" spans="1:19" s="30" customFormat="1">
      <c r="Q154" s="79"/>
      <c r="R154" s="79"/>
      <c r="S154" s="79"/>
    </row>
    <row r="155" spans="1:19" s="30" customFormat="1">
      <c r="Q155" s="79"/>
      <c r="R155" s="79"/>
      <c r="S155" s="79"/>
    </row>
    <row r="156" spans="1:19" s="30" customFormat="1">
      <c r="Q156" s="79"/>
      <c r="R156" s="79"/>
      <c r="S156" s="79"/>
    </row>
    <row r="157" spans="1:19" s="30" customFormat="1">
      <c r="Q157" s="79"/>
      <c r="R157" s="79"/>
      <c r="S157" s="79"/>
    </row>
    <row r="158" spans="1:19" s="30" customFormat="1">
      <c r="Q158" s="79"/>
      <c r="R158" s="79"/>
      <c r="S158" s="79"/>
    </row>
    <row r="159" spans="1:19" s="30" customFormat="1">
      <c r="Q159" s="79"/>
      <c r="R159" s="79"/>
      <c r="S159" s="79"/>
    </row>
    <row r="160" spans="1:19" s="30" customFormat="1">
      <c r="Q160" s="79"/>
      <c r="R160" s="79"/>
      <c r="S160" s="79"/>
    </row>
    <row r="161" spans="17:19" s="30" customFormat="1">
      <c r="Q161" s="79"/>
      <c r="R161" s="79"/>
      <c r="S161" s="79"/>
    </row>
    <row r="162" spans="17:19" s="30" customFormat="1">
      <c r="Q162" s="79"/>
      <c r="R162" s="79"/>
      <c r="S162" s="79"/>
    </row>
    <row r="163" spans="17:19" s="30" customFormat="1">
      <c r="Q163" s="79"/>
      <c r="R163" s="79"/>
      <c r="S163" s="79"/>
    </row>
    <row r="164" spans="17:19" s="30" customFormat="1">
      <c r="Q164" s="79"/>
      <c r="R164" s="79"/>
      <c r="S164" s="79"/>
    </row>
    <row r="165" spans="17:19">
      <c r="Q165" s="80"/>
      <c r="R165" s="80"/>
      <c r="S165" s="80"/>
    </row>
    <row r="166" spans="17:19">
      <c r="Q166" s="80"/>
      <c r="R166" s="80"/>
      <c r="S166" s="80"/>
    </row>
    <row r="167" spans="17:19">
      <c r="Q167" s="80"/>
      <c r="R167" s="80"/>
      <c r="S167" s="80"/>
    </row>
    <row r="168" spans="17:19">
      <c r="Q168" s="80"/>
      <c r="R168" s="80"/>
      <c r="S168" s="80"/>
    </row>
    <row r="169" spans="17:19">
      <c r="Q169" s="80"/>
      <c r="R169" s="80"/>
      <c r="S169" s="80"/>
    </row>
    <row r="170" spans="17:19">
      <c r="Q170" s="80"/>
      <c r="R170" s="80"/>
      <c r="S170" s="80"/>
    </row>
    <row r="171" spans="17:19">
      <c r="Q171" s="80"/>
      <c r="R171" s="80"/>
      <c r="S171" s="80"/>
    </row>
    <row r="172" spans="17:19">
      <c r="Q172" s="80"/>
      <c r="R172" s="80"/>
      <c r="S172" s="80"/>
    </row>
    <row r="173" spans="17:19">
      <c r="Q173" s="80"/>
      <c r="R173" s="80"/>
      <c r="S173" s="80"/>
    </row>
    <row r="174" spans="17:19">
      <c r="Q174" s="80"/>
      <c r="R174" s="80"/>
      <c r="S174" s="80"/>
    </row>
    <row r="175" spans="17:19">
      <c r="Q175" s="80"/>
      <c r="R175" s="80"/>
      <c r="S175" s="80"/>
    </row>
    <row r="176" spans="17:19">
      <c r="Q176" s="80"/>
      <c r="R176" s="80"/>
      <c r="S176" s="80"/>
    </row>
    <row r="177" spans="17:19">
      <c r="Q177" s="80"/>
      <c r="R177" s="80"/>
      <c r="S177" s="80"/>
    </row>
    <row r="178" spans="17:19">
      <c r="Q178" s="80"/>
      <c r="R178" s="80"/>
      <c r="S178" s="80"/>
    </row>
    <row r="179" spans="17:19">
      <c r="Q179" s="80"/>
      <c r="R179" s="80"/>
      <c r="S179" s="80"/>
    </row>
    <row r="180" spans="17:19">
      <c r="Q180" s="80"/>
      <c r="R180" s="80"/>
      <c r="S180" s="80"/>
    </row>
    <row r="181" spans="17:19">
      <c r="Q181" s="80"/>
      <c r="R181" s="80"/>
      <c r="S181" s="80"/>
    </row>
    <row r="182" spans="17:19">
      <c r="Q182" s="80"/>
      <c r="R182" s="80"/>
      <c r="S182" s="80"/>
    </row>
    <row r="183" spans="17:19">
      <c r="Q183" s="80"/>
      <c r="R183" s="80"/>
      <c r="S183" s="80"/>
    </row>
    <row r="184" spans="17:19">
      <c r="Q184" s="80"/>
      <c r="R184" s="80"/>
      <c r="S184" s="80"/>
    </row>
    <row r="185" spans="17:19">
      <c r="Q185" s="80"/>
      <c r="R185" s="80"/>
      <c r="S185" s="80"/>
    </row>
    <row r="186" spans="17:19">
      <c r="Q186" s="80"/>
      <c r="R186" s="80"/>
      <c r="S186" s="80"/>
    </row>
    <row r="187" spans="17:19">
      <c r="Q187" s="80"/>
      <c r="R187" s="80"/>
      <c r="S187" s="80"/>
    </row>
    <row r="188" spans="17:19">
      <c r="Q188" s="80"/>
      <c r="R188" s="80"/>
      <c r="S188" s="80"/>
    </row>
    <row r="189" spans="17:19">
      <c r="Q189" s="80"/>
      <c r="R189" s="80"/>
      <c r="S189" s="80"/>
    </row>
    <row r="190" spans="17:19">
      <c r="Q190" s="80"/>
      <c r="R190" s="80"/>
      <c r="S190" s="80"/>
    </row>
    <row r="191" spans="17:19">
      <c r="Q191" s="80"/>
      <c r="R191" s="80"/>
      <c r="S191" s="80"/>
    </row>
    <row r="192" spans="17:19">
      <c r="Q192" s="80"/>
      <c r="R192" s="80"/>
      <c r="S192" s="80"/>
    </row>
    <row r="193" spans="17:19">
      <c r="Q193" s="80"/>
      <c r="R193" s="80"/>
      <c r="S193" s="80"/>
    </row>
    <row r="194" spans="17:19">
      <c r="Q194" s="80"/>
      <c r="R194" s="80"/>
      <c r="S194" s="80"/>
    </row>
    <row r="195" spans="17:19">
      <c r="Q195" s="80"/>
      <c r="R195" s="80"/>
      <c r="S195" s="80"/>
    </row>
    <row r="196" spans="17:19">
      <c r="Q196" s="80"/>
      <c r="R196" s="80"/>
      <c r="S196" s="80"/>
    </row>
    <row r="197" spans="17:19">
      <c r="Q197" s="80"/>
      <c r="R197" s="80"/>
      <c r="S197" s="80"/>
    </row>
    <row r="198" spans="17:19">
      <c r="Q198" s="80"/>
      <c r="R198" s="80"/>
      <c r="S198" s="80"/>
    </row>
    <row r="199" spans="17:19">
      <c r="Q199" s="80"/>
      <c r="R199" s="80"/>
      <c r="S199" s="80"/>
    </row>
    <row r="200" spans="17:19">
      <c r="Q200" s="80"/>
      <c r="R200" s="80"/>
      <c r="S200" s="80"/>
    </row>
    <row r="201" spans="17:19">
      <c r="Q201" s="80"/>
      <c r="R201" s="80"/>
      <c r="S201" s="80"/>
    </row>
    <row r="202" spans="17:19">
      <c r="Q202" s="80"/>
      <c r="R202" s="80"/>
      <c r="S202" s="80"/>
    </row>
    <row r="203" spans="17:19">
      <c r="Q203" s="80"/>
      <c r="R203" s="80"/>
      <c r="S203" s="80"/>
    </row>
    <row r="204" spans="17:19">
      <c r="Q204" s="80"/>
      <c r="R204" s="80"/>
      <c r="S204" s="80"/>
    </row>
    <row r="205" spans="17:19">
      <c r="Q205" s="80"/>
      <c r="R205" s="80"/>
      <c r="S205" s="80"/>
    </row>
    <row r="206" spans="17:19">
      <c r="Q206" s="80"/>
      <c r="R206" s="80"/>
      <c r="S206" s="80"/>
    </row>
    <row r="207" spans="17:19">
      <c r="Q207" s="80"/>
      <c r="R207" s="80"/>
      <c r="S207" s="80"/>
    </row>
    <row r="208" spans="17:19">
      <c r="Q208" s="80"/>
      <c r="R208" s="80"/>
      <c r="S208" s="80"/>
    </row>
    <row r="209" spans="17:19">
      <c r="Q209" s="80"/>
      <c r="R209" s="80"/>
      <c r="S209" s="80"/>
    </row>
    <row r="210" spans="17:19">
      <c r="Q210" s="80"/>
      <c r="R210" s="80"/>
      <c r="S210" s="80"/>
    </row>
    <row r="211" spans="17:19">
      <c r="Q211" s="80"/>
      <c r="R211" s="80"/>
      <c r="S211" s="80"/>
    </row>
    <row r="212" spans="17:19">
      <c r="Q212" s="80"/>
      <c r="R212" s="80"/>
      <c r="S212" s="80"/>
    </row>
    <row r="213" spans="17:19">
      <c r="Q213" s="80"/>
      <c r="R213" s="80"/>
      <c r="S213" s="80"/>
    </row>
    <row r="214" spans="17:19">
      <c r="Q214" s="80"/>
      <c r="R214" s="80"/>
      <c r="S214" s="80"/>
    </row>
    <row r="215" spans="17:19">
      <c r="Q215" s="80"/>
      <c r="R215" s="80"/>
      <c r="S215" s="80"/>
    </row>
    <row r="216" spans="17:19">
      <c r="Q216" s="80"/>
      <c r="R216" s="80"/>
      <c r="S216" s="80"/>
    </row>
    <row r="217" spans="17:19">
      <c r="Q217" s="80"/>
      <c r="R217" s="80"/>
      <c r="S217" s="80"/>
    </row>
    <row r="218" spans="17:19">
      <c r="Q218" s="80"/>
      <c r="R218" s="80"/>
      <c r="S218" s="80"/>
    </row>
    <row r="219" spans="17:19">
      <c r="Q219" s="80"/>
      <c r="R219" s="80"/>
      <c r="S219" s="80"/>
    </row>
    <row r="220" spans="17:19">
      <c r="Q220" s="80"/>
      <c r="R220" s="80"/>
      <c r="S220" s="80"/>
    </row>
    <row r="221" spans="17:19">
      <c r="Q221" s="80"/>
      <c r="R221" s="80"/>
      <c r="S221" s="80"/>
    </row>
    <row r="222" spans="17:19">
      <c r="Q222" s="80"/>
      <c r="R222" s="80"/>
      <c r="S222" s="80"/>
    </row>
    <row r="223" spans="17:19">
      <c r="Q223" s="80"/>
      <c r="R223" s="80"/>
      <c r="S223" s="80"/>
    </row>
    <row r="224" spans="17:19">
      <c r="Q224" s="80"/>
      <c r="R224" s="80"/>
      <c r="S224" s="80"/>
    </row>
    <row r="225" spans="17:19">
      <c r="Q225" s="80"/>
      <c r="R225" s="80"/>
      <c r="S225" s="80"/>
    </row>
    <row r="226" spans="17:19">
      <c r="Q226" s="80"/>
      <c r="R226" s="80"/>
      <c r="S226" s="80"/>
    </row>
    <row r="227" spans="17:19">
      <c r="Q227" s="80"/>
      <c r="R227" s="80"/>
      <c r="S227" s="80"/>
    </row>
    <row r="228" spans="17:19">
      <c r="Q228" s="80"/>
      <c r="R228" s="80"/>
      <c r="S228" s="80"/>
    </row>
    <row r="229" spans="17:19">
      <c r="Q229" s="80"/>
      <c r="R229" s="80"/>
      <c r="S229" s="80"/>
    </row>
    <row r="230" spans="17:19">
      <c r="Q230" s="80"/>
      <c r="R230" s="80"/>
      <c r="S230" s="80"/>
    </row>
    <row r="231" spans="17:19">
      <c r="Q231" s="80"/>
      <c r="R231" s="80"/>
      <c r="S231" s="80"/>
    </row>
    <row r="232" spans="17:19">
      <c r="Q232" s="80"/>
      <c r="R232" s="80"/>
      <c r="S232" s="80"/>
    </row>
    <row r="233" spans="17:19">
      <c r="Q233" s="80"/>
      <c r="R233" s="80"/>
      <c r="S233" s="80"/>
    </row>
    <row r="234" spans="17:19">
      <c r="Q234" s="80"/>
      <c r="R234" s="80"/>
      <c r="S234" s="80"/>
    </row>
    <row r="235" spans="17:19">
      <c r="Q235" s="80"/>
      <c r="R235" s="80"/>
      <c r="S235" s="80"/>
    </row>
    <row r="236" spans="17:19">
      <c r="Q236" s="80"/>
      <c r="R236" s="80"/>
      <c r="S236" s="80"/>
    </row>
    <row r="237" spans="17:19">
      <c r="Q237" s="80"/>
      <c r="R237" s="80"/>
      <c r="S237" s="80"/>
    </row>
    <row r="238" spans="17:19">
      <c r="Q238" s="80"/>
      <c r="R238" s="80"/>
      <c r="S238" s="80"/>
    </row>
    <row r="239" spans="17:19">
      <c r="Q239" s="80"/>
      <c r="R239" s="80"/>
      <c r="S239" s="80"/>
    </row>
    <row r="240" spans="17:19">
      <c r="Q240" s="80"/>
      <c r="R240" s="80"/>
      <c r="S240" s="80"/>
    </row>
    <row r="241" spans="17:19">
      <c r="Q241" s="80"/>
      <c r="R241" s="80"/>
      <c r="S241" s="80"/>
    </row>
    <row r="242" spans="17:19">
      <c r="Q242" s="80"/>
      <c r="R242" s="80"/>
      <c r="S242" s="80"/>
    </row>
    <row r="243" spans="17:19">
      <c r="Q243" s="80"/>
      <c r="R243" s="80"/>
      <c r="S243" s="80"/>
    </row>
    <row r="244" spans="17:19">
      <c r="Q244" s="80"/>
      <c r="R244" s="80"/>
      <c r="S244" s="80"/>
    </row>
    <row r="245" spans="17:19">
      <c r="Q245" s="80"/>
      <c r="R245" s="80"/>
      <c r="S245" s="80"/>
    </row>
    <row r="246" spans="17:19">
      <c r="Q246" s="80"/>
      <c r="R246" s="80"/>
      <c r="S246" s="80"/>
    </row>
    <row r="247" spans="17:19">
      <c r="Q247" s="80"/>
      <c r="R247" s="80"/>
      <c r="S247" s="80"/>
    </row>
    <row r="248" spans="17:19">
      <c r="Q248" s="80"/>
      <c r="R248" s="80"/>
      <c r="S248" s="80"/>
    </row>
    <row r="249" spans="17:19">
      <c r="Q249" s="80"/>
      <c r="R249" s="80"/>
      <c r="S249" s="80"/>
    </row>
    <row r="250" spans="17:19">
      <c r="Q250" s="80"/>
      <c r="R250" s="80"/>
      <c r="S250" s="80"/>
    </row>
    <row r="251" spans="17:19">
      <c r="Q251" s="80"/>
      <c r="R251" s="80"/>
      <c r="S251" s="80"/>
    </row>
    <row r="252" spans="17:19">
      <c r="Q252" s="80"/>
      <c r="R252" s="80"/>
      <c r="S252" s="80"/>
    </row>
    <row r="253" spans="17:19">
      <c r="Q253" s="80"/>
      <c r="R253" s="80"/>
      <c r="S253" s="80"/>
    </row>
    <row r="254" spans="17:19">
      <c r="Q254" s="80"/>
      <c r="R254" s="80"/>
      <c r="S254" s="80"/>
    </row>
    <row r="255" spans="17:19">
      <c r="Q255" s="80"/>
      <c r="R255" s="80"/>
      <c r="S255" s="80"/>
    </row>
    <row r="256" spans="17:19">
      <c r="Q256" s="80"/>
      <c r="R256" s="80"/>
      <c r="S256" s="80"/>
    </row>
    <row r="257" spans="17:19">
      <c r="Q257" s="80"/>
      <c r="R257" s="80"/>
      <c r="S257" s="80"/>
    </row>
    <row r="258" spans="17:19">
      <c r="Q258" s="80"/>
      <c r="R258" s="80"/>
      <c r="S258" s="80"/>
    </row>
    <row r="259" spans="17:19">
      <c r="Q259" s="80"/>
      <c r="R259" s="80"/>
      <c r="S259" s="80"/>
    </row>
    <row r="260" spans="17:19">
      <c r="Q260" s="80"/>
      <c r="R260" s="80"/>
      <c r="S260" s="80"/>
    </row>
    <row r="261" spans="17:19">
      <c r="Q261" s="80"/>
      <c r="R261" s="80"/>
      <c r="S261" s="80"/>
    </row>
    <row r="262" spans="17:19">
      <c r="Q262" s="80"/>
      <c r="R262" s="80"/>
      <c r="S262" s="80"/>
    </row>
    <row r="263" spans="17:19">
      <c r="Q263" s="80"/>
      <c r="R263" s="80"/>
      <c r="S263" s="80"/>
    </row>
    <row r="264" spans="17:19">
      <c r="Q264" s="80"/>
      <c r="R264" s="80"/>
      <c r="S264" s="80"/>
    </row>
    <row r="265" spans="17:19">
      <c r="Q265" s="80"/>
      <c r="R265" s="80"/>
      <c r="S265" s="80"/>
    </row>
    <row r="266" spans="17:19">
      <c r="Q266" s="80"/>
      <c r="R266" s="80"/>
      <c r="S266" s="80"/>
    </row>
    <row r="267" spans="17:19">
      <c r="Q267" s="80"/>
      <c r="R267" s="80"/>
      <c r="S267" s="80"/>
    </row>
    <row r="268" spans="17:19">
      <c r="Q268" s="80"/>
      <c r="R268" s="80"/>
      <c r="S268" s="80"/>
    </row>
    <row r="269" spans="17:19">
      <c r="Q269" s="80"/>
      <c r="R269" s="80"/>
      <c r="S269" s="80"/>
    </row>
    <row r="270" spans="17:19">
      <c r="Q270" s="80"/>
      <c r="R270" s="80"/>
      <c r="S270" s="80"/>
    </row>
    <row r="271" spans="17:19">
      <c r="Q271" s="80"/>
      <c r="R271" s="80"/>
      <c r="S271" s="80"/>
    </row>
    <row r="272" spans="17:19">
      <c r="Q272" s="80"/>
      <c r="R272" s="80"/>
      <c r="S272" s="80"/>
    </row>
    <row r="273" spans="3:19">
      <c r="Q273" s="80"/>
      <c r="R273" s="80"/>
      <c r="S273" s="80"/>
    </row>
    <row r="274" spans="3:19">
      <c r="Q274" s="80"/>
      <c r="R274" s="80"/>
      <c r="S274" s="80"/>
    </row>
    <row r="275" spans="3:19">
      <c r="Q275" s="80"/>
      <c r="R275" s="80"/>
      <c r="S275" s="80"/>
    </row>
    <row r="276" spans="3:19">
      <c r="Q276" s="80"/>
      <c r="R276" s="80"/>
      <c r="S276" s="80"/>
    </row>
    <row r="277" spans="3:19">
      <c r="Q277" s="80"/>
      <c r="R277" s="80"/>
      <c r="S277" s="80"/>
    </row>
    <row r="278" spans="3:19">
      <c r="Q278" s="80"/>
      <c r="R278" s="80"/>
      <c r="S278" s="80"/>
    </row>
    <row r="279" spans="3:19">
      <c r="Q279" s="80"/>
      <c r="R279" s="80"/>
      <c r="S279" s="80"/>
    </row>
    <row r="280" spans="3:19">
      <c r="Q280" s="80"/>
      <c r="R280" s="80"/>
      <c r="S280" s="80"/>
    </row>
    <row r="281" spans="3:19">
      <c r="Q281" s="80"/>
      <c r="R281" s="80"/>
      <c r="S281" s="80"/>
    </row>
    <row r="282" spans="3:19">
      <c r="Q282" s="80"/>
      <c r="R282" s="80"/>
      <c r="S282" s="80"/>
    </row>
    <row r="283" spans="3:19">
      <c r="Q283" s="80"/>
      <c r="R283" s="80"/>
      <c r="S283" s="80"/>
    </row>
    <row r="284" spans="3:19">
      <c r="Q284" s="80"/>
      <c r="R284" s="80"/>
      <c r="S284" s="80"/>
    </row>
    <row r="285" spans="3:19">
      <c r="Q285" s="80"/>
      <c r="R285" s="80"/>
      <c r="S285" s="80"/>
    </row>
    <row r="286" spans="3:19">
      <c r="Q286" s="80"/>
      <c r="R286" s="80"/>
      <c r="S286" s="80"/>
    </row>
    <row r="287" spans="3:19">
      <c r="Q287" s="80"/>
      <c r="R287" s="80"/>
      <c r="S287" s="80"/>
    </row>
    <row r="288" spans="3:19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Q288" s="80"/>
      <c r="R288" s="80"/>
      <c r="S288" s="80"/>
    </row>
    <row r="289" spans="3:19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3:19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3:19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3:19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3:19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3:19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3:19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3:19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3:19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3:19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3:19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3:19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3:19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3:19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3:19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3:19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3:19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3:19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3:19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3:19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3:19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3:19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3:19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3:19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3:19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3:19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3:19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3:19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3:19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3:19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3:19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3:19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3:19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3:19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3:19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3:19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3:19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3:19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3:19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3:19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3:19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3:19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3:19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3:19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3:19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3:19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3:19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3:19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3:19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3:19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>
      <c r="P344" s="80"/>
      <c r="Q344" s="80"/>
      <c r="R344" s="80"/>
      <c r="S344" s="80"/>
    </row>
  </sheetData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65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5"/>
  <sheetViews>
    <sheetView workbookViewId="0"/>
  </sheetViews>
  <sheetFormatPr defaultColWidth="9.33203125" defaultRowHeight="15.75"/>
  <cols>
    <col min="1" max="1" width="9" style="1" customWidth="1"/>
    <col min="2" max="2" width="2.1640625" style="1" customWidth="1"/>
    <col min="3" max="3" width="75.5" style="1" bestFit="1" customWidth="1"/>
    <col min="4" max="4" width="31.1640625" style="1" customWidth="1"/>
    <col min="5" max="5" width="24.1640625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30" customWidth="1"/>
    <col min="15" max="15" width="48.83203125" style="30" customWidth="1"/>
    <col min="16" max="16" width="23.5" style="30" customWidth="1"/>
    <col min="17" max="17" width="20.5" style="30" customWidth="1"/>
    <col min="18" max="18" width="20.83203125" style="30" customWidth="1"/>
    <col min="19" max="19" width="23.6640625" style="30" bestFit="1" customWidth="1"/>
    <col min="20" max="20" width="22.1640625" style="30" bestFit="1" customWidth="1"/>
    <col min="21" max="21" width="23" style="30" bestFit="1" customWidth="1"/>
    <col min="22" max="22" width="19.83203125" style="30" customWidth="1"/>
    <col min="23" max="23" width="20.33203125" style="30" customWidth="1"/>
    <col min="24" max="24" width="23.5" style="30" bestFit="1" customWidth="1"/>
    <col min="25" max="25" width="21.6640625" style="30" bestFit="1" customWidth="1"/>
    <col min="26" max="26" width="16.1640625" style="30" customWidth="1"/>
    <col min="27" max="28" width="23.5" style="30" bestFit="1" customWidth="1"/>
    <col min="29" max="29" width="21.33203125" style="30" bestFit="1" customWidth="1"/>
    <col min="30" max="30" width="23.5" style="30" bestFit="1" customWidth="1"/>
    <col min="31" max="31" width="21.33203125" style="30" bestFit="1" customWidth="1"/>
    <col min="32" max="32" width="20.6640625" style="30" bestFit="1" customWidth="1"/>
    <col min="33" max="43" width="9.33203125" style="30"/>
    <col min="44" max="16384" width="9.33203125" style="1"/>
  </cols>
  <sheetData>
    <row r="1" spans="1:32" s="1" customFormat="1">
      <c r="A1" s="190" t="s">
        <v>185</v>
      </c>
      <c r="B1" s="191"/>
      <c r="C1" s="192"/>
      <c r="D1" s="192"/>
      <c r="E1" s="192"/>
      <c r="F1" s="192"/>
      <c r="G1" s="192"/>
      <c r="H1" s="192"/>
      <c r="I1" s="192"/>
      <c r="J1" s="192"/>
      <c r="K1" s="2"/>
      <c r="L1" s="2"/>
      <c r="M1" s="188"/>
      <c r="N1" s="20"/>
      <c r="O1" s="35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s="1" customFormat="1">
      <c r="A2" s="190" t="s">
        <v>249</v>
      </c>
      <c r="B2" s="191"/>
      <c r="C2" s="192"/>
      <c r="D2" s="192"/>
      <c r="E2" s="192"/>
      <c r="F2" s="192"/>
      <c r="G2" s="192"/>
      <c r="H2" s="192"/>
      <c r="I2" s="192"/>
      <c r="J2" s="192"/>
      <c r="K2" s="2"/>
      <c r="L2" s="2"/>
      <c r="M2" s="188"/>
      <c r="N2" s="20"/>
      <c r="O2" s="20"/>
      <c r="P2" s="37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>
      <c r="C3" s="6"/>
      <c r="D3" s="2"/>
      <c r="E3" s="3"/>
      <c r="F3" s="2"/>
      <c r="G3" s="2"/>
      <c r="H3" s="2"/>
      <c r="I3" s="4"/>
      <c r="J3" s="4"/>
      <c r="K3" s="4"/>
      <c r="L3" s="4"/>
      <c r="M3" s="4"/>
      <c r="N3" s="20"/>
      <c r="O3" s="20"/>
      <c r="P3" s="37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>
      <c r="A4" s="1" t="s">
        <v>186</v>
      </c>
      <c r="C4" s="2"/>
      <c r="D4" s="2"/>
      <c r="E4" s="7"/>
      <c r="F4" s="2"/>
      <c r="G4" s="2"/>
      <c r="H4" s="2"/>
      <c r="I4" s="4"/>
      <c r="J4" s="206" t="str">
        <f>"For the 12 months ended "&amp;TEXT('OATT Input Data'!B4,"MM/DD/YYYY")</f>
        <v>For the 12 months ended 12/31/2015</v>
      </c>
      <c r="K4" s="4"/>
      <c r="L4" s="4"/>
      <c r="M4" s="4"/>
      <c r="N4" s="20"/>
      <c r="O4" s="20"/>
      <c r="P4" s="2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>
      <c r="A5" s="207" t="s">
        <v>187</v>
      </c>
      <c r="C5" s="2"/>
      <c r="F5" s="8"/>
      <c r="G5" s="8"/>
      <c r="H5" s="8"/>
      <c r="I5" s="2"/>
      <c r="J5" s="206" t="s">
        <v>123</v>
      </c>
      <c r="K5" s="192"/>
      <c r="L5" s="192"/>
      <c r="M5" s="4"/>
      <c r="N5" s="20"/>
      <c r="O5" s="20"/>
      <c r="P5" s="2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s="1" customForma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0"/>
      <c r="O6" s="20"/>
      <c r="P6" s="2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1" customFormat="1">
      <c r="A7" s="209" t="s">
        <v>130</v>
      </c>
      <c r="B7" s="191"/>
      <c r="C7" s="192"/>
      <c r="D7" s="192"/>
      <c r="E7" s="191"/>
      <c r="F7" s="192"/>
      <c r="G7" s="192"/>
      <c r="H7" s="192"/>
      <c r="I7" s="192"/>
      <c r="J7" s="192"/>
      <c r="K7" s="2"/>
      <c r="L7" s="2"/>
      <c r="M7" s="4"/>
      <c r="N7" s="44"/>
      <c r="O7" s="44"/>
      <c r="P7" s="19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1" customFormat="1">
      <c r="C8" s="5" t="s">
        <v>18</v>
      </c>
      <c r="D8" s="5" t="s">
        <v>19</v>
      </c>
      <c r="E8" s="5" t="s">
        <v>20</v>
      </c>
      <c r="F8" s="8" t="s">
        <v>0</v>
      </c>
      <c r="G8" s="8"/>
      <c r="H8" s="383" t="s">
        <v>21</v>
      </c>
      <c r="I8" s="8"/>
      <c r="J8" s="384" t="s">
        <v>22</v>
      </c>
      <c r="K8" s="8"/>
      <c r="L8" s="5"/>
      <c r="M8" s="8"/>
      <c r="N8" s="29"/>
      <c r="O8" s="44"/>
      <c r="P8" s="1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>
      <c r="C9" s="2"/>
      <c r="D9" s="385" t="s">
        <v>23</v>
      </c>
      <c r="E9" s="8"/>
      <c r="F9" s="8"/>
      <c r="G9" s="8"/>
      <c r="H9" s="5"/>
      <c r="I9" s="8"/>
      <c r="J9" s="386" t="s">
        <v>24</v>
      </c>
      <c r="K9" s="8"/>
      <c r="L9" s="5"/>
      <c r="M9" s="8"/>
      <c r="N9" s="29"/>
      <c r="O9" s="29"/>
      <c r="P9" s="1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>
      <c r="A10" s="5" t="s">
        <v>1</v>
      </c>
      <c r="C10" s="2"/>
      <c r="D10" s="387" t="s">
        <v>25</v>
      </c>
      <c r="E10" s="386" t="s">
        <v>26</v>
      </c>
      <c r="F10" s="388"/>
      <c r="G10" s="386" t="s">
        <v>27</v>
      </c>
      <c r="I10" s="388"/>
      <c r="J10" s="389" t="s">
        <v>28</v>
      </c>
      <c r="K10" s="8"/>
      <c r="L10" s="5"/>
      <c r="M10" s="4"/>
      <c r="N10" s="29"/>
      <c r="O10" s="29"/>
      <c r="P10" s="1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16.5" thickBot="1">
      <c r="A11" s="10" t="s">
        <v>3</v>
      </c>
      <c r="C11" s="390" t="s">
        <v>29</v>
      </c>
      <c r="D11" s="8"/>
      <c r="E11" s="8"/>
      <c r="F11" s="8"/>
      <c r="G11" s="8"/>
      <c r="H11" s="8"/>
      <c r="I11" s="8"/>
      <c r="J11" s="8"/>
      <c r="K11" s="8"/>
      <c r="L11" s="8"/>
      <c r="M11" s="4"/>
      <c r="N11" s="44"/>
      <c r="O11" s="44"/>
      <c r="P11" s="1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>
      <c r="A12" s="5"/>
      <c r="C12" s="2"/>
      <c r="D12" s="8"/>
      <c r="E12" s="8"/>
      <c r="F12" s="8"/>
      <c r="G12" s="8"/>
      <c r="H12" s="8"/>
      <c r="I12" s="8"/>
      <c r="J12" s="8"/>
      <c r="K12" s="8"/>
      <c r="L12" s="8"/>
      <c r="M12" s="4"/>
      <c r="N12" s="44"/>
      <c r="O12" s="44"/>
      <c r="P12" s="19"/>
      <c r="Q12" s="30"/>
      <c r="R12" s="30"/>
      <c r="S12" s="123"/>
      <c r="T12" s="123"/>
      <c r="U12" s="30"/>
      <c r="V12" s="30"/>
      <c r="W12" s="30"/>
      <c r="X12" s="30"/>
      <c r="Y12" s="30"/>
      <c r="Z12" s="30"/>
      <c r="AA12" s="30"/>
      <c r="AB12" s="124"/>
      <c r="AC12" s="30"/>
      <c r="AD12" s="30"/>
      <c r="AE12" s="30"/>
      <c r="AF12" s="30"/>
    </row>
    <row r="13" spans="1:32" s="1" customFormat="1">
      <c r="A13" s="5"/>
      <c r="C13" s="2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4"/>
      <c r="N13" s="44"/>
      <c r="O13" s="44"/>
      <c r="P13" s="19"/>
      <c r="Q13" s="30"/>
      <c r="R13" s="30"/>
      <c r="S13" s="19"/>
      <c r="T13" s="124"/>
      <c r="U13" s="19"/>
      <c r="V13" s="124"/>
      <c r="W13" s="30"/>
      <c r="X13" s="30"/>
      <c r="Y13" s="30"/>
      <c r="Z13" s="30"/>
      <c r="AA13" s="30"/>
      <c r="AB13" s="63"/>
      <c r="AC13" s="124"/>
      <c r="AD13" s="125"/>
      <c r="AE13" s="125"/>
      <c r="AF13" s="125"/>
    </row>
    <row r="14" spans="1:32" s="1" customFormat="1">
      <c r="A14" s="5">
        <v>1</v>
      </c>
      <c r="C14" s="2" t="s">
        <v>31</v>
      </c>
      <c r="D14" s="184" t="s">
        <v>175</v>
      </c>
      <c r="E14" s="128">
        <f>'OATT Input Data'!$E$111</f>
        <v>9280392053</v>
      </c>
      <c r="F14" s="8"/>
      <c r="G14" s="8" t="s">
        <v>32</v>
      </c>
      <c r="H14" s="391"/>
      <c r="I14" s="8"/>
      <c r="J14" s="128"/>
      <c r="K14" s="8"/>
      <c r="L14" s="8"/>
      <c r="M14" s="4"/>
      <c r="N14" s="126"/>
      <c r="O14" s="44"/>
      <c r="P14" s="44"/>
      <c r="Q14" s="44"/>
      <c r="R14" s="44"/>
      <c r="S14" s="127"/>
      <c r="T14" s="128"/>
      <c r="U14" s="127"/>
      <c r="V14" s="128"/>
      <c r="W14" s="30"/>
      <c r="X14" s="30"/>
      <c r="Y14" s="30"/>
      <c r="Z14" s="30"/>
      <c r="AA14" s="30"/>
      <c r="AB14" s="63"/>
      <c r="AC14" s="63"/>
      <c r="AD14" s="63"/>
      <c r="AE14" s="63"/>
      <c r="AF14" s="63"/>
    </row>
    <row r="15" spans="1:32" s="1" customFormat="1">
      <c r="A15" s="5">
        <v>2</v>
      </c>
      <c r="C15" s="2" t="s">
        <v>33</v>
      </c>
      <c r="D15" s="184" t="s">
        <v>176</v>
      </c>
      <c r="E15" s="392">
        <f>'OATT Input Data'!$E$112</f>
        <v>1189651345</v>
      </c>
      <c r="F15" s="8"/>
      <c r="G15" s="8" t="s">
        <v>9</v>
      </c>
      <c r="H15" s="391">
        <f>'PTP Pg 4 of 5'!$J$16</f>
        <v>0.95574999999999999</v>
      </c>
      <c r="I15" s="8"/>
      <c r="J15" s="128">
        <f>ROUND(E15*H15,0)</f>
        <v>1137009273</v>
      </c>
      <c r="K15" s="8"/>
      <c r="L15" s="8"/>
      <c r="M15" s="4"/>
      <c r="N15" s="30"/>
      <c r="O15" s="44"/>
      <c r="P15" s="44"/>
      <c r="Q15" s="44"/>
      <c r="R15" s="44"/>
      <c r="S15" s="127"/>
      <c r="T15" s="128"/>
      <c r="U15" s="127"/>
      <c r="V15" s="128"/>
      <c r="W15" s="30"/>
      <c r="X15" s="30"/>
      <c r="Y15" s="30"/>
      <c r="Z15" s="30"/>
      <c r="AA15" s="30"/>
      <c r="AB15" s="63"/>
      <c r="AC15" s="63"/>
      <c r="AD15" s="63"/>
      <c r="AE15" s="63"/>
      <c r="AF15" s="63"/>
    </row>
    <row r="16" spans="1:32" s="1" customFormat="1">
      <c r="A16" s="5">
        <v>3</v>
      </c>
      <c r="C16" s="2" t="s">
        <v>34</v>
      </c>
      <c r="D16" s="184" t="s">
        <v>177</v>
      </c>
      <c r="E16" s="46">
        <f>'OATT Input Data'!$E$113</f>
        <v>2895042841</v>
      </c>
      <c r="F16" s="8"/>
      <c r="G16" s="8" t="s">
        <v>32</v>
      </c>
      <c r="H16" s="391"/>
      <c r="I16" s="8"/>
      <c r="J16" s="46"/>
      <c r="K16" s="8"/>
      <c r="L16" s="8"/>
      <c r="M16" s="4"/>
      <c r="N16" s="30"/>
      <c r="O16" s="44"/>
      <c r="P16" s="44"/>
      <c r="Q16" s="44"/>
      <c r="R16" s="44"/>
      <c r="S16" s="127"/>
      <c r="T16" s="128"/>
      <c r="U16" s="127"/>
      <c r="V16" s="128"/>
      <c r="W16" s="30"/>
      <c r="X16" s="30"/>
      <c r="Y16" s="30"/>
      <c r="Z16" s="30"/>
      <c r="AA16" s="30"/>
      <c r="AB16" s="63"/>
      <c r="AC16" s="30"/>
      <c r="AD16" s="30"/>
      <c r="AE16" s="30"/>
      <c r="AF16" s="30"/>
    </row>
    <row r="17" spans="1:31" s="1" customFormat="1">
      <c r="A17" s="5">
        <v>4</v>
      </c>
      <c r="C17" s="2" t="s">
        <v>35</v>
      </c>
      <c r="D17" s="184" t="s">
        <v>178</v>
      </c>
      <c r="E17" s="46">
        <f>'OATT Input Data'!$E$114+'OATT Input Data'!$E$110</f>
        <v>287728120</v>
      </c>
      <c r="F17" s="8"/>
      <c r="G17" s="8" t="s">
        <v>36</v>
      </c>
      <c r="H17" s="391">
        <f>'PTP Pg 4 of 5'!$J$33</f>
        <v>6.5890000000000004E-2</v>
      </c>
      <c r="I17" s="8"/>
      <c r="J17" s="46">
        <f>ROUND(E17*H17,0)</f>
        <v>18958406</v>
      </c>
      <c r="K17" s="8"/>
      <c r="L17" s="8"/>
      <c r="M17" s="8"/>
      <c r="N17" s="30"/>
      <c r="O17" s="129"/>
      <c r="P17" s="44"/>
      <c r="Q17" s="44"/>
      <c r="R17" s="44"/>
      <c r="S17" s="127"/>
      <c r="T17" s="128"/>
      <c r="U17" s="127"/>
      <c r="V17" s="128"/>
      <c r="W17" s="30"/>
      <c r="X17" s="30"/>
      <c r="Y17" s="30"/>
      <c r="Z17" s="30"/>
      <c r="AA17" s="30"/>
      <c r="AB17" s="63"/>
      <c r="AC17" s="30"/>
      <c r="AD17" s="30"/>
      <c r="AE17" s="30"/>
    </row>
    <row r="18" spans="1:31" s="1" customFormat="1" ht="18">
      <c r="A18" s="5">
        <v>5</v>
      </c>
      <c r="C18" s="2" t="s">
        <v>37</v>
      </c>
      <c r="D18" s="184" t="s">
        <v>179</v>
      </c>
      <c r="E18" s="393">
        <f>'OATT Input Data'!$E$115</f>
        <v>186160467.5</v>
      </c>
      <c r="F18" s="8"/>
      <c r="G18" s="8" t="s">
        <v>38</v>
      </c>
      <c r="H18" s="391">
        <f>'PTP Pg 4 of 5'!$J$41</f>
        <v>6.0560000000000003E-2</v>
      </c>
      <c r="I18" s="8"/>
      <c r="J18" s="393">
        <f>ROUND(E18*H18,0)</f>
        <v>11273878</v>
      </c>
      <c r="K18" s="8"/>
      <c r="L18" s="8"/>
      <c r="M18" s="8"/>
      <c r="N18" s="30"/>
      <c r="O18" s="525"/>
      <c r="P18" s="44"/>
      <c r="Q18" s="44"/>
      <c r="R18" s="44"/>
      <c r="S18" s="127"/>
      <c r="T18" s="128"/>
      <c r="U18" s="127"/>
      <c r="V18" s="128"/>
      <c r="W18" s="30"/>
      <c r="X18" s="30"/>
      <c r="Y18" s="30"/>
      <c r="Z18" s="30"/>
      <c r="AA18" s="30"/>
      <c r="AB18" s="63"/>
      <c r="AC18" s="30"/>
      <c r="AD18" s="30"/>
      <c r="AE18" s="30"/>
    </row>
    <row r="19" spans="1:31" s="1" customFormat="1">
      <c r="A19" s="5">
        <v>6</v>
      </c>
      <c r="C19" s="7" t="s">
        <v>173</v>
      </c>
      <c r="D19" s="187" t="s">
        <v>266</v>
      </c>
      <c r="E19" s="128">
        <f>ROUND(SUM(E14:E18),0)</f>
        <v>13838974827</v>
      </c>
      <c r="F19" s="8"/>
      <c r="G19" s="8" t="s">
        <v>39</v>
      </c>
      <c r="H19" s="394">
        <f>ROUND(J19/E19,5)</f>
        <v>8.4339999999999998E-2</v>
      </c>
      <c r="I19" s="8"/>
      <c r="J19" s="128">
        <f>ROUND(SUM(J15,J17:J18),0)</f>
        <v>1167241557</v>
      </c>
      <c r="K19" s="8"/>
      <c r="L19" s="395"/>
      <c r="M19" s="4"/>
      <c r="N19" s="30"/>
      <c r="O19" s="44"/>
      <c r="P19" s="44"/>
      <c r="Q19" s="30"/>
      <c r="R19" s="30"/>
      <c r="S19" s="127"/>
      <c r="T19" s="1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>
      <c r="C20" s="2"/>
      <c r="D20" s="187"/>
      <c r="E20" s="46"/>
      <c r="F20" s="8"/>
      <c r="G20" s="8"/>
      <c r="H20" s="395"/>
      <c r="I20" s="8"/>
      <c r="J20" s="46"/>
      <c r="K20" s="8"/>
      <c r="L20" s="395"/>
      <c r="M20" s="4"/>
      <c r="N20" s="44"/>
      <c r="O20" s="44"/>
      <c r="P20" s="1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>
      <c r="C21" s="2" t="s">
        <v>40</v>
      </c>
      <c r="D21" s="187" t="s">
        <v>252</v>
      </c>
      <c r="E21" s="46"/>
      <c r="F21" s="8"/>
      <c r="G21" s="8"/>
      <c r="H21" s="8"/>
      <c r="I21" s="8"/>
      <c r="J21" s="46"/>
      <c r="K21" s="8"/>
      <c r="L21" s="8"/>
      <c r="M21" s="4"/>
      <c r="N21" s="44"/>
      <c r="O21" s="44"/>
      <c r="P21" s="30"/>
      <c r="Q21" s="30"/>
      <c r="R21" s="30"/>
      <c r="S21" s="30"/>
      <c r="T21" s="30"/>
      <c r="U21" s="30"/>
      <c r="V21" s="30"/>
      <c r="W21" s="30"/>
      <c r="X21" s="30"/>
      <c r="Y21" s="126"/>
      <c r="Z21" s="30"/>
      <c r="AA21" s="30"/>
      <c r="AB21" s="30"/>
      <c r="AC21" s="30"/>
      <c r="AD21" s="30"/>
      <c r="AE21" s="126"/>
    </row>
    <row r="22" spans="1:31" s="1" customFormat="1">
      <c r="A22" s="5">
        <v>7</v>
      </c>
      <c r="C22" s="2" t="str">
        <f>+C14</f>
        <v xml:space="preserve">  Production</v>
      </c>
      <c r="D22" s="184" t="s">
        <v>190</v>
      </c>
      <c r="E22" s="128">
        <f>SUM('OATT Input Data'!$E$121:$E$123)</f>
        <v>2804379145.21</v>
      </c>
      <c r="F22" s="8"/>
      <c r="G22" s="8" t="s">
        <v>32</v>
      </c>
      <c r="H22" s="391"/>
      <c r="I22" s="8"/>
      <c r="J22" s="128"/>
      <c r="K22" s="8"/>
      <c r="L22" s="8"/>
      <c r="M22" s="4"/>
      <c r="N22" s="44"/>
      <c r="O22" s="130"/>
      <c r="P22" s="44"/>
      <c r="Q22" s="44"/>
      <c r="R22" s="30"/>
      <c r="S22" s="127"/>
      <c r="T22" s="128"/>
      <c r="U22" s="127"/>
      <c r="V22" s="128"/>
      <c r="W22" s="30"/>
      <c r="X22" s="63"/>
      <c r="Y22" s="63"/>
      <c r="Z22" s="30"/>
      <c r="AA22" s="63"/>
      <c r="AB22" s="63"/>
      <c r="AC22" s="63"/>
      <c r="AD22" s="63"/>
      <c r="AE22" s="63"/>
    </row>
    <row r="23" spans="1:31" s="1" customFormat="1">
      <c r="A23" s="5">
        <v>8</v>
      </c>
      <c r="C23" s="2" t="str">
        <f>+C15</f>
        <v xml:space="preserve">  Transmission</v>
      </c>
      <c r="D23" s="184" t="s">
        <v>180</v>
      </c>
      <c r="E23" s="46">
        <f>'OATT Input Data'!$E$124</f>
        <v>480669533.38999999</v>
      </c>
      <c r="F23" s="8"/>
      <c r="G23" s="8" t="s">
        <v>9</v>
      </c>
      <c r="H23" s="144">
        <f>+H15</f>
        <v>0.95574999999999999</v>
      </c>
      <c r="I23" s="8"/>
      <c r="J23" s="128">
        <f>ROUND(E23*H23,0)</f>
        <v>459399907</v>
      </c>
      <c r="K23" s="8"/>
      <c r="L23" s="8"/>
      <c r="M23" s="4"/>
      <c r="N23" s="44"/>
      <c r="O23" s="50"/>
      <c r="P23" s="44"/>
      <c r="Q23" s="44"/>
      <c r="R23" s="30"/>
      <c r="S23" s="128"/>
      <c r="T23" s="128"/>
      <c r="U23" s="128"/>
      <c r="V23" s="128"/>
      <c r="W23" s="30"/>
      <c r="X23" s="63"/>
      <c r="Y23" s="63"/>
      <c r="Z23" s="30"/>
      <c r="AA23" s="63"/>
      <c r="AB23" s="63"/>
      <c r="AC23" s="63"/>
      <c r="AD23" s="63"/>
      <c r="AE23" s="63"/>
    </row>
    <row r="24" spans="1:31" s="1" customFormat="1">
      <c r="A24" s="5">
        <v>9</v>
      </c>
      <c r="C24" s="2" t="str">
        <f>+C16</f>
        <v xml:space="preserve">  Distribution</v>
      </c>
      <c r="D24" s="184" t="s">
        <v>181</v>
      </c>
      <c r="E24" s="46">
        <f>'OATT Input Data'!$E$125</f>
        <v>1098402224.73</v>
      </c>
      <c r="F24" s="8"/>
      <c r="G24" s="8" t="str">
        <f>+G16</f>
        <v>NA</v>
      </c>
      <c r="H24" s="391"/>
      <c r="I24" s="8"/>
      <c r="J24" s="46"/>
      <c r="K24" s="8"/>
      <c r="L24" s="8"/>
      <c r="M24" s="4"/>
      <c r="N24" s="44"/>
      <c r="O24" s="130"/>
      <c r="P24" s="44"/>
      <c r="Q24" s="44"/>
      <c r="R24" s="30"/>
      <c r="S24" s="127"/>
      <c r="T24" s="128"/>
      <c r="U24" s="63"/>
      <c r="V24" s="128"/>
      <c r="W24" s="30"/>
      <c r="X24" s="63"/>
      <c r="Y24" s="63"/>
      <c r="Z24" s="30"/>
      <c r="AA24" s="63"/>
      <c r="AB24" s="63"/>
      <c r="AC24" s="63"/>
      <c r="AD24" s="30"/>
      <c r="AE24" s="30"/>
    </row>
    <row r="25" spans="1:31" s="1" customFormat="1">
      <c r="A25" s="5">
        <v>10</v>
      </c>
      <c r="C25" s="2" t="str">
        <f>+C17</f>
        <v xml:space="preserve">  General &amp; Intangible</v>
      </c>
      <c r="D25" s="184" t="s">
        <v>182</v>
      </c>
      <c r="E25" s="46">
        <f>'OATT Input Data'!$E$120+'OATT Input Data'!$E$126</f>
        <v>112269946.09</v>
      </c>
      <c r="F25" s="8"/>
      <c r="G25" s="8" t="str">
        <f>+G17</f>
        <v>W/S</v>
      </c>
      <c r="H25" s="391">
        <f>+H17</f>
        <v>6.5890000000000004E-2</v>
      </c>
      <c r="I25" s="8"/>
      <c r="J25" s="46">
        <f>ROUND(E25*H25,0)</f>
        <v>7397467</v>
      </c>
      <c r="K25" s="8"/>
      <c r="L25" s="8"/>
      <c r="M25" s="4"/>
      <c r="N25" s="44"/>
      <c r="O25" s="130"/>
      <c r="P25" s="44"/>
      <c r="Q25" s="44"/>
      <c r="R25" s="30"/>
      <c r="S25" s="128"/>
      <c r="T25" s="128"/>
      <c r="U25" s="128"/>
      <c r="V25" s="128"/>
      <c r="W25" s="30"/>
      <c r="X25" s="63"/>
      <c r="Y25" s="63"/>
      <c r="Z25" s="30"/>
      <c r="AA25" s="30"/>
      <c r="AB25" s="63"/>
      <c r="AC25" s="30"/>
      <c r="AD25" s="30"/>
      <c r="AE25" s="30"/>
    </row>
    <row r="26" spans="1:31" s="1" customFormat="1" ht="18">
      <c r="A26" s="5">
        <v>11</v>
      </c>
      <c r="C26" s="2" t="str">
        <f>+C18</f>
        <v xml:space="preserve">  Common</v>
      </c>
      <c r="D26" s="184" t="s">
        <v>179</v>
      </c>
      <c r="E26" s="393">
        <f>'OATT Input Data'!$E$127</f>
        <v>104974058.37199999</v>
      </c>
      <c r="F26" s="8"/>
      <c r="G26" s="8" t="str">
        <f>+G18</f>
        <v>CE</v>
      </c>
      <c r="H26" s="391">
        <f>+H18</f>
        <v>6.0560000000000003E-2</v>
      </c>
      <c r="I26" s="8"/>
      <c r="J26" s="393">
        <f>ROUND(E26*H26,0)</f>
        <v>6357229</v>
      </c>
      <c r="K26" s="8"/>
      <c r="L26" s="8"/>
      <c r="M26" s="4"/>
      <c r="N26" s="44"/>
      <c r="O26" s="131"/>
      <c r="P26" s="44"/>
      <c r="Q26" s="44"/>
      <c r="R26" s="30"/>
      <c r="S26" s="127"/>
      <c r="T26" s="128"/>
      <c r="U26" s="63"/>
      <c r="V26" s="128"/>
      <c r="W26" s="30"/>
      <c r="X26" s="30"/>
      <c r="Y26" s="30"/>
      <c r="Z26" s="30"/>
      <c r="AA26" s="30"/>
      <c r="AB26" s="63"/>
      <c r="AC26" s="30"/>
      <c r="AD26" s="30"/>
      <c r="AE26" s="30"/>
    </row>
    <row r="27" spans="1:31" s="1" customFormat="1">
      <c r="A27" s="5">
        <v>12</v>
      </c>
      <c r="C27" s="7" t="s">
        <v>172</v>
      </c>
      <c r="D27" s="187" t="s">
        <v>267</v>
      </c>
      <c r="E27" s="128">
        <f>ROUND(SUM(E22:E26),0)</f>
        <v>4600694908</v>
      </c>
      <c r="F27" s="8"/>
      <c r="G27" s="8"/>
      <c r="H27" s="8"/>
      <c r="I27" s="8"/>
      <c r="J27" s="128">
        <f>ROUND(SUM(J23,J25:J26),0)</f>
        <v>473154603</v>
      </c>
      <c r="K27" s="8"/>
      <c r="L27" s="8"/>
      <c r="M27" s="4"/>
      <c r="N27" s="132"/>
      <c r="O27" s="29"/>
      <c r="P27" s="44"/>
      <c r="Q27" s="44"/>
      <c r="R27" s="30"/>
      <c r="S27" s="128"/>
      <c r="T27" s="128"/>
      <c r="U27" s="30"/>
      <c r="V27" s="30"/>
      <c r="W27" s="126"/>
      <c r="X27" s="63"/>
      <c r="Y27" s="30"/>
      <c r="Z27" s="30"/>
      <c r="AA27" s="30"/>
      <c r="AB27" s="63"/>
      <c r="AC27" s="30"/>
      <c r="AD27" s="30"/>
      <c r="AE27" s="30"/>
    </row>
    <row r="28" spans="1:31" s="1" customFormat="1">
      <c r="A28" s="5"/>
      <c r="D28" s="8" t="s">
        <v>0</v>
      </c>
      <c r="E28" s="46"/>
      <c r="F28" s="8"/>
      <c r="G28" s="8"/>
      <c r="H28" s="395"/>
      <c r="I28" s="8"/>
      <c r="J28" s="46"/>
      <c r="K28" s="8"/>
      <c r="L28" s="395"/>
      <c r="M28" s="4"/>
      <c r="N28" s="44"/>
      <c r="O28" s="44"/>
      <c r="P28" s="19"/>
      <c r="Q28" s="30"/>
      <c r="R28" s="30"/>
      <c r="S28" s="30"/>
      <c r="T28" s="30"/>
      <c r="U28" s="30"/>
      <c r="V28" s="30"/>
      <c r="W28" s="30"/>
      <c r="X28" s="63"/>
      <c r="Y28" s="30"/>
      <c r="Z28" s="30"/>
      <c r="AA28" s="30"/>
      <c r="AB28" s="63"/>
      <c r="AC28" s="30"/>
      <c r="AD28" s="30"/>
      <c r="AE28" s="30"/>
    </row>
    <row r="29" spans="1:31" s="1" customFormat="1">
      <c r="A29" s="5"/>
      <c r="C29" s="2" t="s">
        <v>42</v>
      </c>
      <c r="D29" s="8"/>
      <c r="E29" s="46"/>
      <c r="F29" s="8"/>
      <c r="G29" s="8"/>
      <c r="H29" s="8"/>
      <c r="I29" s="8"/>
      <c r="J29" s="46"/>
      <c r="K29" s="8"/>
      <c r="L29" s="8"/>
      <c r="M29" s="4"/>
      <c r="N29" s="44"/>
      <c r="O29" s="44"/>
      <c r="P29" s="44"/>
      <c r="Q29" s="44"/>
      <c r="R29" s="30"/>
      <c r="S29" s="127"/>
      <c r="T29" s="128"/>
      <c r="U29" s="127"/>
      <c r="V29" s="30"/>
      <c r="W29" s="30"/>
      <c r="X29" s="63"/>
      <c r="Y29" s="30"/>
      <c r="Z29" s="30"/>
      <c r="AA29" s="30"/>
      <c r="AB29" s="30"/>
      <c r="AC29" s="30"/>
      <c r="AD29" s="30"/>
      <c r="AE29" s="30"/>
    </row>
    <row r="30" spans="1:31" s="1" customFormat="1">
      <c r="A30" s="5">
        <v>13</v>
      </c>
      <c r="C30" s="2" t="str">
        <f>+C22</f>
        <v xml:space="preserve">  Production</v>
      </c>
      <c r="D30" s="187" t="s">
        <v>268</v>
      </c>
      <c r="E30" s="128">
        <f>E14-E22</f>
        <v>6476012907.79</v>
      </c>
      <c r="F30" s="8"/>
      <c r="G30" s="8"/>
      <c r="H30" s="395"/>
      <c r="I30" s="8"/>
      <c r="J30" s="128"/>
      <c r="K30" s="8"/>
      <c r="L30" s="395"/>
      <c r="M30" s="4"/>
      <c r="N30" s="44"/>
      <c r="O30" s="44"/>
      <c r="P30" s="44"/>
      <c r="Q30" s="44"/>
      <c r="R30" s="30"/>
      <c r="S30" s="127"/>
      <c r="T30" s="128"/>
      <c r="U30" s="127"/>
      <c r="V30" s="30"/>
      <c r="W30" s="30"/>
      <c r="X30" s="63"/>
      <c r="Y30" s="63"/>
      <c r="Z30" s="30"/>
      <c r="AA30" s="30"/>
      <c r="AB30" s="126"/>
      <c r="AC30" s="126"/>
      <c r="AD30" s="30"/>
      <c r="AE30" s="30"/>
    </row>
    <row r="31" spans="1:31" s="1" customFormat="1">
      <c r="A31" s="5">
        <v>14</v>
      </c>
      <c r="C31" s="2" t="str">
        <f>+C23</f>
        <v xml:space="preserve">  Transmission</v>
      </c>
      <c r="D31" s="187" t="s">
        <v>269</v>
      </c>
      <c r="E31" s="46">
        <f t="shared" ref="E31:E34" si="0">E15-E23</f>
        <v>708981811.61000001</v>
      </c>
      <c r="F31" s="8"/>
      <c r="G31" s="8"/>
      <c r="H31" s="391"/>
      <c r="I31" s="8"/>
      <c r="J31" s="128">
        <f>J15-J23</f>
        <v>677609366</v>
      </c>
      <c r="K31" s="8"/>
      <c r="L31" s="395"/>
      <c r="M31" s="4"/>
      <c r="N31" s="44"/>
      <c r="O31" s="44"/>
      <c r="P31" s="44"/>
      <c r="Q31" s="44"/>
      <c r="R31" s="30"/>
      <c r="S31" s="127"/>
      <c r="T31" s="128"/>
      <c r="U31" s="127"/>
      <c r="V31" s="30"/>
      <c r="W31" s="30"/>
      <c r="X31" s="30"/>
      <c r="Y31" s="63"/>
      <c r="Z31" s="30"/>
      <c r="AA31" s="63"/>
      <c r="AB31" s="63"/>
      <c r="AC31" s="30"/>
      <c r="AD31" s="30"/>
      <c r="AE31" s="30"/>
    </row>
    <row r="32" spans="1:31" s="1" customFormat="1">
      <c r="A32" s="5">
        <v>15</v>
      </c>
      <c r="C32" s="2" t="str">
        <f>+C24</f>
        <v xml:space="preserve">  Distribution</v>
      </c>
      <c r="D32" s="187" t="s">
        <v>270</v>
      </c>
      <c r="E32" s="46">
        <f t="shared" si="0"/>
        <v>1796640616.27</v>
      </c>
      <c r="F32" s="8"/>
      <c r="G32" s="8"/>
      <c r="H32" s="395"/>
      <c r="I32" s="8"/>
      <c r="J32" s="46"/>
      <c r="K32" s="8"/>
      <c r="L32" s="395"/>
      <c r="M32" s="4"/>
      <c r="N32" s="44"/>
      <c r="O32" s="81"/>
      <c r="P32" s="44"/>
      <c r="Q32" s="30"/>
      <c r="R32" s="126"/>
      <c r="S32" s="127"/>
      <c r="T32" s="128"/>
      <c r="U32" s="128"/>
      <c r="V32" s="30"/>
      <c r="W32" s="30"/>
      <c r="X32" s="63"/>
      <c r="Y32" s="63"/>
      <c r="Z32" s="30"/>
      <c r="AA32" s="63"/>
      <c r="AB32" s="63"/>
      <c r="AC32" s="133"/>
      <c r="AD32" s="30"/>
      <c r="AE32" s="30"/>
    </row>
    <row r="33" spans="1:28" s="1" customFormat="1">
      <c r="A33" s="5">
        <v>16</v>
      </c>
      <c r="C33" s="2" t="str">
        <f>+C25</f>
        <v xml:space="preserve">  General &amp; Intangible</v>
      </c>
      <c r="D33" s="187" t="s">
        <v>271</v>
      </c>
      <c r="E33" s="46">
        <f t="shared" si="0"/>
        <v>175458173.91</v>
      </c>
      <c r="F33" s="8"/>
      <c r="G33" s="8"/>
      <c r="H33" s="395"/>
      <c r="I33" s="8"/>
      <c r="J33" s="46">
        <f>J17-J25</f>
        <v>11560939</v>
      </c>
      <c r="K33" s="8"/>
      <c r="L33" s="395"/>
      <c r="M33" s="4"/>
      <c r="N33" s="44"/>
      <c r="O33" s="29"/>
      <c r="P33" s="19"/>
      <c r="Q33" s="30"/>
      <c r="R33" s="30"/>
      <c r="S33" s="30"/>
      <c r="T33" s="30"/>
      <c r="U33" s="30"/>
      <c r="V33" s="30"/>
      <c r="W33" s="30"/>
      <c r="X33" s="63"/>
      <c r="Y33" s="63"/>
      <c r="Z33" s="30"/>
      <c r="AA33" s="63"/>
      <c r="AB33" s="63"/>
    </row>
    <row r="34" spans="1:28" s="1" customFormat="1" ht="18">
      <c r="A34" s="5">
        <v>17</v>
      </c>
      <c r="C34" s="2" t="str">
        <f>+C26</f>
        <v xml:space="preserve">  Common</v>
      </c>
      <c r="D34" s="187" t="s">
        <v>272</v>
      </c>
      <c r="E34" s="393">
        <f t="shared" si="0"/>
        <v>81186409.128000006</v>
      </c>
      <c r="F34" s="8"/>
      <c r="G34" s="8"/>
      <c r="H34" s="395"/>
      <c r="I34" s="8"/>
      <c r="J34" s="393">
        <f>J18-J26</f>
        <v>4916649</v>
      </c>
      <c r="K34" s="8"/>
      <c r="L34" s="395"/>
      <c r="M34" s="4"/>
      <c r="N34" s="44"/>
      <c r="O34" s="29"/>
      <c r="P34" s="19"/>
      <c r="Q34" s="30"/>
      <c r="R34" s="30"/>
      <c r="S34" s="30"/>
      <c r="T34" s="30"/>
      <c r="U34" s="30"/>
      <c r="V34" s="30"/>
      <c r="W34" s="30"/>
      <c r="X34" s="63"/>
      <c r="Y34" s="30"/>
      <c r="Z34" s="30"/>
      <c r="AA34" s="30"/>
      <c r="AB34" s="63"/>
    </row>
    <row r="35" spans="1:28" s="1" customFormat="1">
      <c r="A35" s="5">
        <v>18</v>
      </c>
      <c r="C35" s="7" t="s">
        <v>171</v>
      </c>
      <c r="D35" s="187" t="s">
        <v>273</v>
      </c>
      <c r="E35" s="128">
        <f>ROUND(SUM(E30:E34),0)</f>
        <v>9238279919</v>
      </c>
      <c r="F35" s="8"/>
      <c r="G35" s="8" t="s">
        <v>321</v>
      </c>
      <c r="H35" s="394">
        <f>ROUND(J35/E35,5)</f>
        <v>7.5130000000000002E-2</v>
      </c>
      <c r="I35" s="8"/>
      <c r="J35" s="128">
        <f>ROUND(SUM(J31,J33:J34),0)</f>
        <v>694086954</v>
      </c>
      <c r="K35" s="8"/>
      <c r="L35" s="8"/>
      <c r="M35" s="4"/>
      <c r="N35" s="134"/>
      <c r="O35" s="44"/>
      <c r="P35" s="19"/>
      <c r="Q35" s="30"/>
      <c r="R35" s="30"/>
      <c r="S35" s="30"/>
      <c r="T35" s="30"/>
      <c r="U35" s="30"/>
      <c r="V35" s="30"/>
      <c r="W35" s="30"/>
      <c r="X35" s="63"/>
      <c r="Y35" s="30"/>
      <c r="Z35" s="30"/>
      <c r="AA35" s="30"/>
      <c r="AB35" s="30"/>
    </row>
    <row r="36" spans="1:28" s="1" customFormat="1">
      <c r="A36" s="5"/>
      <c r="D36" s="8"/>
      <c r="E36" s="46"/>
      <c r="F36" s="8"/>
      <c r="I36" s="8"/>
      <c r="J36" s="46"/>
      <c r="K36" s="8"/>
      <c r="L36" s="395"/>
      <c r="M36" s="4"/>
      <c r="N36" s="44"/>
      <c r="O36" s="44"/>
      <c r="P36" s="19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63"/>
    </row>
    <row r="37" spans="1:28" s="1" customFormat="1">
      <c r="A37" s="5"/>
      <c r="C37" s="7" t="s">
        <v>191</v>
      </c>
      <c r="D37" s="187" t="s">
        <v>253</v>
      </c>
      <c r="E37" s="46"/>
      <c r="F37" s="8"/>
      <c r="G37" s="8"/>
      <c r="H37" s="8"/>
      <c r="I37" s="8"/>
      <c r="J37" s="46"/>
      <c r="K37" s="8"/>
      <c r="L37" s="8"/>
      <c r="M37" s="4"/>
      <c r="N37" s="44"/>
      <c r="O37" s="44"/>
      <c r="P37" s="19"/>
      <c r="Q37" s="30"/>
      <c r="R37" s="30"/>
      <c r="S37" s="30"/>
      <c r="T37" s="30"/>
      <c r="U37" s="30"/>
      <c r="V37" s="44"/>
      <c r="W37" s="30"/>
      <c r="X37" s="30"/>
      <c r="Y37" s="30"/>
      <c r="Z37" s="30"/>
      <c r="AA37" s="30"/>
      <c r="AB37" s="30"/>
    </row>
    <row r="38" spans="1:28" s="1" customFormat="1">
      <c r="A38" s="5">
        <v>19</v>
      </c>
      <c r="C38" s="2" t="s">
        <v>44</v>
      </c>
      <c r="D38" s="184" t="s">
        <v>380</v>
      </c>
      <c r="E38" s="330">
        <f>'OATT Input Data'!$E$133*-1</f>
        <v>0</v>
      </c>
      <c r="F38" s="8"/>
      <c r="G38" s="8" t="s">
        <v>32</v>
      </c>
      <c r="H38" s="144"/>
      <c r="I38" s="8"/>
      <c r="J38" s="128"/>
      <c r="K38" s="8"/>
      <c r="L38" s="395"/>
      <c r="M38" s="4"/>
      <c r="N38" s="135"/>
      <c r="O38" s="29"/>
      <c r="P38" s="44"/>
      <c r="Q38" s="44"/>
      <c r="R38" s="30"/>
      <c r="S38" s="128"/>
      <c r="T38" s="128"/>
      <c r="U38" s="128"/>
      <c r="V38" s="128"/>
      <c r="W38" s="30"/>
      <c r="X38" s="30"/>
      <c r="Y38" s="30"/>
      <c r="Z38" s="30"/>
      <c r="AA38" s="30"/>
      <c r="AB38" s="30"/>
    </row>
    <row r="39" spans="1:28" s="1" customFormat="1">
      <c r="A39" s="5">
        <f>A38+1</f>
        <v>20</v>
      </c>
      <c r="C39" s="2" t="s">
        <v>45</v>
      </c>
      <c r="D39" s="184" t="s">
        <v>261</v>
      </c>
      <c r="E39" s="46">
        <f>'OATT Input Data'!$E$134*-1</f>
        <v>-2010522465</v>
      </c>
      <c r="F39" s="8"/>
      <c r="G39" s="8" t="s">
        <v>46</v>
      </c>
      <c r="H39" s="391">
        <f>+H35</f>
        <v>7.5130000000000002E-2</v>
      </c>
      <c r="I39" s="8"/>
      <c r="J39" s="128">
        <f t="shared" ref="J39:J46" si="1">ROUND(E39*H39,0)</f>
        <v>-151050553</v>
      </c>
      <c r="K39" s="8"/>
      <c r="L39" s="395"/>
      <c r="M39" s="4"/>
      <c r="N39" s="135"/>
      <c r="O39" s="29"/>
      <c r="P39" s="44"/>
      <c r="Q39" s="44"/>
      <c r="R39" s="30"/>
      <c r="S39" s="127"/>
      <c r="T39" s="128"/>
      <c r="U39" s="127"/>
      <c r="V39" s="128"/>
      <c r="W39" s="30"/>
      <c r="X39" s="30"/>
      <c r="Y39" s="30"/>
      <c r="Z39" s="30"/>
      <c r="AA39" s="30"/>
      <c r="AB39" s="30"/>
    </row>
    <row r="40" spans="1:28" s="1" customFormat="1">
      <c r="A40" s="5">
        <f>A39+1</f>
        <v>21</v>
      </c>
      <c r="C40" s="2" t="s">
        <v>47</v>
      </c>
      <c r="D40" s="262" t="s">
        <v>262</v>
      </c>
      <c r="E40" s="46">
        <f>'OATT Input Data'!$E$138*-1</f>
        <v>-260320730</v>
      </c>
      <c r="F40" s="8"/>
      <c r="G40" s="8" t="s">
        <v>46</v>
      </c>
      <c r="H40" s="391">
        <f>+H39</f>
        <v>7.5130000000000002E-2</v>
      </c>
      <c r="I40" s="8"/>
      <c r="J40" s="46">
        <f t="shared" si="1"/>
        <v>-19557896</v>
      </c>
      <c r="K40" s="8"/>
      <c r="L40" s="395"/>
      <c r="M40" s="4"/>
      <c r="N40" s="135"/>
      <c r="O40" s="29"/>
      <c r="P40" s="44"/>
      <c r="Q40" s="44"/>
      <c r="R40" s="30"/>
      <c r="S40" s="127"/>
      <c r="T40" s="127"/>
      <c r="U40" s="127"/>
      <c r="V40" s="127"/>
      <c r="W40" s="30"/>
      <c r="X40" s="30"/>
      <c r="Y40" s="30"/>
      <c r="Z40" s="30"/>
      <c r="AA40" s="30"/>
      <c r="AB40" s="30"/>
    </row>
    <row r="41" spans="1:28" s="1" customFormat="1">
      <c r="A41" s="5">
        <f>A40+1</f>
        <v>22</v>
      </c>
      <c r="C41" s="2" t="s">
        <v>48</v>
      </c>
      <c r="D41" s="262" t="s">
        <v>263</v>
      </c>
      <c r="E41" s="46">
        <f>'OATT Input Data'!$E$142</f>
        <v>576941127</v>
      </c>
      <c r="F41" s="8"/>
      <c r="G41" s="8" t="str">
        <f>+G40</f>
        <v>NP</v>
      </c>
      <c r="H41" s="391">
        <f>+H40</f>
        <v>7.5130000000000002E-2</v>
      </c>
      <c r="I41" s="8"/>
      <c r="J41" s="46">
        <f t="shared" si="1"/>
        <v>43345587</v>
      </c>
      <c r="K41" s="8"/>
      <c r="L41" s="395"/>
      <c r="M41" s="4"/>
      <c r="N41" s="135"/>
      <c r="O41" s="29"/>
      <c r="P41" s="44"/>
      <c r="Q41" s="44"/>
      <c r="R41" s="30"/>
      <c r="S41" s="127"/>
      <c r="T41" s="127"/>
      <c r="U41" s="127"/>
      <c r="V41" s="127"/>
      <c r="W41" s="30"/>
      <c r="X41" s="30"/>
      <c r="Y41" s="30"/>
      <c r="Z41" s="30"/>
      <c r="AA41" s="30"/>
      <c r="AB41" s="30"/>
    </row>
    <row r="42" spans="1:28" s="1" customFormat="1">
      <c r="A42" s="5">
        <f>A41+1</f>
        <v>23</v>
      </c>
      <c r="C42" s="1" t="s">
        <v>49</v>
      </c>
      <c r="D42" s="184" t="s">
        <v>264</v>
      </c>
      <c r="E42" s="396">
        <f>'OATT Input Data'!$E$143*-1</f>
        <v>0</v>
      </c>
      <c r="F42" s="8"/>
      <c r="G42" s="8" t="s">
        <v>46</v>
      </c>
      <c r="H42" s="391">
        <f>+H40</f>
        <v>7.5130000000000002E-2</v>
      </c>
      <c r="I42" s="8"/>
      <c r="J42" s="396">
        <f t="shared" si="1"/>
        <v>0</v>
      </c>
      <c r="K42" s="8"/>
      <c r="L42" s="395"/>
      <c r="M42" s="4"/>
      <c r="N42" s="136"/>
      <c r="O42" s="29"/>
      <c r="P42" s="44"/>
      <c r="Q42" s="4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s="1" customFormat="1">
      <c r="A43" s="5">
        <f t="shared" ref="A43:A47" si="2">A42+1</f>
        <v>24</v>
      </c>
      <c r="C43" s="2" t="s">
        <v>50</v>
      </c>
      <c r="D43" s="260" t="s">
        <v>287</v>
      </c>
      <c r="E43" s="396">
        <f>'OATT Input Data'!$E$156*-1</f>
        <v>-2022807.8679858125</v>
      </c>
      <c r="F43" s="8"/>
      <c r="G43" s="8" t="str">
        <f>G15</f>
        <v>TP</v>
      </c>
      <c r="H43" s="144">
        <f>H15</f>
        <v>0.95574999999999999</v>
      </c>
      <c r="I43" s="8"/>
      <c r="J43" s="396">
        <f t="shared" si="1"/>
        <v>-1933299</v>
      </c>
      <c r="K43" s="8"/>
      <c r="L43" s="395"/>
      <c r="M43" s="4"/>
      <c r="N43" s="136"/>
      <c r="O43" s="29"/>
      <c r="P43" s="44"/>
      <c r="Q43" s="44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s="1" customFormat="1">
      <c r="A44" s="5">
        <f t="shared" si="2"/>
        <v>25</v>
      </c>
      <c r="C44" s="397" t="s">
        <v>51</v>
      </c>
      <c r="D44" s="260" t="s">
        <v>287</v>
      </c>
      <c r="E44" s="46">
        <f>'OATT Input Data'!$E$163*-1</f>
        <v>-7692295.5594869489</v>
      </c>
      <c r="F44" s="8"/>
      <c r="G44" s="8"/>
      <c r="H44" s="398">
        <v>1</v>
      </c>
      <c r="I44" s="8"/>
      <c r="J44" s="46">
        <f t="shared" si="1"/>
        <v>-7692296</v>
      </c>
      <c r="K44" s="8"/>
      <c r="L44" s="395"/>
      <c r="M44" s="4"/>
      <c r="N44" s="137"/>
      <c r="O44" s="29"/>
      <c r="P44" s="44"/>
      <c r="Q44" s="44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s="1" customFormat="1">
      <c r="A45" s="5">
        <f t="shared" si="2"/>
        <v>26</v>
      </c>
      <c r="C45" s="399" t="s">
        <v>183</v>
      </c>
      <c r="E45" s="46">
        <f>'OATT Input Data'!$E$147*-1</f>
        <v>-563237.4</v>
      </c>
      <c r="F45" s="8"/>
      <c r="G45" s="8" t="str">
        <f>$G$15</f>
        <v>TP</v>
      </c>
      <c r="H45" s="144">
        <f>$H$15</f>
        <v>0.95574999999999999</v>
      </c>
      <c r="I45" s="8"/>
      <c r="J45" s="46">
        <f t="shared" si="1"/>
        <v>-538314</v>
      </c>
      <c r="K45" s="8"/>
      <c r="L45" s="395"/>
      <c r="M45" s="4"/>
      <c r="N45" s="137"/>
      <c r="O45" s="29"/>
      <c r="P45" s="44"/>
      <c r="Q45" s="44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s="1" customFormat="1" ht="18">
      <c r="A46" s="5">
        <f t="shared" si="2"/>
        <v>27</v>
      </c>
      <c r="C46" s="399" t="s">
        <v>184</v>
      </c>
      <c r="E46" s="400">
        <f>'OATT Input Data'!$E$150*-1</f>
        <v>0</v>
      </c>
      <c r="F46" s="8"/>
      <c r="G46" s="8" t="str">
        <f>$G$18</f>
        <v>CE</v>
      </c>
      <c r="H46" s="144">
        <f>$H$18</f>
        <v>6.0560000000000003E-2</v>
      </c>
      <c r="I46" s="8"/>
      <c r="J46" s="400">
        <f t="shared" si="1"/>
        <v>0</v>
      </c>
      <c r="K46" s="8"/>
      <c r="L46" s="395"/>
      <c r="M46" s="4"/>
      <c r="N46" s="137"/>
      <c r="O46" s="29"/>
      <c r="P46" s="44"/>
      <c r="Q46" s="44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s="1" customFormat="1">
      <c r="A47" s="5">
        <f t="shared" si="2"/>
        <v>28</v>
      </c>
      <c r="C47" s="7" t="s">
        <v>192</v>
      </c>
      <c r="D47" s="187" t="s">
        <v>265</v>
      </c>
      <c r="E47" s="128">
        <f>ROUND(SUM(E38:E46),0)</f>
        <v>-1704180409</v>
      </c>
      <c r="F47" s="8"/>
      <c r="G47" s="8"/>
      <c r="H47" s="8"/>
      <c r="I47" s="8"/>
      <c r="J47" s="128">
        <f>ROUND(SUM(J39:J46),0)</f>
        <v>-137426771</v>
      </c>
      <c r="K47" s="8"/>
      <c r="L47" s="8"/>
      <c r="M47" s="4"/>
      <c r="N47" s="137"/>
      <c r="O47" s="44"/>
      <c r="P47" s="19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s="1" customFormat="1">
      <c r="A48" s="5"/>
      <c r="D48" s="8"/>
      <c r="E48" s="46"/>
      <c r="F48" s="8"/>
      <c r="G48" s="8"/>
      <c r="H48" s="395"/>
      <c r="I48" s="8"/>
      <c r="J48" s="46"/>
      <c r="K48" s="8"/>
      <c r="L48" s="395"/>
      <c r="M48" s="4"/>
      <c r="N48" s="62"/>
      <c r="O48" s="44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19">
      <c r="A49" s="5">
        <f>A47+1</f>
        <v>29</v>
      </c>
      <c r="C49" s="2" t="s">
        <v>260</v>
      </c>
      <c r="D49" s="184" t="s">
        <v>335</v>
      </c>
      <c r="E49" s="330">
        <f>'OATT Input Data'!$E$165*-1</f>
        <v>0</v>
      </c>
      <c r="F49" s="8"/>
      <c r="G49" s="8" t="str">
        <f>+G23</f>
        <v>TP</v>
      </c>
      <c r="H49" s="391">
        <f>+H23</f>
        <v>0.95574999999999999</v>
      </c>
      <c r="I49" s="8"/>
      <c r="J49" s="330">
        <f>ROUND(E49*H49,0)</f>
        <v>0</v>
      </c>
      <c r="K49" s="8"/>
      <c r="L49" s="8"/>
      <c r="M49" s="4"/>
      <c r="N49" s="62"/>
      <c r="O49" s="44"/>
      <c r="P49" s="44"/>
      <c r="Q49" s="44"/>
    </row>
    <row r="50" spans="1:19">
      <c r="A50" s="5"/>
      <c r="C50" s="2"/>
      <c r="D50" s="8"/>
      <c r="E50" s="46"/>
      <c r="F50" s="8"/>
      <c r="G50" s="8"/>
      <c r="H50" s="8"/>
      <c r="I50" s="8"/>
      <c r="J50" s="46"/>
      <c r="K50" s="8"/>
      <c r="L50" s="8"/>
      <c r="M50" s="4"/>
      <c r="N50" s="62"/>
      <c r="O50" s="44"/>
      <c r="P50" s="19"/>
    </row>
    <row r="51" spans="1:19">
      <c r="A51" s="5"/>
      <c r="C51" s="7" t="s">
        <v>256</v>
      </c>
      <c r="D51" s="187" t="s">
        <v>255</v>
      </c>
      <c r="E51" s="46"/>
      <c r="F51" s="8"/>
      <c r="G51" s="8"/>
      <c r="H51" s="8"/>
      <c r="I51" s="8"/>
      <c r="J51" s="46"/>
      <c r="K51" s="8"/>
      <c r="L51" s="8"/>
      <c r="M51" s="4"/>
      <c r="N51" s="44"/>
      <c r="O51" s="44"/>
      <c r="P51" s="19"/>
    </row>
    <row r="52" spans="1:19">
      <c r="A52" s="5">
        <f>A49+1</f>
        <v>30</v>
      </c>
      <c r="C52" s="399" t="s">
        <v>169</v>
      </c>
      <c r="D52" s="80" t="s">
        <v>52</v>
      </c>
      <c r="E52" s="128">
        <f>ROUND('NITS Pg 3 of 5'!$E$22/8,0)</f>
        <v>30055438</v>
      </c>
      <c r="F52" s="8"/>
      <c r="G52" s="8"/>
      <c r="H52" s="395"/>
      <c r="I52" s="8"/>
      <c r="J52" s="128">
        <f>ROUND('NITS Pg 3 of 5'!$J$22/8,0)</f>
        <v>5923462</v>
      </c>
      <c r="K52" s="4"/>
      <c r="L52" s="395"/>
      <c r="M52" s="4"/>
      <c r="N52" s="138"/>
      <c r="O52" s="139"/>
      <c r="P52" s="19"/>
    </row>
    <row r="53" spans="1:19">
      <c r="A53" s="5">
        <f>A52+1</f>
        <v>31</v>
      </c>
      <c r="C53" s="399" t="s">
        <v>257</v>
      </c>
      <c r="D53" s="184" t="s">
        <v>383</v>
      </c>
      <c r="E53" s="46">
        <f>'OATT Input Data'!$E$172</f>
        <v>10671808.87209779</v>
      </c>
      <c r="F53" s="8"/>
      <c r="G53" s="8" t="s">
        <v>53</v>
      </c>
      <c r="H53" s="391">
        <f>'PTP Pg 4 of 5'!$J$25</f>
        <v>0.82591000000000003</v>
      </c>
      <c r="I53" s="8"/>
      <c r="J53" s="46">
        <f t="shared" ref="J53:J54" si="3">ROUND(E53*H53,0)</f>
        <v>8813954</v>
      </c>
      <c r="K53" s="8" t="s">
        <v>0</v>
      </c>
      <c r="L53" s="395"/>
      <c r="M53" s="4"/>
      <c r="N53" s="140"/>
      <c r="O53" s="139"/>
      <c r="P53" s="47"/>
      <c r="Q53" s="47"/>
    </row>
    <row r="54" spans="1:19" ht="18">
      <c r="A54" s="5">
        <f t="shared" ref="A54:A55" si="4">A53+1</f>
        <v>32</v>
      </c>
      <c r="C54" s="397" t="s">
        <v>170</v>
      </c>
      <c r="D54" s="184" t="s">
        <v>419</v>
      </c>
      <c r="E54" s="401">
        <f>'OATT Input Data'!$E$178</f>
        <v>13985848</v>
      </c>
      <c r="F54" s="8"/>
      <c r="G54" s="8" t="s">
        <v>54</v>
      </c>
      <c r="H54" s="391">
        <f>+H19</f>
        <v>8.4339999999999998E-2</v>
      </c>
      <c r="I54" s="8"/>
      <c r="J54" s="393">
        <f t="shared" si="3"/>
        <v>1179566</v>
      </c>
      <c r="K54" s="8"/>
      <c r="L54" s="395"/>
      <c r="M54" s="4"/>
      <c r="N54" s="140"/>
      <c r="O54" s="29"/>
      <c r="P54" s="47"/>
      <c r="Q54" s="47"/>
    </row>
    <row r="55" spans="1:19">
      <c r="A55" s="5">
        <f t="shared" si="4"/>
        <v>33</v>
      </c>
      <c r="C55" s="7" t="s">
        <v>193</v>
      </c>
      <c r="D55" s="187" t="str">
        <f>"Sum of Ls. "&amp;A52&amp;" - "&amp;A54</f>
        <v>Sum of Ls. 30 - 32</v>
      </c>
      <c r="E55" s="128">
        <f>ROUND(SUM(E52:E54),0)</f>
        <v>54713095</v>
      </c>
      <c r="F55" s="4"/>
      <c r="G55" s="4"/>
      <c r="H55" s="4"/>
      <c r="I55" s="4"/>
      <c r="J55" s="128">
        <f>ROUND(SUM(J52:J54),0)</f>
        <v>15916982</v>
      </c>
      <c r="K55" s="4"/>
      <c r="L55" s="4"/>
      <c r="M55" s="4"/>
      <c r="N55" s="132"/>
      <c r="O55" s="44"/>
      <c r="P55" s="19"/>
    </row>
    <row r="56" spans="1:19">
      <c r="D56" s="8"/>
      <c r="E56" s="46"/>
      <c r="F56" s="8"/>
      <c r="G56" s="8"/>
      <c r="H56" s="8"/>
      <c r="I56" s="8"/>
      <c r="J56" s="46"/>
      <c r="K56" s="8"/>
      <c r="L56" s="8"/>
      <c r="M56" s="4"/>
      <c r="N56" s="44"/>
      <c r="O56" s="44"/>
      <c r="P56" s="19"/>
    </row>
    <row r="57" spans="1:19">
      <c r="A57" s="5">
        <f>A55+1</f>
        <v>34</v>
      </c>
      <c r="C57" s="2" t="s">
        <v>258</v>
      </c>
      <c r="D57" s="187" t="s">
        <v>259</v>
      </c>
      <c r="E57" s="402">
        <f>ROUND(E55+E49+E47+E35,0)</f>
        <v>7588812605</v>
      </c>
      <c r="F57" s="8"/>
      <c r="G57" s="8"/>
      <c r="H57" s="395"/>
      <c r="I57" s="8"/>
      <c r="J57" s="402">
        <f>ROUND(J55+J49+J47+J35,0)</f>
        <v>572577165</v>
      </c>
      <c r="K57" s="8"/>
      <c r="L57" s="395"/>
      <c r="M57" s="8"/>
      <c r="N57" s="44"/>
      <c r="O57" s="44"/>
      <c r="P57" s="19"/>
    </row>
    <row r="58" spans="1:19">
      <c r="A58" s="5"/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44"/>
      <c r="O58" s="44"/>
      <c r="P58" s="19"/>
    </row>
    <row r="59" spans="1:19">
      <c r="Q59" s="79"/>
      <c r="R59" s="79"/>
      <c r="S59" s="79"/>
    </row>
    <row r="60" spans="1:19">
      <c r="Q60" s="79"/>
      <c r="R60" s="79"/>
      <c r="S60" s="79"/>
    </row>
    <row r="61" spans="1:19">
      <c r="Q61" s="79"/>
      <c r="R61" s="79"/>
      <c r="S61" s="79"/>
    </row>
    <row r="62" spans="1:19">
      <c r="Q62" s="79"/>
      <c r="R62" s="79"/>
      <c r="S62" s="79"/>
    </row>
    <row r="63" spans="1:19">
      <c r="Q63" s="79"/>
      <c r="R63" s="79"/>
      <c r="S63" s="79"/>
    </row>
    <row r="64" spans="1:19">
      <c r="Q64" s="79"/>
      <c r="R64" s="79"/>
      <c r="S64" s="79"/>
    </row>
    <row r="65" spans="17:43" s="1" customFormat="1">
      <c r="Q65" s="79"/>
      <c r="R65" s="79"/>
      <c r="S65" s="7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7:43" s="1" customFormat="1">
      <c r="Q66" s="79"/>
      <c r="R66" s="79"/>
      <c r="S66" s="79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7:43" s="1" customFormat="1">
      <c r="Q67" s="79"/>
      <c r="R67" s="79"/>
      <c r="S67" s="7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7:43" s="1" customFormat="1">
      <c r="Q68" s="79"/>
      <c r="R68" s="79"/>
      <c r="S68" s="79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7:43" s="1" customFormat="1">
      <c r="Q69" s="79"/>
      <c r="R69" s="79"/>
      <c r="S69" s="7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7:43" s="1" customFormat="1">
      <c r="Q70" s="79"/>
      <c r="R70" s="79"/>
      <c r="S70" s="7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7:43" s="1" customFormat="1">
      <c r="Q71" s="79"/>
      <c r="R71" s="79"/>
      <c r="S71" s="79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7:43" s="1" customFormat="1">
      <c r="Q72" s="79"/>
      <c r="R72" s="79"/>
      <c r="S72" s="79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7:43" s="1" customFormat="1">
      <c r="Q73" s="79"/>
      <c r="R73" s="79"/>
      <c r="S73" s="7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7:43" s="1" customFormat="1">
      <c r="Q74" s="79"/>
      <c r="R74" s="79"/>
      <c r="S74" s="79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7:43" s="1" customFormat="1">
      <c r="Q75" s="79"/>
      <c r="R75" s="79"/>
      <c r="S75" s="79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7:43" s="1" customFormat="1">
      <c r="Q76" s="79"/>
      <c r="R76" s="79"/>
      <c r="S76" s="79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7:43" s="1" customFormat="1">
      <c r="Q77" s="79"/>
      <c r="R77" s="79"/>
      <c r="S77" s="79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7:43" s="1" customFormat="1">
      <c r="Q78" s="79"/>
      <c r="R78" s="79"/>
      <c r="S78" s="79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7:43" s="1" customFormat="1">
      <c r="Q79" s="79"/>
      <c r="R79" s="79"/>
      <c r="S79" s="7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7:43" s="1" customFormat="1">
      <c r="Q80" s="79"/>
      <c r="R80" s="79"/>
      <c r="S80" s="7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7:43" s="1" customFormat="1">
      <c r="Q81" s="79"/>
      <c r="R81" s="79"/>
      <c r="S81" s="7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7:43" s="1" customFormat="1">
      <c r="Q82" s="79"/>
      <c r="R82" s="79"/>
      <c r="S82" s="7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7:43" s="1" customFormat="1">
      <c r="Q83" s="79"/>
      <c r="R83" s="79"/>
      <c r="S83" s="7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7:43" s="1" customFormat="1">
      <c r="Q84" s="79"/>
      <c r="R84" s="79"/>
      <c r="S84" s="79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7:43" s="1" customFormat="1">
      <c r="Q85" s="79"/>
      <c r="R85" s="79"/>
      <c r="S85" s="79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7:43" s="1" customFormat="1">
      <c r="Q86" s="79"/>
      <c r="R86" s="79"/>
      <c r="S86" s="7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7:43" s="1" customFormat="1">
      <c r="Q87" s="79"/>
      <c r="R87" s="79"/>
      <c r="S87" s="7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7:43" s="1" customFormat="1">
      <c r="Q88" s="79"/>
      <c r="R88" s="79"/>
      <c r="S88" s="7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7:43" s="1" customFormat="1">
      <c r="Q89" s="79"/>
      <c r="R89" s="79"/>
      <c r="S89" s="7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7:43" s="1" customFormat="1">
      <c r="Q90" s="79"/>
      <c r="R90" s="79"/>
      <c r="S90" s="7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7:43" s="1" customFormat="1">
      <c r="Q91" s="79"/>
      <c r="R91" s="79"/>
      <c r="S91" s="7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7:43" s="1" customFormat="1">
      <c r="Q92" s="79"/>
      <c r="R92" s="79"/>
      <c r="S92" s="7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7:43" s="1" customFormat="1">
      <c r="Q93" s="79"/>
      <c r="R93" s="79"/>
      <c r="S93" s="7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7:43" s="1" customFormat="1">
      <c r="Q94" s="79"/>
      <c r="R94" s="79"/>
      <c r="S94" s="7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7:43" s="1" customFormat="1">
      <c r="Q95" s="79"/>
      <c r="R95" s="79"/>
      <c r="S95" s="7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7:43" s="1" customFormat="1">
      <c r="Q96" s="79"/>
      <c r="R96" s="79"/>
      <c r="S96" s="7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7:43" s="1" customFormat="1">
      <c r="Q97" s="79"/>
      <c r="R97" s="79"/>
      <c r="S97" s="7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7:43" s="1" customFormat="1">
      <c r="Q98" s="79"/>
      <c r="R98" s="79"/>
      <c r="S98" s="7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7:43" s="1" customFormat="1">
      <c r="Q99" s="79"/>
      <c r="R99" s="79"/>
      <c r="S99" s="7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7:43" s="1" customFormat="1">
      <c r="Q100" s="79"/>
      <c r="R100" s="79"/>
      <c r="S100" s="79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7:43" s="1" customFormat="1">
      <c r="Q101" s="79"/>
      <c r="R101" s="79"/>
      <c r="S101" s="79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7:43" s="1" customFormat="1">
      <c r="Q102" s="79"/>
      <c r="R102" s="79"/>
      <c r="S102" s="79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7:43" s="1" customFormat="1">
      <c r="Q103" s="79"/>
      <c r="R103" s="79"/>
      <c r="S103" s="79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7:43" s="1" customFormat="1">
      <c r="Q104" s="79"/>
      <c r="R104" s="79"/>
      <c r="S104" s="79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7:43" s="1" customFormat="1">
      <c r="Q105" s="79"/>
      <c r="R105" s="79"/>
      <c r="S105" s="79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7:43" s="1" customFormat="1">
      <c r="Q106" s="79"/>
      <c r="R106" s="79"/>
      <c r="S106" s="79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7:43" s="1" customFormat="1">
      <c r="Q107" s="79"/>
      <c r="R107" s="79"/>
      <c r="S107" s="79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7:43" s="1" customFormat="1">
      <c r="Q108" s="79"/>
      <c r="R108" s="79"/>
      <c r="S108" s="79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7:43" s="1" customFormat="1">
      <c r="Q109" s="79"/>
      <c r="R109" s="79"/>
      <c r="S109" s="79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7:43" s="1" customFormat="1">
      <c r="Q110" s="79"/>
      <c r="R110" s="79"/>
      <c r="S110" s="79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7:43" s="1" customFormat="1">
      <c r="Q111" s="79"/>
      <c r="R111" s="79"/>
      <c r="S111" s="79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7:43" s="1" customFormat="1">
      <c r="Q112" s="79"/>
      <c r="R112" s="79"/>
      <c r="S112" s="79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7:43" s="1" customFormat="1">
      <c r="Q113" s="79"/>
      <c r="R113" s="79"/>
      <c r="S113" s="79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7:43" s="1" customFormat="1">
      <c r="Q114" s="79"/>
      <c r="R114" s="79"/>
      <c r="S114" s="79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7:43" s="1" customFormat="1">
      <c r="Q115" s="79"/>
      <c r="R115" s="79"/>
      <c r="S115" s="79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7:43" s="1" customFormat="1">
      <c r="Q116" s="79"/>
      <c r="R116" s="79"/>
      <c r="S116" s="79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7:43" s="1" customFormat="1">
      <c r="Q117" s="79"/>
      <c r="R117" s="79"/>
      <c r="S117" s="79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7:43" s="1" customFormat="1">
      <c r="Q118" s="79"/>
      <c r="R118" s="79"/>
      <c r="S118" s="79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7:43" s="1" customFormat="1">
      <c r="Q119" s="79"/>
      <c r="R119" s="79"/>
      <c r="S119" s="79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7:43" s="1" customFormat="1">
      <c r="Q120" s="79"/>
      <c r="R120" s="79"/>
      <c r="S120" s="7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7:43" s="1" customFormat="1">
      <c r="Q121" s="79"/>
      <c r="R121" s="79"/>
      <c r="S121" s="79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7:43" s="1" customFormat="1">
      <c r="Q122" s="79"/>
      <c r="R122" s="79"/>
      <c r="S122" s="79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7:43" s="1" customFormat="1">
      <c r="Q123" s="79"/>
      <c r="R123" s="79"/>
      <c r="S123" s="79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7:43" s="1" customFormat="1">
      <c r="Q124" s="79"/>
      <c r="R124" s="79"/>
      <c r="S124" s="79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7:43" s="1" customFormat="1">
      <c r="Q125" s="79"/>
      <c r="R125" s="79"/>
      <c r="S125" s="79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7:43" s="1" customFormat="1">
      <c r="Q126" s="79"/>
      <c r="R126" s="79"/>
      <c r="S126" s="79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7:43" s="1" customFormat="1">
      <c r="Q127" s="79"/>
      <c r="R127" s="79"/>
      <c r="S127" s="79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7:43" s="1" customFormat="1">
      <c r="Q128" s="79"/>
      <c r="R128" s="79"/>
      <c r="S128" s="79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7:43" s="1" customFormat="1">
      <c r="Q129" s="79"/>
      <c r="R129" s="79"/>
      <c r="S129" s="79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7:43" s="1" customFormat="1">
      <c r="Q130" s="79"/>
      <c r="R130" s="79"/>
      <c r="S130" s="79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7:43" s="1" customFormat="1">
      <c r="Q131" s="79"/>
      <c r="R131" s="79"/>
      <c r="S131" s="79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7:43" s="1" customFormat="1">
      <c r="Q132" s="79"/>
      <c r="R132" s="79"/>
      <c r="S132" s="79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7:43" s="1" customFormat="1">
      <c r="Q133" s="79"/>
      <c r="R133" s="79"/>
      <c r="S133" s="79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7:43" s="1" customFormat="1">
      <c r="Q134" s="79"/>
      <c r="R134" s="79"/>
      <c r="S134" s="79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7:43" s="1" customFormat="1">
      <c r="Q135" s="79"/>
      <c r="R135" s="79"/>
      <c r="S135" s="7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7:43" s="1" customFormat="1">
      <c r="Q136" s="79"/>
      <c r="R136" s="79"/>
      <c r="S136" s="79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7:43" s="1" customFormat="1">
      <c r="Q137" s="79"/>
      <c r="R137" s="79"/>
      <c r="S137" s="79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7:43" s="1" customFormat="1">
      <c r="Q138" s="79"/>
      <c r="R138" s="79"/>
      <c r="S138" s="79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7:43" s="1" customFormat="1">
      <c r="Q139" s="79"/>
      <c r="R139" s="79"/>
      <c r="S139" s="79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7:43" s="1" customFormat="1">
      <c r="Q140" s="79"/>
      <c r="R140" s="79"/>
      <c r="S140" s="79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7:43" s="1" customFormat="1">
      <c r="Q141" s="79"/>
      <c r="R141" s="79"/>
      <c r="S141" s="79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7:43" s="1" customFormat="1">
      <c r="Q142" s="79"/>
      <c r="R142" s="79"/>
      <c r="S142" s="79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7:43" s="1" customFormat="1">
      <c r="Q143" s="79"/>
      <c r="R143" s="79"/>
      <c r="S143" s="79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7:43" s="1" customFormat="1">
      <c r="Q144" s="79"/>
      <c r="R144" s="79"/>
      <c r="S144" s="79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7:43" s="1" customFormat="1">
      <c r="Q145" s="79"/>
      <c r="R145" s="79"/>
      <c r="S145" s="79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7:43" s="1" customFormat="1">
      <c r="Q146" s="79"/>
      <c r="R146" s="79"/>
      <c r="S146" s="79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7:43" s="1" customFormat="1">
      <c r="Q147" s="79"/>
      <c r="R147" s="79"/>
      <c r="S147" s="79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7:43" s="1" customFormat="1">
      <c r="Q148" s="79"/>
      <c r="R148" s="79"/>
      <c r="S148" s="7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7:43" s="1" customFormat="1">
      <c r="Q149" s="79"/>
      <c r="R149" s="79"/>
      <c r="S149" s="79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7:43" s="1" customFormat="1">
      <c r="Q150" s="79"/>
      <c r="R150" s="79"/>
      <c r="S150" s="79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7:43" s="1" customFormat="1">
      <c r="Q151" s="79"/>
      <c r="R151" s="79"/>
      <c r="S151" s="79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7:43" s="1" customFormat="1">
      <c r="Q152" s="79"/>
      <c r="R152" s="79"/>
      <c r="S152" s="79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7:43" s="1" customFormat="1">
      <c r="Q153" s="79"/>
      <c r="R153" s="79"/>
      <c r="S153" s="79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7:43" s="1" customFormat="1">
      <c r="Q154" s="79"/>
      <c r="R154" s="79"/>
      <c r="S154" s="79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7:43" s="1" customFormat="1">
      <c r="Q155" s="79"/>
      <c r="R155" s="79"/>
      <c r="S155" s="79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7:43" s="1" customFormat="1">
      <c r="Q156" s="79"/>
      <c r="R156" s="79"/>
      <c r="S156" s="79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7:43" s="1" customFormat="1">
      <c r="Q157" s="79"/>
      <c r="R157" s="79"/>
      <c r="S157" s="79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7:43" s="1" customFormat="1">
      <c r="Q158" s="79"/>
      <c r="R158" s="79"/>
      <c r="S158" s="79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7:43" s="1" customFormat="1">
      <c r="Q159" s="79"/>
      <c r="R159" s="79"/>
      <c r="S159" s="79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7:43" s="1" customFormat="1">
      <c r="Q160" s="79"/>
      <c r="R160" s="79"/>
      <c r="S160" s="79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7:43" s="1" customFormat="1">
      <c r="Q161" s="79"/>
      <c r="R161" s="79"/>
      <c r="S161" s="79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7:43" s="1" customFormat="1">
      <c r="Q162" s="79"/>
      <c r="R162" s="79"/>
      <c r="S162" s="79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7:43" s="1" customFormat="1">
      <c r="Q163" s="79"/>
      <c r="R163" s="79"/>
      <c r="S163" s="79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7:43" s="1" customFormat="1">
      <c r="Q164" s="79"/>
      <c r="R164" s="79"/>
      <c r="S164" s="79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7:43" s="1" customFormat="1">
      <c r="Q165" s="79"/>
      <c r="R165" s="79"/>
      <c r="S165" s="79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7:43" s="1" customFormat="1">
      <c r="Q166" s="79"/>
      <c r="R166" s="79"/>
      <c r="S166" s="79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7:43" s="1" customFormat="1">
      <c r="Q167" s="79"/>
      <c r="R167" s="79"/>
      <c r="S167" s="79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7:43" s="1" customFormat="1">
      <c r="Q168" s="79"/>
      <c r="R168" s="79"/>
      <c r="S168" s="79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7:43" s="1" customFormat="1">
      <c r="Q169" s="79"/>
      <c r="R169" s="79"/>
      <c r="S169" s="79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7:43" s="1" customFormat="1">
      <c r="Q170" s="79"/>
      <c r="R170" s="79"/>
      <c r="S170" s="79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7:43" s="1" customFormat="1">
      <c r="Q171" s="79"/>
      <c r="R171" s="79"/>
      <c r="S171" s="79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7:43" s="1" customFormat="1">
      <c r="Q172" s="79"/>
      <c r="R172" s="79"/>
      <c r="S172" s="79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7:43" s="1" customFormat="1">
      <c r="Q173" s="79"/>
      <c r="R173" s="79"/>
      <c r="S173" s="79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7:43" s="1" customFormat="1">
      <c r="Q174" s="79"/>
      <c r="R174" s="79"/>
      <c r="S174" s="79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7:43" s="1" customFormat="1">
      <c r="Q175" s="79"/>
      <c r="R175" s="79"/>
      <c r="S175" s="79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7:43" s="1" customFormat="1">
      <c r="Q176" s="79"/>
      <c r="R176" s="79"/>
      <c r="S176" s="79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3:19">
      <c r="Q177" s="79"/>
      <c r="R177" s="79"/>
      <c r="S177" s="79"/>
    </row>
    <row r="178" spans="3:19">
      <c r="Q178" s="79"/>
      <c r="R178" s="79"/>
      <c r="S178" s="79"/>
    </row>
    <row r="179" spans="3:19">
      <c r="Q179" s="79"/>
      <c r="R179" s="79"/>
      <c r="S179" s="79"/>
    </row>
    <row r="180" spans="3:19">
      <c r="Q180" s="79"/>
      <c r="R180" s="79"/>
      <c r="S180" s="79"/>
    </row>
    <row r="181" spans="3:19">
      <c r="Q181" s="79"/>
      <c r="R181" s="79"/>
      <c r="S181" s="79"/>
    </row>
    <row r="182" spans="3:19">
      <c r="Q182" s="79"/>
      <c r="R182" s="79"/>
      <c r="S182" s="79"/>
    </row>
    <row r="183" spans="3:19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9"/>
      <c r="O183" s="79"/>
      <c r="Q183" s="79"/>
      <c r="R183" s="79"/>
      <c r="S183" s="79"/>
    </row>
    <row r="184" spans="3:19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9"/>
      <c r="O184" s="79"/>
      <c r="P184" s="79"/>
      <c r="Q184" s="79"/>
      <c r="R184" s="79"/>
      <c r="S184" s="79"/>
    </row>
    <row r="185" spans="3:19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9"/>
      <c r="O185" s="79"/>
      <c r="P185" s="79"/>
      <c r="Q185" s="79"/>
      <c r="R185" s="79"/>
      <c r="S185" s="79"/>
    </row>
    <row r="186" spans="3:19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9"/>
      <c r="O186" s="79"/>
      <c r="P186" s="79"/>
      <c r="Q186" s="79"/>
      <c r="R186" s="79"/>
      <c r="S186" s="79"/>
    </row>
    <row r="187" spans="3:19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9"/>
      <c r="O187" s="79"/>
      <c r="P187" s="79"/>
      <c r="Q187" s="79"/>
      <c r="R187" s="79"/>
      <c r="S187" s="79"/>
    </row>
    <row r="188" spans="3:19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9"/>
      <c r="O188" s="79"/>
      <c r="P188" s="79"/>
      <c r="Q188" s="79"/>
      <c r="R188" s="79"/>
      <c r="S188" s="79"/>
    </row>
    <row r="189" spans="3:19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9"/>
      <c r="O189" s="79"/>
      <c r="P189" s="79"/>
      <c r="Q189" s="79"/>
      <c r="R189" s="79"/>
      <c r="S189" s="79"/>
    </row>
    <row r="190" spans="3:19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9"/>
      <c r="O190" s="79"/>
      <c r="P190" s="79"/>
      <c r="Q190" s="79"/>
      <c r="R190" s="79"/>
      <c r="S190" s="79"/>
    </row>
    <row r="191" spans="3:19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9"/>
      <c r="O191" s="79"/>
      <c r="P191" s="79"/>
      <c r="Q191" s="79"/>
      <c r="R191" s="79"/>
      <c r="S191" s="79"/>
    </row>
    <row r="192" spans="3:19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9"/>
      <c r="O192" s="79"/>
      <c r="P192" s="79"/>
      <c r="Q192" s="79"/>
      <c r="R192" s="79"/>
      <c r="S192" s="79"/>
    </row>
    <row r="193" spans="3:19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9"/>
      <c r="O193" s="79"/>
      <c r="P193" s="79"/>
      <c r="Q193" s="79"/>
      <c r="R193" s="79"/>
      <c r="S193" s="79"/>
    </row>
    <row r="194" spans="3:19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9"/>
      <c r="O194" s="79"/>
      <c r="P194" s="79"/>
      <c r="Q194" s="79"/>
      <c r="R194" s="79"/>
      <c r="S194" s="79"/>
    </row>
    <row r="195" spans="3:19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9"/>
      <c r="O195" s="79"/>
      <c r="P195" s="79"/>
      <c r="Q195" s="79"/>
      <c r="R195" s="79"/>
      <c r="S195" s="79"/>
    </row>
    <row r="196" spans="3:19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9"/>
      <c r="O196" s="79"/>
      <c r="P196" s="79"/>
      <c r="Q196" s="79"/>
      <c r="R196" s="79"/>
      <c r="S196" s="79"/>
    </row>
    <row r="197" spans="3:19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9"/>
      <c r="O197" s="79"/>
      <c r="P197" s="79"/>
      <c r="Q197" s="79"/>
      <c r="R197" s="79"/>
      <c r="S197" s="79"/>
    </row>
    <row r="198" spans="3:19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9"/>
      <c r="O198" s="79"/>
      <c r="P198" s="79"/>
      <c r="Q198" s="79"/>
      <c r="R198" s="79"/>
      <c r="S198" s="79"/>
    </row>
    <row r="199" spans="3:19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9"/>
      <c r="O199" s="79"/>
      <c r="P199" s="79"/>
      <c r="Q199" s="79"/>
      <c r="R199" s="79"/>
      <c r="S199" s="79"/>
    </row>
    <row r="200" spans="3:19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9"/>
      <c r="O200" s="79"/>
      <c r="P200" s="79"/>
      <c r="Q200" s="79"/>
      <c r="R200" s="79"/>
      <c r="S200" s="79"/>
    </row>
    <row r="201" spans="3:19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9"/>
      <c r="O201" s="79"/>
      <c r="P201" s="79"/>
      <c r="Q201" s="79"/>
      <c r="R201" s="79"/>
      <c r="S201" s="79"/>
    </row>
    <row r="202" spans="3:19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9"/>
      <c r="O202" s="79"/>
      <c r="P202" s="79"/>
      <c r="Q202" s="79"/>
      <c r="R202" s="79"/>
      <c r="S202" s="79"/>
    </row>
    <row r="203" spans="3:19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9"/>
      <c r="O203" s="79"/>
      <c r="P203" s="79"/>
      <c r="Q203" s="79"/>
      <c r="R203" s="79"/>
      <c r="S203" s="79"/>
    </row>
    <row r="204" spans="3:19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9"/>
      <c r="O204" s="79"/>
      <c r="P204" s="79"/>
      <c r="Q204" s="79"/>
      <c r="R204" s="79"/>
      <c r="S204" s="79"/>
    </row>
    <row r="205" spans="3:19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9"/>
      <c r="O205" s="79"/>
      <c r="P205" s="79"/>
      <c r="Q205" s="79"/>
      <c r="R205" s="79"/>
      <c r="S205" s="79"/>
    </row>
    <row r="206" spans="3:19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9"/>
      <c r="O206" s="79"/>
      <c r="P206" s="79"/>
      <c r="Q206" s="79"/>
      <c r="R206" s="79"/>
      <c r="S206" s="79"/>
    </row>
    <row r="207" spans="3:19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9"/>
      <c r="O207" s="79"/>
      <c r="P207" s="79"/>
      <c r="Q207" s="79"/>
      <c r="R207" s="79"/>
      <c r="S207" s="79"/>
    </row>
    <row r="208" spans="3:19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9"/>
      <c r="O208" s="79"/>
      <c r="P208" s="79"/>
      <c r="Q208" s="79"/>
      <c r="R208" s="79"/>
      <c r="S208" s="79"/>
    </row>
    <row r="209" spans="3:19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9"/>
      <c r="O209" s="79"/>
      <c r="P209" s="79"/>
      <c r="Q209" s="79"/>
      <c r="R209" s="79"/>
      <c r="S209" s="79"/>
    </row>
    <row r="210" spans="3:19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9"/>
      <c r="O210" s="79"/>
      <c r="P210" s="79"/>
      <c r="Q210" s="79"/>
      <c r="R210" s="79"/>
      <c r="S210" s="79"/>
    </row>
    <row r="211" spans="3:19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9"/>
      <c r="O211" s="79"/>
      <c r="P211" s="79"/>
      <c r="Q211" s="79"/>
      <c r="R211" s="79"/>
      <c r="S211" s="79"/>
    </row>
    <row r="212" spans="3:19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9"/>
      <c r="O212" s="79"/>
      <c r="P212" s="79"/>
      <c r="Q212" s="79"/>
      <c r="R212" s="79"/>
      <c r="S212" s="79"/>
    </row>
    <row r="213" spans="3:19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9"/>
      <c r="O213" s="79"/>
      <c r="P213" s="79"/>
      <c r="Q213" s="79"/>
      <c r="R213" s="79"/>
      <c r="S213" s="79"/>
    </row>
    <row r="214" spans="3:19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9"/>
      <c r="O214" s="79"/>
      <c r="P214" s="79"/>
      <c r="Q214" s="79"/>
      <c r="R214" s="79"/>
      <c r="S214" s="79"/>
    </row>
    <row r="215" spans="3:19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9"/>
      <c r="O215" s="79"/>
      <c r="P215" s="79"/>
      <c r="Q215" s="79"/>
      <c r="R215" s="79"/>
      <c r="S215" s="79"/>
    </row>
    <row r="216" spans="3:19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9"/>
      <c r="O216" s="79"/>
      <c r="P216" s="79"/>
      <c r="Q216" s="79"/>
      <c r="R216" s="79"/>
      <c r="S216" s="79"/>
    </row>
    <row r="217" spans="3:19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9"/>
      <c r="O217" s="79"/>
      <c r="P217" s="79"/>
      <c r="Q217" s="79"/>
      <c r="R217" s="79"/>
      <c r="S217" s="79"/>
    </row>
    <row r="218" spans="3:19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9"/>
      <c r="O218" s="79"/>
      <c r="P218" s="79"/>
      <c r="Q218" s="79"/>
      <c r="R218" s="79"/>
      <c r="S218" s="79"/>
    </row>
    <row r="219" spans="3:19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9"/>
      <c r="O219" s="79"/>
      <c r="P219" s="79"/>
      <c r="Q219" s="79"/>
      <c r="R219" s="79"/>
      <c r="S219" s="79"/>
    </row>
    <row r="220" spans="3:19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9"/>
      <c r="O220" s="79"/>
      <c r="P220" s="79"/>
      <c r="Q220" s="79"/>
      <c r="R220" s="79"/>
      <c r="S220" s="79"/>
    </row>
    <row r="221" spans="3:19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9"/>
      <c r="O221" s="79"/>
      <c r="P221" s="79"/>
      <c r="Q221" s="79"/>
      <c r="R221" s="79"/>
      <c r="S221" s="79"/>
    </row>
    <row r="222" spans="3:19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9"/>
      <c r="O222" s="79"/>
      <c r="P222" s="79"/>
      <c r="Q222" s="79"/>
      <c r="R222" s="79"/>
      <c r="S222" s="79"/>
    </row>
    <row r="223" spans="3:19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9"/>
      <c r="O223" s="79"/>
      <c r="P223" s="79"/>
      <c r="Q223" s="79"/>
      <c r="R223" s="79"/>
      <c r="S223" s="79"/>
    </row>
    <row r="224" spans="3:19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9"/>
      <c r="O224" s="79"/>
      <c r="P224" s="79"/>
      <c r="Q224" s="79"/>
      <c r="R224" s="79"/>
      <c r="S224" s="79"/>
    </row>
    <row r="225" spans="3:19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9"/>
      <c r="O225" s="79"/>
      <c r="P225" s="79"/>
      <c r="Q225" s="79"/>
      <c r="R225" s="79"/>
      <c r="S225" s="79"/>
    </row>
    <row r="226" spans="3:19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9"/>
      <c r="O226" s="79"/>
      <c r="P226" s="79"/>
      <c r="Q226" s="79"/>
      <c r="R226" s="79"/>
      <c r="S226" s="79"/>
    </row>
    <row r="227" spans="3:19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9"/>
      <c r="O227" s="79"/>
      <c r="P227" s="79"/>
      <c r="Q227" s="79"/>
      <c r="R227" s="79"/>
      <c r="S227" s="79"/>
    </row>
    <row r="228" spans="3:19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9"/>
      <c r="O228" s="79"/>
      <c r="P228" s="79"/>
      <c r="Q228" s="79"/>
      <c r="R228" s="79"/>
      <c r="S228" s="79"/>
    </row>
    <row r="229" spans="3:19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9"/>
      <c r="O229" s="79"/>
      <c r="P229" s="79"/>
      <c r="Q229" s="79"/>
      <c r="R229" s="79"/>
      <c r="S229" s="79"/>
    </row>
    <row r="230" spans="3:19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9"/>
      <c r="O230" s="79"/>
      <c r="P230" s="79"/>
      <c r="Q230" s="79"/>
      <c r="R230" s="79"/>
      <c r="S230" s="79"/>
    </row>
    <row r="231" spans="3:19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9"/>
      <c r="O231" s="79"/>
      <c r="P231" s="79"/>
      <c r="Q231" s="79"/>
      <c r="R231" s="79"/>
      <c r="S231" s="79"/>
    </row>
    <row r="232" spans="3:19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9"/>
      <c r="O232" s="79"/>
      <c r="P232" s="79"/>
      <c r="Q232" s="79"/>
      <c r="R232" s="79"/>
      <c r="S232" s="79"/>
    </row>
    <row r="233" spans="3:19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9"/>
      <c r="O233" s="79"/>
      <c r="P233" s="79"/>
      <c r="Q233" s="79"/>
      <c r="R233" s="79"/>
      <c r="S233" s="79"/>
    </row>
    <row r="234" spans="3:19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9"/>
      <c r="O234" s="79"/>
      <c r="P234" s="79"/>
      <c r="Q234" s="79"/>
      <c r="R234" s="79"/>
      <c r="S234" s="79"/>
    </row>
    <row r="235" spans="3:19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9"/>
      <c r="O235" s="79"/>
      <c r="P235" s="79"/>
      <c r="Q235" s="79"/>
      <c r="R235" s="79"/>
      <c r="S235" s="79"/>
    </row>
    <row r="236" spans="3:19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9"/>
      <c r="O236" s="79"/>
      <c r="P236" s="79"/>
      <c r="Q236" s="79"/>
      <c r="R236" s="79"/>
      <c r="S236" s="79"/>
    </row>
    <row r="237" spans="3:19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9"/>
      <c r="O237" s="79"/>
      <c r="P237" s="79"/>
      <c r="Q237" s="79"/>
      <c r="R237" s="79"/>
      <c r="S237" s="79"/>
    </row>
    <row r="238" spans="3:19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9"/>
      <c r="O238" s="79"/>
      <c r="P238" s="79"/>
      <c r="Q238" s="79"/>
      <c r="R238" s="79"/>
      <c r="S238" s="79"/>
    </row>
    <row r="239" spans="3:19">
      <c r="P239" s="79"/>
      <c r="Q239" s="79"/>
      <c r="R239" s="79"/>
      <c r="S239" s="79"/>
    </row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</sheetData>
  <printOptions horizontalCentered="1"/>
  <pageMargins left="0.75" right="0.75" top="0.53" bottom="0.48" header="0.5" footer="0.5"/>
  <pageSetup scale="5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Summary</vt:lpstr>
      <vt:lpstr>OATT Input Data</vt:lpstr>
      <vt:lpstr>VA Transmission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Thinh Bui-TS</cp:lastModifiedBy>
  <cp:lastPrinted>2016-05-10T19:20:39Z</cp:lastPrinted>
  <dcterms:created xsi:type="dcterms:W3CDTF">2012-11-13T18:56:46Z</dcterms:created>
  <dcterms:modified xsi:type="dcterms:W3CDTF">2016-06-07T21:41:29Z</dcterms:modified>
</cp:coreProperties>
</file>