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ERC Formula Rates\Attachment O\2014 Update\Protocol Documents\"/>
    </mc:Choice>
  </mc:AlternateContent>
  <bookViews>
    <workbookView xWindow="0" yWindow="0" windowWidth="20055" windowHeight="8805" activeTab="13"/>
  </bookViews>
  <sheets>
    <sheet name="OATT Input Data" sheetId="20" r:id="rId1"/>
    <sheet name="VA Transmission" sheetId="21" r:id="rId2"/>
    <sheet name="Summary" sheetId="22" r:id="rId3"/>
    <sheet name="NITS Pg 1 of 5" sheetId="1" r:id="rId4"/>
    <sheet name="NITS Pg 2 of 5" sheetId="3" r:id="rId5"/>
    <sheet name="NITS Pg 3 of 5" sheetId="4" r:id="rId6"/>
    <sheet name="NITS Pg 4 of 5" sheetId="5" r:id="rId7"/>
    <sheet name="PTP Pg 1 of 5" sheetId="15" r:id="rId8"/>
    <sheet name="PTP Pg 2 of 5" sheetId="16" r:id="rId9"/>
    <sheet name="PTP Pg 3 of 5" sheetId="17" r:id="rId10"/>
    <sheet name="PTP Pg 4 of 5" sheetId="18" r:id="rId11"/>
    <sheet name="Pg 5 of 5 Notes for both" sheetId="6" r:id="rId12"/>
    <sheet name="Depreciation Rates" sheetId="14" r:id="rId13"/>
    <sheet name="Sch 1" sheetId="23" r:id="rId14"/>
  </sheets>
  <definedNames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11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11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0" hidden="1">#REF!</definedName>
    <definedName name="__123Graph_B" hidden="1">#REF!</definedName>
    <definedName name="__123Graph_C" localSheetId="4" hidden="1">#REF!</definedName>
    <definedName name="__123Graph_C" localSheetId="5" hidden="1">#REF!</definedName>
    <definedName name="__123Graph_C" localSheetId="6" hidden="1">#REF!</definedName>
    <definedName name="__123Graph_C" localSheetId="11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0" hidden="1">#REF!</definedName>
    <definedName name="__123Graph_C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11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11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11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11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0" hidden="1">#REF!</definedName>
    <definedName name="__123Graph_X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11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3" hidden="1">'NITS Pg 1 of 5'!$E$10:$E$45</definedName>
    <definedName name="_xlnm._FilterDatabase" localSheetId="4" hidden="1">'NITS Pg 2 of 5'!#REF!</definedName>
    <definedName name="_xlnm._FilterDatabase" localSheetId="5" hidden="1">'NITS Pg 3 of 5'!#REF!</definedName>
    <definedName name="_xlnm._FilterDatabase" localSheetId="6" hidden="1">'NITS Pg 4 of 5'!#REF!</definedName>
    <definedName name="_xlnm._FilterDatabase" localSheetId="11" hidden="1">'Pg 5 of 5 Notes for both'!#REF!</definedName>
    <definedName name="_xlnm._FilterDatabase" localSheetId="7" hidden="1">'PTP Pg 1 of 5'!$E$10:$E$45</definedName>
    <definedName name="_xlnm._FilterDatabase" localSheetId="8" hidden="1">'PTP Pg 2 of 5'!#REF!</definedName>
    <definedName name="_xlnm._FilterDatabase" localSheetId="9" hidden="1">'PTP Pg 3 of 5'!#REF!</definedName>
    <definedName name="_xlnm._FilterDatabase" localSheetId="10" hidden="1">'PTP Pg 4 of 5'!#REF!</definedName>
    <definedName name="_xlnm._FilterDatabase" localSheetId="13" hidden="1">'Sch 1'!$E$22:$E$51</definedName>
    <definedName name="DEMVA">#REF!</definedName>
    <definedName name="_xlnm.Print_Area" localSheetId="3">'NITS Pg 1 of 5'!$A$1:$K$41</definedName>
    <definedName name="_xlnm.Print_Area" localSheetId="4">'NITS Pg 2 of 5'!$A$1:$J$57</definedName>
    <definedName name="_xlnm.Print_Area" localSheetId="5">'NITS Pg 3 of 5'!$A$1:$J$56</definedName>
    <definedName name="_xlnm.Print_Area" localSheetId="6">'NITS Pg 4 of 5'!$A$1:$K$68</definedName>
    <definedName name="_xlnm.Print_Area" localSheetId="11">'Pg 5 of 5 Notes for both'!$A$1:$L$66</definedName>
    <definedName name="_xlnm.Print_Area" localSheetId="7">'PTP Pg 1 of 5'!$A$1:$K$42</definedName>
    <definedName name="_xlnm.Print_Area" localSheetId="8">'PTP Pg 2 of 5'!$A$1:$J$57</definedName>
    <definedName name="_xlnm.Print_Area" localSheetId="9">'PTP Pg 3 of 5'!$A$1:$J$56</definedName>
    <definedName name="_xlnm.Print_Area" localSheetId="10">'PTP Pg 4 of 5'!$A$1:$K$68</definedName>
    <definedName name="_xlnm.Print_Area" localSheetId="13">'Sch 1'!$A$3:$D$33</definedName>
    <definedName name="_xlnm.Print_Area" localSheetId="1">'VA Transmission'!$A$1:$N$52</definedName>
    <definedName name="_xlnm.Print_Titles" localSheetId="3">'NITS Pg 1 of 5'!$1:$7</definedName>
    <definedName name="_xlnm.Print_Titles" localSheetId="4">'NITS Pg 2 of 5'!#REF!</definedName>
    <definedName name="_xlnm.Print_Titles" localSheetId="6">'NITS Pg 4 of 5'!#REF!</definedName>
    <definedName name="_xlnm.Print_Titles" localSheetId="11">'Pg 5 of 5 Notes for both'!#REF!</definedName>
    <definedName name="_xlnm.Print_Titles" localSheetId="7">'PTP Pg 1 of 5'!$1:$7</definedName>
    <definedName name="_xlnm.Print_Titles" localSheetId="8">'PTP Pg 2 of 5'!#REF!</definedName>
    <definedName name="_xlnm.Print_Titles" localSheetId="10">'PTP Pg 4 of 5'!#REF!</definedName>
    <definedName name="TableName">"Dummy"</definedName>
  </definedNames>
  <calcPr calcId="152511" calcMode="manual"/>
</workbook>
</file>

<file path=xl/calcChain.xml><?xml version="1.0" encoding="utf-8"?>
<calcChain xmlns="http://schemas.openxmlformats.org/spreadsheetml/2006/main">
  <c r="E43" i="16" l="1"/>
  <c r="E153" i="20"/>
  <c r="E146" i="20"/>
  <c r="E43" i="3"/>
  <c r="E144" i="20"/>
  <c r="E143" i="20"/>
  <c r="D1" i="22" l="1"/>
  <c r="C1" i="22"/>
  <c r="J67" i="18" l="1"/>
  <c r="J66" i="18"/>
  <c r="J68" i="18" s="1"/>
  <c r="J62" i="18"/>
  <c r="J61" i="18"/>
  <c r="E53" i="18"/>
  <c r="E49" i="18"/>
  <c r="E48" i="18"/>
  <c r="E47" i="18"/>
  <c r="E44" i="18"/>
  <c r="E39" i="18"/>
  <c r="E38" i="18"/>
  <c r="E37" i="18"/>
  <c r="E32" i="18"/>
  <c r="H32" i="18" s="1"/>
  <c r="E31" i="18"/>
  <c r="H31" i="18" s="1"/>
  <c r="E30" i="18"/>
  <c r="E29" i="18"/>
  <c r="J51" i="17"/>
  <c r="J15" i="17"/>
  <c r="E42" i="17"/>
  <c r="E47" i="17" s="1"/>
  <c r="E51" i="17" s="1"/>
  <c r="E36" i="17"/>
  <c r="E35" i="17"/>
  <c r="E33" i="17"/>
  <c r="E32" i="17"/>
  <c r="E27" i="17"/>
  <c r="E26" i="17"/>
  <c r="E25" i="17"/>
  <c r="E21" i="17"/>
  <c r="J21" i="17" s="1"/>
  <c r="E20" i="17"/>
  <c r="E19" i="17"/>
  <c r="E18" i="17"/>
  <c r="E17" i="17"/>
  <c r="E16" i="17"/>
  <c r="E15" i="17"/>
  <c r="J20" i="18" s="1"/>
  <c r="E14" i="17"/>
  <c r="E54" i="16"/>
  <c r="E53" i="16"/>
  <c r="E49" i="16"/>
  <c r="E46" i="16"/>
  <c r="E42" i="16"/>
  <c r="E41" i="16"/>
  <c r="E40" i="16"/>
  <c r="E26" i="16"/>
  <c r="E18" i="16"/>
  <c r="J29" i="15"/>
  <c r="J28" i="15"/>
  <c r="J27" i="15"/>
  <c r="E53" i="5"/>
  <c r="E49" i="5"/>
  <c r="E47" i="5"/>
  <c r="E44" i="5"/>
  <c r="E39" i="5"/>
  <c r="E32" i="5"/>
  <c r="H32" i="5" s="1"/>
  <c r="E31" i="5"/>
  <c r="H31" i="5" s="1"/>
  <c r="E30" i="5"/>
  <c r="E29" i="5"/>
  <c r="H29" i="5" s="1"/>
  <c r="J51" i="4"/>
  <c r="E36" i="4"/>
  <c r="E35" i="4"/>
  <c r="E33" i="4"/>
  <c r="E32" i="4"/>
  <c r="E22" i="17" l="1"/>
  <c r="E40" i="18"/>
  <c r="E38" i="4"/>
  <c r="E34" i="16"/>
  <c r="E33" i="5"/>
  <c r="E38" i="17"/>
  <c r="J19" i="18"/>
  <c r="E50" i="18"/>
  <c r="E55" i="18" s="1"/>
  <c r="E56" i="18" s="1"/>
  <c r="E28" i="17"/>
  <c r="E33" i="18"/>
  <c r="H29" i="18"/>
  <c r="E27" i="4"/>
  <c r="E26" i="4"/>
  <c r="E25" i="4"/>
  <c r="E21" i="4"/>
  <c r="J21" i="4" s="1"/>
  <c r="E20" i="4"/>
  <c r="E19" i="4"/>
  <c r="E18" i="4"/>
  <c r="E17" i="4"/>
  <c r="E16" i="4"/>
  <c r="E15" i="4"/>
  <c r="J15" i="4" s="1"/>
  <c r="E14" i="4"/>
  <c r="E54" i="3"/>
  <c r="E53" i="3"/>
  <c r="E49" i="3"/>
  <c r="E46" i="3"/>
  <c r="E42" i="3"/>
  <c r="E41" i="3"/>
  <c r="E40" i="3"/>
  <c r="E26" i="3"/>
  <c r="E18" i="3"/>
  <c r="J29" i="1"/>
  <c r="J27" i="1"/>
  <c r="E34" i="3" l="1"/>
  <c r="E28" i="4"/>
  <c r="E22" i="4"/>
  <c r="E52" i="16" s="1"/>
  <c r="E55" i="16" s="1"/>
  <c r="D24" i="23"/>
  <c r="D26" i="23" s="1"/>
  <c r="D23" i="23"/>
  <c r="D19" i="23"/>
  <c r="D18" i="23"/>
  <c r="D16" i="23"/>
  <c r="D15" i="23"/>
  <c r="D14" i="23"/>
  <c r="D13" i="23"/>
  <c r="D12" i="23"/>
  <c r="N196" i="20" l="1"/>
  <c r="E289" i="20" l="1"/>
  <c r="E288" i="20"/>
  <c r="E287" i="20"/>
  <c r="E286" i="20"/>
  <c r="E285" i="20"/>
  <c r="E284" i="20"/>
  <c r="E283" i="20"/>
  <c r="C228" i="20"/>
  <c r="E15" i="15" l="1"/>
  <c r="H54" i="18"/>
  <c r="H53" i="18"/>
  <c r="F54" i="18"/>
  <c r="F41" i="18"/>
  <c r="J12" i="18"/>
  <c r="J67" i="5"/>
  <c r="J66" i="5"/>
  <c r="C363" i="20"/>
  <c r="H54" i="5"/>
  <c r="E281" i="20"/>
  <c r="E290" i="20"/>
  <c r="E42" i="4"/>
  <c r="E47" i="4" s="1"/>
  <c r="E51" i="4" s="1"/>
  <c r="J68" i="5" l="1"/>
  <c r="J54" i="18"/>
  <c r="J21" i="18"/>
  <c r="J23" i="18" s="1"/>
  <c r="F55" i="18"/>
  <c r="J55" i="18" s="1"/>
  <c r="F53" i="18"/>
  <c r="J53" i="18" s="1"/>
  <c r="J56" i="18" l="1"/>
  <c r="E44" i="17"/>
  <c r="C187" i="20"/>
  <c r="D187" i="20"/>
  <c r="E45" i="17" l="1"/>
  <c r="E43" i="17"/>
  <c r="J20" i="5"/>
  <c r="D160" i="20"/>
  <c r="D161" i="20"/>
  <c r="E139" i="20" l="1"/>
  <c r="E94" i="20" l="1"/>
  <c r="C41" i="20" l="1"/>
  <c r="N116" i="20" l="1"/>
  <c r="E47" i="21" l="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D48" i="21" s="1"/>
  <c r="C39" i="21"/>
  <c r="C48" i="21" s="1"/>
  <c r="B39" i="21"/>
  <c r="E34" i="21"/>
  <c r="D34" i="21"/>
  <c r="C34" i="21"/>
  <c r="B34" i="21"/>
  <c r="F33" i="21"/>
  <c r="G33" i="21" s="1"/>
  <c r="F32" i="21"/>
  <c r="G32" i="21" s="1"/>
  <c r="G31" i="21"/>
  <c r="F31" i="21"/>
  <c r="F30" i="21"/>
  <c r="G30" i="21" s="1"/>
  <c r="F29" i="21"/>
  <c r="G29" i="21" s="1"/>
  <c r="F28" i="21"/>
  <c r="G28" i="21" s="1"/>
  <c r="G27" i="21"/>
  <c r="F27" i="21"/>
  <c r="F26" i="21"/>
  <c r="G26" i="21" s="1"/>
  <c r="F25" i="21"/>
  <c r="G25" i="21" s="1"/>
  <c r="E18" i="21"/>
  <c r="D18" i="21"/>
  <c r="C18" i="21"/>
  <c r="B18" i="21"/>
  <c r="F17" i="21"/>
  <c r="F16" i="21"/>
  <c r="G16" i="21" s="1"/>
  <c r="F15" i="21"/>
  <c r="F45" i="21" s="1"/>
  <c r="F14" i="21"/>
  <c r="G14" i="21" s="1"/>
  <c r="F13" i="21"/>
  <c r="F12" i="21"/>
  <c r="G12" i="21" s="1"/>
  <c r="F11" i="21"/>
  <c r="F41" i="21" s="1"/>
  <c r="F10" i="21"/>
  <c r="G10" i="21" s="1"/>
  <c r="F9" i="21"/>
  <c r="D374" i="20"/>
  <c r="C374" i="20"/>
  <c r="E372" i="20"/>
  <c r="E371" i="20"/>
  <c r="D363" i="20"/>
  <c r="D364" i="20" s="1"/>
  <c r="E314" i="20"/>
  <c r="D308" i="20"/>
  <c r="C308" i="20"/>
  <c r="D300" i="20"/>
  <c r="C300" i="20"/>
  <c r="D299" i="20"/>
  <c r="C299" i="20"/>
  <c r="D298" i="20"/>
  <c r="C298" i="20"/>
  <c r="D295" i="20"/>
  <c r="C295" i="20"/>
  <c r="D294" i="20"/>
  <c r="C294" i="20"/>
  <c r="D291" i="20"/>
  <c r="C291" i="20"/>
  <c r="E279" i="20"/>
  <c r="D277" i="20"/>
  <c r="C277" i="20"/>
  <c r="E264" i="20"/>
  <c r="E263" i="20"/>
  <c r="E38" i="5" s="1"/>
  <c r="E262" i="20"/>
  <c r="E37" i="5" s="1"/>
  <c r="E40" i="5" s="1"/>
  <c r="D257" i="20"/>
  <c r="C257" i="20"/>
  <c r="E252" i="20"/>
  <c r="E251" i="20"/>
  <c r="E250" i="20"/>
  <c r="D246" i="20"/>
  <c r="C246" i="20"/>
  <c r="E245" i="20"/>
  <c r="E244" i="20"/>
  <c r="E243" i="20"/>
  <c r="D17" i="23" s="1"/>
  <c r="D21" i="23" s="1"/>
  <c r="D28" i="23" s="1"/>
  <c r="E242" i="20"/>
  <c r="E241" i="20"/>
  <c r="E240" i="20"/>
  <c r="E239" i="20"/>
  <c r="E238" i="20"/>
  <c r="E231" i="20"/>
  <c r="D217" i="20"/>
  <c r="C217" i="20"/>
  <c r="B213" i="20"/>
  <c r="E211" i="20"/>
  <c r="E209" i="20"/>
  <c r="D208" i="20"/>
  <c r="C208" i="20"/>
  <c r="E200" i="20"/>
  <c r="E199" i="20"/>
  <c r="D197" i="20"/>
  <c r="E197" i="20" s="1"/>
  <c r="D195" i="20"/>
  <c r="C195" i="20"/>
  <c r="D194" i="20"/>
  <c r="C194" i="20"/>
  <c r="D193" i="20"/>
  <c r="C193" i="20"/>
  <c r="M150" i="20" s="1"/>
  <c r="E190" i="20"/>
  <c r="E189" i="20"/>
  <c r="E188" i="20"/>
  <c r="D182" i="20"/>
  <c r="C182" i="20"/>
  <c r="E181" i="20"/>
  <c r="E179" i="20"/>
  <c r="E177" i="20"/>
  <c r="D176" i="20"/>
  <c r="C176" i="20"/>
  <c r="E166" i="20"/>
  <c r="D164" i="20"/>
  <c r="C164" i="20"/>
  <c r="C160" i="20" s="1"/>
  <c r="C161" i="20" s="1"/>
  <c r="E163" i="20"/>
  <c r="E155" i="20"/>
  <c r="E138" i="20"/>
  <c r="E137" i="20"/>
  <c r="E134" i="20"/>
  <c r="E133" i="20"/>
  <c r="E131" i="20"/>
  <c r="D130" i="20"/>
  <c r="C130" i="20"/>
  <c r="D126" i="20"/>
  <c r="C126" i="20"/>
  <c r="E122" i="20"/>
  <c r="E121" i="20"/>
  <c r="D116" i="20"/>
  <c r="E116" i="20" s="1"/>
  <c r="D115" i="20"/>
  <c r="C115" i="20"/>
  <c r="D114" i="20"/>
  <c r="C114" i="20"/>
  <c r="D113" i="20"/>
  <c r="C113" i="20"/>
  <c r="M149" i="20" s="1"/>
  <c r="D112" i="20"/>
  <c r="C112" i="20"/>
  <c r="D111" i="20"/>
  <c r="C111" i="20"/>
  <c r="D110" i="20"/>
  <c r="C110" i="20"/>
  <c r="D109" i="20"/>
  <c r="C109" i="20"/>
  <c r="A109" i="20"/>
  <c r="I105" i="20"/>
  <c r="E104" i="20"/>
  <c r="E103" i="20"/>
  <c r="E102" i="20"/>
  <c r="E101" i="20"/>
  <c r="E100" i="20"/>
  <c r="D89" i="20"/>
  <c r="C89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D73" i="20"/>
  <c r="C73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7" i="20"/>
  <c r="D57" i="20"/>
  <c r="C57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D4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D25" i="20"/>
  <c r="C25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8" i="20"/>
  <c r="E7" i="20"/>
  <c r="E17" i="16" l="1"/>
  <c r="E17" i="3"/>
  <c r="E15" i="16"/>
  <c r="E15" i="3"/>
  <c r="E38" i="16"/>
  <c r="E38" i="3"/>
  <c r="E16" i="16"/>
  <c r="E16" i="3"/>
  <c r="E39" i="16"/>
  <c r="E39" i="3"/>
  <c r="E14" i="16"/>
  <c r="E14" i="3"/>
  <c r="E114" i="20"/>
  <c r="E291" i="20"/>
  <c r="D228" i="20"/>
  <c r="E135" i="20"/>
  <c r="E130" i="20"/>
  <c r="D105" i="20"/>
  <c r="E105" i="20" s="1"/>
  <c r="E113" i="20"/>
  <c r="E176" i="20"/>
  <c r="E246" i="20"/>
  <c r="F39" i="21"/>
  <c r="G39" i="21" s="1"/>
  <c r="F43" i="21"/>
  <c r="F47" i="21"/>
  <c r="G47" i="21" s="1"/>
  <c r="F57" i="20"/>
  <c r="E90" i="20"/>
  <c r="G41" i="21"/>
  <c r="E161" i="20"/>
  <c r="E48" i="21"/>
  <c r="G13" i="21"/>
  <c r="G11" i="21"/>
  <c r="G9" i="21"/>
  <c r="G17" i="21"/>
  <c r="G15" i="21"/>
  <c r="G45" i="21"/>
  <c r="G43" i="21"/>
  <c r="E111" i="20"/>
  <c r="N149" i="20"/>
  <c r="O149" i="20" s="1"/>
  <c r="E110" i="20"/>
  <c r="E41" i="20"/>
  <c r="E112" i="20"/>
  <c r="E193" i="20"/>
  <c r="E363" i="20"/>
  <c r="E126" i="20"/>
  <c r="E25" i="20"/>
  <c r="E73" i="20"/>
  <c r="E217" i="20"/>
  <c r="E277" i="20"/>
  <c r="E308" i="20"/>
  <c r="E374" i="20"/>
  <c r="E257" i="20"/>
  <c r="E109" i="20"/>
  <c r="E115" i="20"/>
  <c r="D196" i="20"/>
  <c r="C196" i="20"/>
  <c r="G40" i="21"/>
  <c r="E187" i="20"/>
  <c r="G34" i="21"/>
  <c r="N150" i="20"/>
  <c r="O150" i="20" s="1"/>
  <c r="F18" i="21"/>
  <c r="F34" i="21"/>
  <c r="F40" i="21"/>
  <c r="F42" i="21"/>
  <c r="G42" i="21" s="1"/>
  <c r="F44" i="21"/>
  <c r="G44" i="21" s="1"/>
  <c r="F46" i="21"/>
  <c r="G46" i="21" s="1"/>
  <c r="B48" i="21"/>
  <c r="E208" i="20"/>
  <c r="C364" i="20"/>
  <c r="E364" i="20" s="1"/>
  <c r="C297" i="20"/>
  <c r="C301" i="20" s="1"/>
  <c r="D297" i="20"/>
  <c r="D301" i="20" s="1"/>
  <c r="J23" i="15" l="1"/>
  <c r="J23" i="1"/>
  <c r="E25" i="16"/>
  <c r="E33" i="16" s="1"/>
  <c r="E25" i="3"/>
  <c r="E33" i="3" s="1"/>
  <c r="J24" i="15"/>
  <c r="J24" i="1"/>
  <c r="E45" i="16"/>
  <c r="E45" i="3"/>
  <c r="E19" i="3"/>
  <c r="E22" i="16"/>
  <c r="E30" i="16" s="1"/>
  <c r="E22" i="3"/>
  <c r="E23" i="16"/>
  <c r="E31" i="16" s="1"/>
  <c r="E23" i="3"/>
  <c r="E31" i="3" s="1"/>
  <c r="E19" i="16"/>
  <c r="J26" i="15"/>
  <c r="J26" i="1"/>
  <c r="J25" i="15"/>
  <c r="J25" i="1"/>
  <c r="E24" i="16"/>
  <c r="E32" i="16" s="1"/>
  <c r="E24" i="3"/>
  <c r="E32" i="3" s="1"/>
  <c r="E52" i="3"/>
  <c r="E55" i="3" s="1"/>
  <c r="E196" i="20"/>
  <c r="G18" i="21"/>
  <c r="F48" i="21"/>
  <c r="I151" i="20"/>
  <c r="E150" i="20" s="1"/>
  <c r="H151" i="20" s="1"/>
  <c r="E301" i="20"/>
  <c r="G48" i="21"/>
  <c r="J12" i="5" s="1"/>
  <c r="E27" i="3" l="1"/>
  <c r="E30" i="3"/>
  <c r="E35" i="3" s="1"/>
  <c r="E35" i="16"/>
  <c r="E27" i="16"/>
  <c r="J30" i="1"/>
  <c r="D30" i="23" s="1"/>
  <c r="D32" i="23" s="1"/>
  <c r="J30" i="15"/>
  <c r="E151" i="20"/>
  <c r="H53" i="5"/>
  <c r="E44" i="16" l="1"/>
  <c r="E44" i="3"/>
  <c r="C8" i="22"/>
  <c r="D8" i="22" s="1"/>
  <c r="D33" i="23"/>
  <c r="J44" i="3" l="1"/>
  <c r="E47" i="3"/>
  <c r="E57" i="3" s="1"/>
  <c r="J44" i="16"/>
  <c r="E47" i="16"/>
  <c r="E57" i="16" s="1"/>
  <c r="E54" i="17" s="1"/>
  <c r="E50" i="17" s="1"/>
  <c r="E52" i="17" s="1"/>
  <c r="E56" i="17" s="1"/>
  <c r="C26" i="16"/>
  <c r="C34" i="16" s="1"/>
  <c r="C25" i="16"/>
  <c r="C33" i="16" s="1"/>
  <c r="C24" i="16"/>
  <c r="C32" i="16" s="1"/>
  <c r="C23" i="16"/>
  <c r="C31" i="16" s="1"/>
  <c r="C22" i="16"/>
  <c r="C30" i="16" s="1"/>
  <c r="A7" i="4"/>
  <c r="G46" i="16" l="1"/>
  <c r="G45" i="16"/>
  <c r="G46" i="3" l="1"/>
  <c r="G45" i="3"/>
  <c r="E14" i="15" l="1"/>
  <c r="E48" i="5" l="1"/>
  <c r="E50" i="5" s="1"/>
  <c r="J61" i="5" l="1"/>
  <c r="J62" i="5" s="1"/>
  <c r="G36" i="17"/>
  <c r="G33" i="17"/>
  <c r="G19" i="17"/>
  <c r="G17" i="17"/>
  <c r="G18" i="17" s="1"/>
  <c r="G49" i="16"/>
  <c r="G43" i="16"/>
  <c r="G41" i="16"/>
  <c r="A39" i="16"/>
  <c r="A40" i="16" s="1"/>
  <c r="A41" i="16" s="1"/>
  <c r="A42" i="16" s="1"/>
  <c r="A43" i="16" s="1"/>
  <c r="A44" i="16" s="1"/>
  <c r="A45" i="16" s="1"/>
  <c r="A46" i="16" s="1"/>
  <c r="A47" i="16" s="1"/>
  <c r="G26" i="16"/>
  <c r="G25" i="16"/>
  <c r="G24" i="16"/>
  <c r="A49" i="16" l="1"/>
  <c r="A52" i="16" s="1"/>
  <c r="A53" i="16" l="1"/>
  <c r="A54" i="16" s="1"/>
  <c r="A55" i="16" s="1"/>
  <c r="A57" i="16" s="1"/>
  <c r="D55" i="16"/>
  <c r="G15" i="15"/>
  <c r="G16" i="15" s="1"/>
  <c r="G17" i="15" s="1"/>
  <c r="E14" i="1" l="1"/>
  <c r="G43" i="3" l="1"/>
  <c r="A39" i="3" l="1"/>
  <c r="A40" i="3" s="1"/>
  <c r="A41" i="3" s="1"/>
  <c r="A42" i="3" l="1"/>
  <c r="A43" i="3" s="1"/>
  <c r="A44" i="3" s="1"/>
  <c r="A45" i="3" s="1"/>
  <c r="A46" i="3" s="1"/>
  <c r="A47" i="3" s="1"/>
  <c r="A49" i="3" l="1"/>
  <c r="A52" i="3" s="1"/>
  <c r="A53" i="3" l="1"/>
  <c r="A54" i="3" s="1"/>
  <c r="A55" i="3" s="1"/>
  <c r="A57" i="3" s="1"/>
  <c r="D55" i="3" l="1"/>
  <c r="E15" i="1" l="1"/>
  <c r="G36" i="4"/>
  <c r="G33" i="4"/>
  <c r="G19" i="4"/>
  <c r="G17" i="4"/>
  <c r="G18" i="4" s="1"/>
  <c r="G41" i="3"/>
  <c r="G26" i="3"/>
  <c r="C26" i="3"/>
  <c r="C34" i="3" s="1"/>
  <c r="G25" i="3"/>
  <c r="C25" i="3"/>
  <c r="C33" i="3" s="1"/>
  <c r="G24" i="3"/>
  <c r="C24" i="3"/>
  <c r="C32" i="3" s="1"/>
  <c r="G49" i="3"/>
  <c r="C23" i="3"/>
  <c r="C31" i="3" s="1"/>
  <c r="C22" i="3"/>
  <c r="C30" i="3" s="1"/>
  <c r="G15" i="1"/>
  <c r="G16" i="1" s="1"/>
  <c r="G17" i="1" s="1"/>
  <c r="E55" i="5" l="1"/>
  <c r="E56" i="5" s="1"/>
  <c r="J11" i="18"/>
  <c r="F41" i="5"/>
  <c r="J14" i="18" l="1"/>
  <c r="J16" i="18" s="1"/>
  <c r="J24" i="18" s="1"/>
  <c r="J25" i="18" s="1"/>
  <c r="F55" i="5"/>
  <c r="J55" i="5" s="1"/>
  <c r="J11" i="5"/>
  <c r="J19" i="5"/>
  <c r="J21" i="5" l="1"/>
  <c r="J23" i="5" s="1"/>
  <c r="F54" i="5"/>
  <c r="J54" i="5" s="1"/>
  <c r="F53" i="5"/>
  <c r="J53" i="5" s="1"/>
  <c r="J14" i="5"/>
  <c r="J16" i="5" s="1"/>
  <c r="J24" i="5" s="1"/>
  <c r="H15" i="16"/>
  <c r="J15" i="16" s="1"/>
  <c r="H17" i="15"/>
  <c r="J17" i="15" s="1"/>
  <c r="H16" i="15"/>
  <c r="J16" i="15" s="1"/>
  <c r="H14" i="15"/>
  <c r="J14" i="15" s="1"/>
  <c r="H15" i="15"/>
  <c r="J15" i="15" s="1"/>
  <c r="F30" i="18"/>
  <c r="H30" i="18" l="1"/>
  <c r="H33" i="18" s="1"/>
  <c r="J33" i="18" s="1"/>
  <c r="H41" i="18" s="1"/>
  <c r="J41" i="18" s="1"/>
  <c r="H45" i="16"/>
  <c r="J45" i="16" s="1"/>
  <c r="J18" i="15"/>
  <c r="J56" i="5"/>
  <c r="E43" i="4" s="1"/>
  <c r="J25" i="5"/>
  <c r="E44" i="4"/>
  <c r="H25" i="17"/>
  <c r="J25" i="17" s="1"/>
  <c r="H17" i="1"/>
  <c r="J17" i="1" s="1"/>
  <c r="H15" i="3"/>
  <c r="H16" i="1"/>
  <c r="J16" i="1" s="1"/>
  <c r="H14" i="1"/>
  <c r="J14" i="1" s="1"/>
  <c r="F30" i="5"/>
  <c r="H15" i="1"/>
  <c r="J15" i="1" s="1"/>
  <c r="H30" i="5" l="1"/>
  <c r="H33" i="5" s="1"/>
  <c r="J33" i="5" s="1"/>
  <c r="E54" i="4"/>
  <c r="E50" i="4" s="1"/>
  <c r="H45" i="3"/>
  <c r="J45" i="3" s="1"/>
  <c r="J15" i="3"/>
  <c r="J18" i="1"/>
  <c r="H18" i="16"/>
  <c r="J18" i="16" s="1"/>
  <c r="H20" i="17"/>
  <c r="J20" i="17" s="1"/>
  <c r="H27" i="17"/>
  <c r="J27" i="17" s="1"/>
  <c r="E45" i="4"/>
  <c r="H17" i="17"/>
  <c r="J17" i="17" s="1"/>
  <c r="H32" i="17"/>
  <c r="J32" i="17" s="1"/>
  <c r="H16" i="17"/>
  <c r="J16" i="17" s="1"/>
  <c r="H26" i="17"/>
  <c r="J26" i="17" s="1"/>
  <c r="H18" i="17"/>
  <c r="J18" i="17" s="1"/>
  <c r="H33" i="17"/>
  <c r="J33" i="17" s="1"/>
  <c r="H17" i="16"/>
  <c r="J17" i="16" s="1"/>
  <c r="H19" i="17"/>
  <c r="J19" i="17" s="1"/>
  <c r="H14" i="17"/>
  <c r="J14" i="17" s="1"/>
  <c r="H53" i="16"/>
  <c r="J53" i="16" s="1"/>
  <c r="H25" i="4"/>
  <c r="J25" i="4" s="1"/>
  <c r="H43" i="16"/>
  <c r="J43" i="16" s="1"/>
  <c r="H23" i="16"/>
  <c r="J23" i="16" s="1"/>
  <c r="J31" i="16" s="1"/>
  <c r="H43" i="3"/>
  <c r="J43" i="3" s="1"/>
  <c r="H23" i="3"/>
  <c r="J23" i="3" s="1"/>
  <c r="J28" i="17" l="1"/>
  <c r="J22" i="17"/>
  <c r="J19" i="16"/>
  <c r="H19" i="16" s="1"/>
  <c r="J31" i="3"/>
  <c r="H46" i="16"/>
  <c r="J46" i="16" s="1"/>
  <c r="H14" i="4"/>
  <c r="J14" i="4" s="1"/>
  <c r="H33" i="4"/>
  <c r="J33" i="4" s="1"/>
  <c r="H26" i="4"/>
  <c r="J26" i="4" s="1"/>
  <c r="H17" i="4"/>
  <c r="J17" i="4" s="1"/>
  <c r="H18" i="4"/>
  <c r="J18" i="4" s="1"/>
  <c r="H16" i="4"/>
  <c r="J16" i="4" s="1"/>
  <c r="H25" i="16"/>
  <c r="J25" i="16" s="1"/>
  <c r="J33" i="16" s="1"/>
  <c r="H41" i="5"/>
  <c r="J41" i="5" s="1"/>
  <c r="H17" i="3"/>
  <c r="J17" i="3" s="1"/>
  <c r="H32" i="4"/>
  <c r="J32" i="4" s="1"/>
  <c r="H53" i="3"/>
  <c r="J53" i="3" s="1"/>
  <c r="H49" i="16"/>
  <c r="J49" i="16" s="1"/>
  <c r="H19" i="4"/>
  <c r="J19" i="4" s="1"/>
  <c r="H49" i="3"/>
  <c r="J49" i="3" s="1"/>
  <c r="E52" i="4" l="1"/>
  <c r="E56" i="4" s="1"/>
  <c r="H25" i="3"/>
  <c r="J25" i="3" s="1"/>
  <c r="J33" i="3" s="1"/>
  <c r="H20" i="4"/>
  <c r="H18" i="3"/>
  <c r="J18" i="3" s="1"/>
  <c r="H27" i="4"/>
  <c r="J27" i="4" s="1"/>
  <c r="J28" i="4" s="1"/>
  <c r="J19" i="3" l="1"/>
  <c r="J20" i="4"/>
  <c r="J22" i="4" s="1"/>
  <c r="J52" i="16" s="1"/>
  <c r="H46" i="3"/>
  <c r="J46" i="3" s="1"/>
  <c r="H26" i="16"/>
  <c r="J26" i="16" s="1"/>
  <c r="H26" i="3"/>
  <c r="J26" i="3" s="1"/>
  <c r="J34" i="3" s="1"/>
  <c r="J35" i="3" s="1"/>
  <c r="J27" i="16" l="1"/>
  <c r="J34" i="16"/>
  <c r="J35" i="16" s="1"/>
  <c r="H35" i="16" s="1"/>
  <c r="J52" i="3"/>
  <c r="J27" i="3"/>
  <c r="H19" i="3"/>
  <c r="H54" i="16"/>
  <c r="J54" i="16" s="1"/>
  <c r="J55" i="16" s="1"/>
  <c r="H37" i="17"/>
  <c r="J37" i="17" s="1"/>
  <c r="H36" i="17"/>
  <c r="J36" i="17" s="1"/>
  <c r="H35" i="17"/>
  <c r="J35" i="17" s="1"/>
  <c r="J38" i="17" l="1"/>
  <c r="H35" i="4"/>
  <c r="J35" i="4" s="1"/>
  <c r="H54" i="3"/>
  <c r="J54" i="3" s="1"/>
  <c r="J55" i="3" s="1"/>
  <c r="H36" i="4"/>
  <c r="J36" i="4" s="1"/>
  <c r="H37" i="4"/>
  <c r="J37" i="4" s="1"/>
  <c r="H39" i="16"/>
  <c r="J39" i="16" s="1"/>
  <c r="H51" i="17"/>
  <c r="J38" i="4" l="1"/>
  <c r="H35" i="3"/>
  <c r="H40" i="16"/>
  <c r="J40" i="16" s="1"/>
  <c r="H42" i="16" l="1"/>
  <c r="J42" i="16" s="1"/>
  <c r="H51" i="4"/>
  <c r="H39" i="3"/>
  <c r="J39" i="3" s="1"/>
  <c r="H41" i="16"/>
  <c r="J41" i="16" s="1"/>
  <c r="J47" i="16" l="1"/>
  <c r="J57" i="16" s="1"/>
  <c r="J54" i="17" s="1"/>
  <c r="J50" i="17" s="1"/>
  <c r="J52" i="17" s="1"/>
  <c r="J56" i="17" s="1"/>
  <c r="H40" i="3"/>
  <c r="J40" i="3" s="1"/>
  <c r="H42" i="3" l="1"/>
  <c r="J42" i="3" s="1"/>
  <c r="H41" i="3"/>
  <c r="J41" i="3" s="1"/>
  <c r="J47" i="3" l="1"/>
  <c r="J57" i="3" s="1"/>
  <c r="J54" i="4" s="1"/>
  <c r="J50" i="4" s="1"/>
  <c r="J52" i="4" s="1"/>
  <c r="J56" i="4" s="1"/>
  <c r="J11" i="15" l="1"/>
  <c r="J20" i="15" s="1"/>
  <c r="E32" i="15" s="1"/>
  <c r="E33" i="15" s="1"/>
  <c r="J11" i="1"/>
  <c r="J20" i="1" s="1"/>
  <c r="E32" i="1" s="1"/>
  <c r="E33" i="1" s="1"/>
  <c r="D7" i="22" l="1"/>
  <c r="E36" i="15"/>
  <c r="J36" i="15"/>
  <c r="E37" i="15" l="1"/>
  <c r="C6" i="22"/>
  <c r="C7" i="22"/>
  <c r="J37" i="15"/>
  <c r="J38" i="15" l="1"/>
  <c r="C5" i="22"/>
  <c r="E38" i="15"/>
  <c r="C4" i="22"/>
  <c r="C2" i="22" l="1"/>
  <c r="C3" i="22"/>
</calcChain>
</file>

<file path=xl/sharedStrings.xml><?xml version="1.0" encoding="utf-8"?>
<sst xmlns="http://schemas.openxmlformats.org/spreadsheetml/2006/main" count="1710" uniqueCount="967">
  <si>
    <t xml:space="preserve"> 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</si>
  <si>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</si>
  <si>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</si>
  <si>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</si>
  <si>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</si>
  <si>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</si>
  <si>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</si>
  <si>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</si>
  <si>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 xml:space="preserve">  Account No. 454</t>
  </si>
  <si>
    <t>TP</t>
  </si>
  <si>
    <t xml:space="preserve">  Account No. 456</t>
  </si>
  <si>
    <t xml:space="preserve">  Revenues from Grandfathered Interzonal Transactions</t>
  </si>
  <si>
    <t>NET REVENUE REQUIREMENT</t>
  </si>
  <si>
    <t xml:space="preserve">DIVISOR </t>
  </si>
  <si>
    <t>Annual Cost ($/kW/Yr)</t>
  </si>
  <si>
    <t>FERC Annual Charge($/MWh)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</si>
  <si>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</si>
  <si>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</si>
  <si>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</si>
  <si>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</si>
  <si>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</si>
  <si>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</si>
  <si>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</si>
  <si>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</si>
  <si>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</si>
  <si>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</si>
  <si>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</si>
  <si>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</si>
  <si>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</si>
  <si>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</si>
  <si>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</si>
  <si>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</si>
  <si>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</si>
  <si>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</si>
  <si>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</si>
  <si>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</si>
  <si>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</si>
  <si>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</si>
  <si>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</si>
  <si>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GP=</t>
  </si>
  <si>
    <t>ACCUMULATED DEPRECIATION</t>
  </si>
  <si>
    <t>Other</t>
  </si>
  <si>
    <t>NET PLANT IN SERVICE</t>
  </si>
  <si>
    <t>Common</t>
  </si>
  <si>
    <t xml:space="preserve">  Account No. 281 (enter negative)</t>
  </si>
  <si>
    <t xml:space="preserve">  Account No. 282 (enter negative)</t>
  </si>
  <si>
    <t>NP</t>
  </si>
  <si>
    <t xml:space="preserve">  Account No. 283 (enter negative)</t>
  </si>
  <si>
    <t xml:space="preserve">  Account No. 190 </t>
  </si>
  <si>
    <t xml:space="preserve">  Account No. 255 (enter negative)</t>
  </si>
  <si>
    <t xml:space="preserve">  Network Upgrade (enter negative)</t>
  </si>
  <si>
    <t>LSE Direct Assignment (enter negative)</t>
  </si>
  <si>
    <t>calculated</t>
  </si>
  <si>
    <t>TE</t>
  </si>
  <si>
    <t>GP</t>
  </si>
  <si>
    <t>O&amp;M</t>
  </si>
  <si>
    <t>A&amp;G</t>
  </si>
  <si>
    <t xml:space="preserve">  LABOR RELATED</t>
  </si>
  <si>
    <t>263.i</t>
  </si>
  <si>
    <t>Payroll</t>
  </si>
  <si>
    <t xml:space="preserve">  PLANT RELATED</t>
  </si>
  <si>
    <t>Property</t>
  </si>
  <si>
    <t xml:space="preserve">  </t>
  </si>
  <si>
    <t>Total Income Taxes</t>
  </si>
  <si>
    <t>TP=</t>
  </si>
  <si>
    <t xml:space="preserve">TRANSMISSION EXPENSES </t>
  </si>
  <si>
    <t>TE=</t>
  </si>
  <si>
    <t>Form 1 Reference</t>
  </si>
  <si>
    <t>W&amp;S Allocator</t>
  </si>
  <si>
    <t xml:space="preserve">  Other</t>
  </si>
  <si>
    <t>=</t>
  </si>
  <si>
    <t xml:space="preserve">  Electric</t>
  </si>
  <si>
    <t>200.3.c</t>
  </si>
  <si>
    <t xml:space="preserve">  Gas</t>
  </si>
  <si>
    <t>201.3.d</t>
  </si>
  <si>
    <t xml:space="preserve">  Water</t>
  </si>
  <si>
    <t>201.3.e</t>
  </si>
  <si>
    <t>Long Term Interest</t>
  </si>
  <si>
    <t>Proprietary Capital</t>
  </si>
  <si>
    <t>%</t>
  </si>
  <si>
    <t>Weighted</t>
  </si>
  <si>
    <t>REVENUE CREDITS</t>
  </si>
  <si>
    <t>Load</t>
  </si>
  <si>
    <t>ACCOUNT 447 (SALES FOR RESALE)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</si>
  <si>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</si>
  <si>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</si>
  <si>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</si>
  <si>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</si>
  <si>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</si>
  <si>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</si>
  <si>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</si>
  <si>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</si>
  <si>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</si>
  <si>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</si>
  <si>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</si>
  <si>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 xml:space="preserve">The FERC's annual charges for the year assessed the Transmission Owner for service under this tariff. </t>
  </si>
  <si>
    <t>F</t>
  </si>
  <si>
    <t>G</t>
  </si>
  <si>
    <t>Identified in Form 1 as being only transmission related.</t>
  </si>
  <si>
    <t>H</t>
  </si>
  <si>
    <t>I</t>
  </si>
  <si>
    <t>J</t>
  </si>
  <si>
    <t>K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</si>
  <si>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</si>
  <si>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</si>
  <si>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</si>
  <si>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</si>
  <si>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</si>
  <si>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</si>
  <si>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</si>
  <si>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Removes dollar amount of transmission expenses included in the OATT ancillary services rates, including all of Account No. 561.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</si>
  <si>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</si>
  <si>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</si>
  <si>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</si>
  <si>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</si>
  <si>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</si>
  <si>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</si>
  <si>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</si>
  <si>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>S</t>
  </si>
  <si>
    <t>T</t>
  </si>
  <si>
    <t>U</t>
  </si>
  <si>
    <t>Account 456 entry shall be the annual total of the quarterly values reported at Form 1, 330.x.n.</t>
  </si>
  <si>
    <t>V</t>
  </si>
  <si>
    <t>Page 2 of 5</t>
  </si>
  <si>
    <t>Page 3 of 5</t>
  </si>
  <si>
    <t>Page 4 of 5</t>
  </si>
  <si>
    <t>Preferred Dividends</t>
  </si>
  <si>
    <t>GROSS REVENUE REQUIREMENT</t>
  </si>
  <si>
    <t>TOTAL REVENUE CREDITS</t>
  </si>
  <si>
    <t>Development of Common Stock:</t>
  </si>
  <si>
    <t>LG&amp;E and KU</t>
  </si>
  <si>
    <t>[RESERVED]</t>
  </si>
  <si>
    <t>X</t>
  </si>
  <si>
    <t xml:space="preserve">  Average of 12 coincident system peaks for requirements (RQ) service (kW)</t>
  </si>
  <si>
    <t xml:space="preserve">  Plus 12 CP of firm bundled sales over one year not in line 8 (kW)</t>
  </si>
  <si>
    <t xml:space="preserve">  Plus 12 CP of Network Load not in line 8 (kW)</t>
  </si>
  <si>
    <t xml:space="preserve">  Less 12 CP of firm P-T-P over one year (enter negative) (kW)</t>
  </si>
  <si>
    <t xml:space="preserve">  Plus Contract Demand of firm P-T-P over one year (kW)</t>
  </si>
  <si>
    <t>(Note P)</t>
  </si>
  <si>
    <t>Depreciation Rates Used in Attachment O</t>
  </si>
  <si>
    <t>For Kentucky Utilities Company:</t>
  </si>
  <si>
    <t xml:space="preserve">Current </t>
  </si>
  <si>
    <t>Rates</t>
  </si>
  <si>
    <t>Property Group</t>
  </si>
  <si>
    <t>ASL</t>
  </si>
  <si>
    <t>Transmission Plant</t>
  </si>
  <si>
    <t>350.1 Land Rights</t>
  </si>
  <si>
    <t>350.2 Land</t>
  </si>
  <si>
    <t>352.1 Struct. and Impr. Non Sys Control</t>
  </si>
  <si>
    <t>352.2 Struct. and Impr. Sys Control</t>
  </si>
  <si>
    <t>353.1 Station Equipment</t>
  </si>
  <si>
    <t>353.2 Syst Control/Microwave Equip</t>
  </si>
  <si>
    <t>354 Towers &amp; Fixtures</t>
  </si>
  <si>
    <t>355 Poles &amp; Fixtures</t>
  </si>
  <si>
    <t>356 Overhead Conductors and Devices</t>
  </si>
  <si>
    <t>357 Underground Conduit</t>
  </si>
  <si>
    <t>358 Underground Conductors &amp; Devices</t>
  </si>
  <si>
    <t>Total Transmission Plant</t>
  </si>
  <si>
    <t>For Louisville Gas and Electric Company:</t>
  </si>
  <si>
    <t xml:space="preserve">ELECTRIC PLANT </t>
  </si>
  <si>
    <t>Electric Transmission Plant</t>
  </si>
  <si>
    <t>350.2 Transmission Lines Land</t>
  </si>
  <si>
    <t>352.1 Structures &amp; Improvements</t>
  </si>
  <si>
    <t>356 Overhead Conductors &amp; Devices</t>
  </si>
  <si>
    <t>Peak Rate</t>
  </si>
  <si>
    <t>Off-Peak Rate</t>
  </si>
  <si>
    <t>Capped at weekly rates</t>
  </si>
  <si>
    <t>WAGE &amp; SALARY ALLOCATOR   (W&amp;S)</t>
  </si>
  <si>
    <t xml:space="preserve">  [RESERVED]</t>
  </si>
  <si>
    <t>CWC</t>
  </si>
  <si>
    <t>Prepayments (Account 165)</t>
  </si>
  <si>
    <t>TOTAL NET PLANT</t>
  </si>
  <si>
    <t>TOTAL ACCUM. DEPRECIATION</t>
  </si>
  <si>
    <t>TOTAL GROSS PLANT</t>
  </si>
  <si>
    <t>354.20.b</t>
  </si>
  <si>
    <t>205.46.g</t>
  </si>
  <si>
    <t>207.58.g</t>
  </si>
  <si>
    <t>207.75.g</t>
  </si>
  <si>
    <t>205.5.g &amp; 207.99.g</t>
  </si>
  <si>
    <t>356.1</t>
  </si>
  <si>
    <t>219.25.c</t>
  </si>
  <si>
    <t>219.26.c</t>
  </si>
  <si>
    <t>219.28.c &amp; 200.21.c</t>
  </si>
  <si>
    <t>Transmission Plant ARO -- Net Balance (enter negative)</t>
  </si>
  <si>
    <t>Common Plant ARO -- Net Balance (enter negative)</t>
  </si>
  <si>
    <t>ATTACHMENT O</t>
  </si>
  <si>
    <t>Rate Formula Template</t>
  </si>
  <si>
    <t>Utilizing FERC Form 1 Data</t>
  </si>
  <si>
    <t xml:space="preserve">  Revenues from service provided by LG&amp;E and KU at a discount</t>
  </si>
  <si>
    <t xml:space="preserve">  Less Contract Demands from service over one year provided by LG&amp;E and KU at a discount (enter negative) (kW)</t>
  </si>
  <si>
    <t>219.20-24.c</t>
  </si>
  <si>
    <t>ADJUSTMENTS TO RATE BASE</t>
  </si>
  <si>
    <t>TOTAL ADJUSTMENTS</t>
  </si>
  <si>
    <t xml:space="preserve">TOTAL WORKING CAPITAL </t>
  </si>
  <si>
    <t>336.7.b</t>
  </si>
  <si>
    <t>336.10.b &amp; 336.1.f</t>
  </si>
  <si>
    <t>336.11.b</t>
  </si>
  <si>
    <t xml:space="preserve">TOTAL O&amp;M   </t>
  </si>
  <si>
    <t>Less Account 565 (enter negative)</t>
  </si>
  <si>
    <t>Transmission Lease Payments</t>
  </si>
  <si>
    <t>Less FERC Annual Fees (enter negative)</t>
  </si>
  <si>
    <t>TOTAL DEPRECIATION</t>
  </si>
  <si>
    <t>TOTAL OTHER TAXES</t>
  </si>
  <si>
    <t>REVENUE REQUIREMENT</t>
  </si>
  <si>
    <t>TRANSMISSION PLANT INCLUDED IN LG&amp;E and KU RATES</t>
  </si>
  <si>
    <t>Total transmission plant</t>
  </si>
  <si>
    <t>Note M</t>
  </si>
  <si>
    <t>Less transmission plant excluded from LG&amp;E and KU rates</t>
  </si>
  <si>
    <t>Note N</t>
  </si>
  <si>
    <t>Less transmission plant included in OATT Ancillary Services</t>
  </si>
  <si>
    <t>L. 1 - L.2 - L.3</t>
  </si>
  <si>
    <r>
      <t xml:space="preserve">L.4 </t>
    </r>
    <r>
      <rPr>
        <sz val="10"/>
        <rFont val="Calibri"/>
        <family val="2"/>
      </rPr>
      <t>÷ L.1</t>
    </r>
  </si>
  <si>
    <t>Note L</t>
  </si>
  <si>
    <t>L. 6 - L.7</t>
  </si>
  <si>
    <t>Included transmission expenses</t>
  </si>
  <si>
    <t xml:space="preserve">Less transmission expenses included in OATT Ancillary Services </t>
  </si>
  <si>
    <t>Total transmission expenses</t>
  </si>
  <si>
    <r>
      <t xml:space="preserve">L.8 </t>
    </r>
    <r>
      <rPr>
        <sz val="10"/>
        <rFont val="Calibri"/>
        <family val="2"/>
      </rPr>
      <t>÷ L.6</t>
    </r>
  </si>
  <si>
    <t>L. 5</t>
  </si>
  <si>
    <t>L.9 x L.10</t>
  </si>
  <si>
    <t>Percentage of transmission expenses after adjustment</t>
  </si>
  <si>
    <t>354.21.b</t>
  </si>
  <si>
    <t>354.23.b</t>
  </si>
  <si>
    <t xml:space="preserve">  Total  Wages and Salaries</t>
  </si>
  <si>
    <t>Sum of Ls. 12-15</t>
  </si>
  <si>
    <t>COMMON PLANT ALLOCATOR  (CE)</t>
  </si>
  <si>
    <t>Note O</t>
  </si>
  <si>
    <t>Sum of Ls. 17-19</t>
  </si>
  <si>
    <t xml:space="preserve">  Total  Plant</t>
  </si>
  <si>
    <t>Allocated W&amp;S</t>
  </si>
  <si>
    <t>Total W&amp;S</t>
  </si>
  <si>
    <t>Total Plant</t>
  </si>
  <si>
    <t>Total per Form 1</t>
  </si>
  <si>
    <t>118.29.c</t>
  </si>
  <si>
    <t>Less Accounts 216.1 &amp; 219 (enter negative)</t>
  </si>
  <si>
    <t>112.12.c; 112.15.c</t>
  </si>
  <si>
    <t>112.3.c</t>
  </si>
  <si>
    <t>Cost Rate</t>
  </si>
  <si>
    <t xml:space="preserve">  Total</t>
  </si>
  <si>
    <t>Note R</t>
  </si>
  <si>
    <t>ACCOUNT 456 (OTHER ELECTRIC REVENUES)</t>
  </si>
  <si>
    <t>ACCOUNT 454 (RENT FROM ELECTRIC PROPERTY)</t>
  </si>
  <si>
    <t>Note T</t>
  </si>
  <si>
    <t>Sum of Ls. 2-5</t>
  </si>
  <si>
    <t>L.1 - L.6</t>
  </si>
  <si>
    <t>Note A</t>
  </si>
  <si>
    <t>Note B</t>
  </si>
  <si>
    <t>Note C</t>
  </si>
  <si>
    <t>Note D</t>
  </si>
  <si>
    <t>RATE FORMULA FOR POINT TO POINT TRANSMISSION SERVICE</t>
  </si>
  <si>
    <t>Labeled LF on page 328 of Form 1 at the time of the LG&amp;E and KU coincident monthly peaks.</t>
  </si>
  <si>
    <t>Y</t>
  </si>
  <si>
    <t>Note Y</t>
  </si>
  <si>
    <t>Note F</t>
  </si>
  <si>
    <t>[Reserved]</t>
  </si>
  <si>
    <t>Note H</t>
  </si>
  <si>
    <t>WORKING CAPITAL</t>
  </si>
  <si>
    <t>Materials &amp; Supplies</t>
  </si>
  <si>
    <t>Rate Base</t>
  </si>
  <si>
    <t>Sum of Ls. 18,28,29,33</t>
  </si>
  <si>
    <t>LAND HELD FOR FUTURE USE</t>
  </si>
  <si>
    <t>275.2.k</t>
  </si>
  <si>
    <t>277.9.k &amp; Note W</t>
  </si>
  <si>
    <t>234.8.c &amp; Note W</t>
  </si>
  <si>
    <t>267.8.h</t>
  </si>
  <si>
    <t>Sum of Ls. 19 - 27</t>
  </si>
  <si>
    <t>Sum of Ls. 1 - 5</t>
  </si>
  <si>
    <t>Sum of Ls. 7 - 11</t>
  </si>
  <si>
    <t>L.1 - L.7</t>
  </si>
  <si>
    <t>L.2 - L.8</t>
  </si>
  <si>
    <t>L.3 - L.9</t>
  </si>
  <si>
    <t>L.4 - L.10</t>
  </si>
  <si>
    <t>L.5 - L.11</t>
  </si>
  <si>
    <t>Sum of Ls. 13 - 17</t>
  </si>
  <si>
    <t>321.96.b</t>
  </si>
  <si>
    <t>323.197.b</t>
  </si>
  <si>
    <t>351.2.h</t>
  </si>
  <si>
    <t>Note I</t>
  </si>
  <si>
    <t>Plus Transmission Related Reg. Comm.  Exp.</t>
  </si>
  <si>
    <t>Less EPRI &amp; Reg. Comm. Exp. &amp; Non-safety  Ad. (enter negative)</t>
  </si>
  <si>
    <t xml:space="preserve">TAXES OTHER THAN INCOME TAXES </t>
  </si>
  <si>
    <t>TAXES OTHER THAN INCOME TAXES</t>
  </si>
  <si>
    <t xml:space="preserve">  Long Term Debt</t>
  </si>
  <si>
    <t xml:space="preserve">  Preferred Stock</t>
  </si>
  <si>
    <t xml:space="preserve">  Common Stock</t>
  </si>
  <si>
    <t xml:space="preserve">Total </t>
  </si>
  <si>
    <t>W</t>
  </si>
  <si>
    <t>Note X</t>
  </si>
  <si>
    <t>Sum of Ls. 8-14</t>
  </si>
  <si>
    <t>Divisor (kW)</t>
  </si>
  <si>
    <t>Capped at weekly &amp; daily rates</t>
  </si>
  <si>
    <t>Point-To-Point Rate ($/kW/Wk)</t>
  </si>
  <si>
    <r>
      <t xml:space="preserve">L. 16 </t>
    </r>
    <r>
      <rPr>
        <sz val="10"/>
        <rFont val="Calibri"/>
        <family val="2"/>
      </rPr>
      <t>÷ 52</t>
    </r>
  </si>
  <si>
    <r>
      <t xml:space="preserve">L. 18 </t>
    </r>
    <r>
      <rPr>
        <sz val="10"/>
        <rFont val="Calibri"/>
        <family val="2"/>
      </rPr>
      <t>÷ 5</t>
    </r>
  </si>
  <si>
    <r>
      <t xml:space="preserve">L. 19 </t>
    </r>
    <r>
      <rPr>
        <sz val="10"/>
        <rFont val="Calibri"/>
        <family val="2"/>
      </rPr>
      <t>÷ 16</t>
    </r>
  </si>
  <si>
    <r>
      <t>L. 7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L. 15</t>
    </r>
  </si>
  <si>
    <r>
      <t xml:space="preserve">L. 16 </t>
    </r>
    <r>
      <rPr>
        <sz val="10"/>
        <rFont val="Calibri"/>
        <family val="2"/>
      </rPr>
      <t>÷</t>
    </r>
    <r>
      <rPr>
        <sz val="10"/>
        <rFont val="Calibri"/>
        <family val="2"/>
        <scheme val="minor"/>
      </rPr>
      <t xml:space="preserve"> 12</t>
    </r>
  </si>
  <si>
    <t>Point-To-Point Rate ($/kW/Day)</t>
  </si>
  <si>
    <t>Note E</t>
  </si>
  <si>
    <r>
      <t xml:space="preserve">L. 18 </t>
    </r>
    <r>
      <rPr>
        <sz val="10"/>
        <rFont val="Calibri"/>
        <family val="2"/>
      </rPr>
      <t>÷ 7</t>
    </r>
  </si>
  <si>
    <r>
      <t xml:space="preserve">L. 19 </t>
    </r>
    <r>
      <rPr>
        <sz val="10"/>
        <rFont val="Calibri"/>
        <family val="2"/>
      </rPr>
      <t>÷ 24</t>
    </r>
  </si>
  <si>
    <t xml:space="preserve">Network Rate ($/kW/Month) </t>
  </si>
  <si>
    <t xml:space="preserve">P-to-P Rate ($/kW/Month) </t>
  </si>
  <si>
    <t>Notes J &amp; Z</t>
  </si>
  <si>
    <t>Z</t>
  </si>
  <si>
    <t>Note K</t>
  </si>
  <si>
    <t>FIT, SIT and p</t>
  </si>
  <si>
    <t xml:space="preserve">DEVELOPMENT OF INCOME TAXES          </t>
  </si>
  <si>
    <t>Income Tax Gross Up Factor:  1 / (1 - T)</t>
  </si>
  <si>
    <t>Amortized Investment Tax Credit (enter negative)</t>
  </si>
  <si>
    <t>RETURN  (rate base times rate of return)</t>
  </si>
  <si>
    <t>Income Tax Calculation</t>
  </si>
  <si>
    <t>ITC adjustment</t>
  </si>
  <si>
    <t>Electric Plant Ratio</t>
  </si>
  <si>
    <r>
      <t xml:space="preserve">L. 17 </t>
    </r>
    <r>
      <rPr>
        <sz val="10"/>
        <rFont val="Calibri"/>
        <family val="2"/>
      </rPr>
      <t>÷ L. 20</t>
    </r>
  </si>
  <si>
    <t>= CE</t>
  </si>
  <si>
    <t xml:space="preserve"> DEVELOPMENT OF RATE OF RETURN (R)</t>
  </si>
  <si>
    <t>= R</t>
  </si>
  <si>
    <t>Less Preferred Stock (enter negative)</t>
  </si>
  <si>
    <t>310-311, Note Q</t>
  </si>
  <si>
    <t>GP =</t>
  </si>
  <si>
    <t>NP =</t>
  </si>
  <si>
    <t>Sum of Ls. 1-8</t>
  </si>
  <si>
    <t>= W/S</t>
  </si>
  <si>
    <t>times W/S (L. 16)</t>
  </si>
  <si>
    <t>Sum of Ls. 24-26</t>
  </si>
  <si>
    <t xml:space="preserve"> = WCLTD</t>
  </si>
  <si>
    <t>Total Company</t>
  </si>
  <si>
    <t>Sum of Ls. 28-30</t>
  </si>
  <si>
    <t>L. 32-L.33</t>
  </si>
  <si>
    <t>311.x.h; Note Z</t>
  </si>
  <si>
    <t>Pg 2 of 5, L.2, C.3</t>
  </si>
  <si>
    <t>Pg 3 of 5, L.1, C.3</t>
  </si>
  <si>
    <t>Pg 4 of 5, L. 28</t>
  </si>
  <si>
    <t>Pg 4 of 5, L. 31</t>
  </si>
  <si>
    <t>214.x.d; Notes G &amp; Z</t>
  </si>
  <si>
    <t>Sum of Ls. 10-12</t>
  </si>
  <si>
    <t>WCLTD =</t>
  </si>
  <si>
    <t>R =</t>
  </si>
  <si>
    <t>Pg 2 of 5, L.34 x Pg 4 of 5, L. 31</t>
  </si>
  <si>
    <t>Transmission plant included in LG&amp;E and KU rates</t>
  </si>
  <si>
    <t>Percentage of transmission plant included in LG&amp;E and KU Rates</t>
  </si>
  <si>
    <t>Percentage of transmission expenses included in LG&amp;E and KU Rates</t>
  </si>
  <si>
    <t>117.62-67.c; Note W</t>
  </si>
  <si>
    <t>112.16.c</t>
  </si>
  <si>
    <t>L.29</t>
  </si>
  <si>
    <t>Total Common Stock</t>
  </si>
  <si>
    <t>Weighted Average Cost of Capital:</t>
  </si>
  <si>
    <t>L.27</t>
  </si>
  <si>
    <t>L. 36-L.37</t>
  </si>
  <si>
    <t>Depreciation rates and accumulated depreciation balances used in this formula include adjustments to reflect depreciation rates on file with the FERC.</t>
  </si>
  <si>
    <t>The balances in Accounts 190, 281, 282 and 283, as adjusted by any amounts in contra accounts identified as regulatory assets or liabilities related to</t>
  </si>
  <si>
    <t>Cash Working Capital assigned to transmission is one-eighth of O&amp;M allocated to transmission at page 3, line 9, column 5. Prepayments are the electric</t>
  </si>
  <si>
    <t>related prepayments booked to Account No. 165 and reported on Page 111 line 57 in the Form 1.</t>
  </si>
  <si>
    <t>Line 5 - EPRI Annual Membership Dues listed in Form 1 at 353.f, Regulatory Commission Expenses itemized at 351.h, and non-safety related advertising</t>
  </si>
  <si>
    <t xml:space="preserve">itemized at 351.h. </t>
  </si>
  <si>
    <t xml:space="preserve">Includes only FICA, unemployment, highway, property and other assessments charged in the current year.  Taxes related to income are excluded.  </t>
  </si>
  <si>
    <t>The currently effective income tax rate,  where FIT is the Federal income tax rate; SIT is the State income tax rate, and p = "the percentage of federal</t>
  </si>
  <si>
    <t>income tax deductible for state income taxes".  If LG&amp;E and KU is taxed in more than one state it must attach a work paper showing the name of each state</t>
  </si>
  <si>
    <t>and how the blended or composite SIT was developed.  Furthermore, if LG&amp;E and KU elected to utilize amortization of tax credits against taxable income,</t>
  </si>
  <si>
    <t>rather than book tax credits to Account No. 255 and reduce rate base, LG&amp;E and KU must reduce its income tax expense by the amount of the Amortized</t>
  </si>
  <si>
    <t>Investment Tax Credit (Form 1, 266.8.f; transmission related only) multiplied by (1/1-T) (page 3, line 26).  (LG&amp;E elected to amortize tax credits against</t>
  </si>
  <si>
    <t>taxable income; KU elected to amortize tax credits below the line and reduce rate base.  Current income tax credit balances for LG&amp;E and KU are related</t>
  </si>
  <si>
    <t>Removes transmission plant determined by Commission order to be state-jurisdictional according to the seven-factor test (until Form 1 balances are</t>
  </si>
  <si>
    <t>adjusted to reflect application of seven-factor test).</t>
  </si>
  <si>
    <t>Removes dollar amount of transmission plant included in the development of OATT ancillary services rates and generation step-up facilities, which are</t>
  </si>
  <si>
    <t>deemed to be included in OATT ancillary services.  For these purposes, generation step-up facilities are those facilities at a generator substation on which</t>
  </si>
  <si>
    <t>there is no through-flow when the generator is shut down. LG&amp;E and KU generator step-up facilities are included in production plant accounts and are not</t>
  </si>
  <si>
    <t>included in this Attachment O.</t>
  </si>
  <si>
    <t>ROE will be supported in the original filing and no change in ROE may be made absent a filing with FERC.</t>
  </si>
  <si>
    <t>Line 34 must equal zero since all short-term power sales must be unbundled and the transmission component reflected in Account No. 456 and all other</t>
  </si>
  <si>
    <t>uses are to be included in the divisor.</t>
  </si>
  <si>
    <t>The revenues credited on page 1 lines 2-5 shall include only the amounts received directly (in the case of grandfathered agreements) or from LG&amp;E and KU</t>
  </si>
  <si>
    <t>(for service under this tariff) reflecting the Transmission Owner's integrated transmission facilities.  They do not include revenues associated with FERC</t>
  </si>
  <si>
    <t>annual charges, gross receipts taxes, ancillary services, facilities not included in this template (e.g., direct assignment facilities and GSUs) which are not</t>
  </si>
  <si>
    <t>recovered under this Rate Formula Template.</t>
  </si>
  <si>
    <t>This Attachment O reflects a pass-through of the costs associated with the ITO and the Reliability Coordinator and excludes amortization of regulatory</t>
  </si>
  <si>
    <t>assets when such amortization is charged to transmission O&amp;M and recovered entirely from retail customers.</t>
  </si>
  <si>
    <t>Pg 4 of 5, L. 35</t>
  </si>
  <si>
    <t>Pg 4 of 5, L. 38</t>
  </si>
  <si>
    <t>273.8.k</t>
  </si>
  <si>
    <t>T = L. 22</t>
  </si>
  <si>
    <t>Page 5 of 5</t>
  </si>
  <si>
    <t>Page 1 of 5</t>
  </si>
  <si>
    <t>227.8.c &amp; 16.c; Note G</t>
  </si>
  <si>
    <t>321.112.b; see also Note V</t>
  </si>
  <si>
    <t>Average of monthly peak amounts reported on Page 400, column e of Form 1.</t>
  </si>
  <si>
    <t>Average of monthly peak amounts reported on Page 400, column f + column h.</t>
  </si>
  <si>
    <t>included in Account 930.1.  Line 6 - Regulatory Commission Expenses directly related to transmission service,  LG&amp;E and KU filings, or transmission siting</t>
  </si>
  <si>
    <t xml:space="preserve">  Plus CBM Capacity withheld from P-T-P Customers (kW)</t>
  </si>
  <si>
    <t>SUPPORTING CALCULATIONS AND NOTES</t>
  </si>
  <si>
    <t>Highway and vehicle</t>
  </si>
  <si>
    <t>Payments in lieu of taxes</t>
  </si>
  <si>
    <t>266.8.f; see also Note K</t>
  </si>
  <si>
    <r>
      <t xml:space="preserve">(Allocated W&amp;S 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Total W&amp;S)</t>
    </r>
  </si>
  <si>
    <t>FERC Form 1 pages do not specify line numbers, which are subject to change from year to year and between LG&amp;E and KU.  Please see the line item</t>
  </si>
  <si>
    <t>Enter dollar amounts.  Common Plant Allocator (CE) = ratio of electric only plant to total plant, multiplied by W/S (wages and salaries allocator).</t>
  </si>
  <si>
    <r>
      <t xml:space="preserve">Debt cost rate = long-term interest (line 22) </t>
    </r>
    <r>
      <rPr>
        <sz val="14"/>
        <rFont val="Calibri"/>
        <family val="2"/>
      </rPr>
      <t>÷</t>
    </r>
    <r>
      <rPr>
        <sz val="14"/>
        <rFont val="Calibri"/>
        <family val="2"/>
        <scheme val="minor"/>
      </rPr>
      <t xml:space="preserve"> long term debt (line 28).  Preferred cost rate = preferred dividends (line 23) ÷ preferred outstanding (line 29).  </t>
    </r>
  </si>
  <si>
    <t>These adjustments are necessary to insulate customers from costs related to the acquisition.</t>
  </si>
  <si>
    <t>descriptions for identification of amounts from FERC Form 1 included in this rate formula.</t>
  </si>
  <si>
    <t>General and Intangible</t>
  </si>
  <si>
    <r>
      <t xml:space="preserve">T = 1 - ([(1 - SIT) x (1 - FIT)]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SIT x FIT x p)) </t>
    </r>
  </si>
  <si>
    <r>
      <t xml:space="preserve">CIT = (T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(1 - T)) x (1 - (WCLTD </t>
    </r>
    <r>
      <rPr>
        <sz val="12"/>
        <rFont val="Calibri"/>
        <family val="2"/>
      </rPr>
      <t>÷</t>
    </r>
    <r>
      <rPr>
        <sz val="12"/>
        <rFont val="Calibri"/>
        <family val="2"/>
        <scheme val="minor"/>
      </rPr>
      <t xml:space="preserve"> R)), where:</t>
    </r>
  </si>
  <si>
    <t>112.18-23.c; Note W</t>
  </si>
  <si>
    <t xml:space="preserve">  a. Bundled Non-RQ Sales for Resale (kW)</t>
  </si>
  <si>
    <t xml:space="preserve">  b. Bundled Sales for Resale  included in Divisor on page 1 (kW)</t>
  </si>
  <si>
    <t xml:space="preserve">  Total (kW)</t>
  </si>
  <si>
    <t>Notes U &amp; Z</t>
  </si>
  <si>
    <t xml:space="preserve">The amounts included in this Attachment O are net of purchase accounting adjustments resulting from the 2010 acquisition of LG&amp;E and KU by PPL Corp. </t>
  </si>
  <si>
    <t>Sum of Ls. 9,13,20,27,28</t>
  </si>
  <si>
    <t>Pg 3 of 5, L. 29</t>
  </si>
  <si>
    <t>Sum of Ls. 14-19</t>
  </si>
  <si>
    <t>L. 22 x L. 28</t>
  </si>
  <si>
    <t>L. 23 x L. 24</t>
  </si>
  <si>
    <t>Sum of Ls. 25-26</t>
  </si>
  <si>
    <t>Transmission (net of ARO depreciation)</t>
  </si>
  <si>
    <t>Common (net of ARO depreciation)</t>
  </si>
  <si>
    <t>DEPRECIATION  AND AMORTIZATION EXPENSE</t>
  </si>
  <si>
    <t>ASC 715 and ASC 740.  Balance of Account 255 is reduced by prior flow throughs and excluded if LG&amp;E and KU chose to utilize amortization of tax credits</t>
  </si>
  <si>
    <t xml:space="preserve">against taxable income as discussed in Note K.  Account 281 is not allocated. </t>
  </si>
  <si>
    <t>111.57.c</t>
  </si>
  <si>
    <t>Labeled LF, LU, IF, IU on pages 310-311 of Form 1 at the time of the LG&amp;E and KU coincident monthly peaks.</t>
  </si>
  <si>
    <t>Entry on Page 2, Line 24 shall include the Network Upgrade value included in Line 2 and any accumulated depreciation included in Line 8.  Entry on</t>
  </si>
  <si>
    <t>Page 2, Line 25 shall include the Load Serving Entity direct assigned value included in Line 2 and any accumulated depreciation in Line 8.</t>
  </si>
  <si>
    <t>359 Asset Retirement Obligations - Transmission *</t>
  </si>
  <si>
    <t>* Asset retirement obligations to not have specific depreciation</t>
  </si>
  <si>
    <t>rates; AROs are depreciated at the same rates as the underlying</t>
  </si>
  <si>
    <t>physical assets.</t>
  </si>
  <si>
    <t>General Note:  References to pages in this formula rate are indicated as:  (page#, line#, col.#)</t>
  </si>
  <si>
    <t>RATE FORMULA FOR NETWORK INTEGRATION TRANSMISSION SERVICE</t>
  </si>
  <si>
    <t>100% to production investment and are not included in the Attachment O.)</t>
  </si>
  <si>
    <t>Point-To-Point Rate ($/MWh)</t>
  </si>
  <si>
    <t>Input Data for Annual Updats of the LGE Companies Attachment O Formula Rate</t>
  </si>
  <si>
    <t>Page 1</t>
  </si>
  <si>
    <t>Update Year</t>
  </si>
  <si>
    <t>Revenue Credits</t>
  </si>
  <si>
    <t>KU</t>
  </si>
  <si>
    <t>LGE</t>
  </si>
  <si>
    <t>Combined</t>
  </si>
  <si>
    <t>Revenue from Grandfathered Interzonal Transactions</t>
  </si>
  <si>
    <t>to Page 1 of 5, L. 4</t>
  </si>
  <si>
    <t>Not applicable; hold over from MISO formula, will be removed with Sec 205</t>
  </si>
  <si>
    <t>Revenues from service provided by LG&amp;E Energy</t>
  </si>
  <si>
    <t>to Page 1 of 5, L. 5</t>
  </si>
  <si>
    <t>Contract demand here is the load with IMEA and IMPA.  Per the contract with the</t>
  </si>
  <si>
    <t>partners, we do not charge for transmission so there is no revenue to record on this</t>
  </si>
  <si>
    <t>line.</t>
  </si>
  <si>
    <t>12 CP Data, requirements service:</t>
  </si>
  <si>
    <t>Form 1, p. 400, col. (e)</t>
  </si>
  <si>
    <t>Jan</t>
  </si>
  <si>
    <t>times 1,000</t>
  </si>
  <si>
    <t>Feb</t>
  </si>
  <si>
    <t>Mar</t>
  </si>
  <si>
    <t>Apr</t>
  </si>
  <si>
    <t>May</t>
  </si>
  <si>
    <t>Form 1 source data</t>
  </si>
  <si>
    <t>Jun</t>
  </si>
  <si>
    <t>Internal reporting source data</t>
  </si>
  <si>
    <t>Jul</t>
  </si>
  <si>
    <t>Aug</t>
  </si>
  <si>
    <t>Sep</t>
  </si>
  <si>
    <t>Oct</t>
  </si>
  <si>
    <t>Nov</t>
  </si>
  <si>
    <t>Dec</t>
  </si>
  <si>
    <t>Average</t>
  </si>
  <si>
    <t>to Page 1 of 5, L. 8</t>
  </si>
  <si>
    <t>12 CP Data, firm bundled sales:</t>
  </si>
  <si>
    <t>Form 1, p. 311, col. (g)</t>
  </si>
  <si>
    <t>when p. 310, col (b)</t>
  </si>
  <si>
    <t>contains the following:</t>
  </si>
  <si>
    <t>LF, LU, IF, IU</t>
  </si>
  <si>
    <t>to Page 1 of 5, L. 9</t>
  </si>
  <si>
    <t>12 CP Data, other network load:</t>
  </si>
  <si>
    <t>Form 1, p. 400, col. (f) + col. (h)</t>
  </si>
  <si>
    <t>KU-col F</t>
  </si>
  <si>
    <t>KU-Col h</t>
  </si>
  <si>
    <t>LGE-Col F</t>
  </si>
  <si>
    <t>to Page 1 of 5, L. 10</t>
  </si>
  <si>
    <t>12 CP Data, firm Point to Point</t>
  </si>
  <si>
    <t>Firm P-T-P transmission is billed on a reservation basis only;</t>
  </si>
  <si>
    <t>amounts are included below and carried to L. 12 of page 1.</t>
  </si>
  <si>
    <t>Transmission does not track or bill firm contract P-T-P customers</t>
  </si>
  <si>
    <t xml:space="preserve">for actual flows, and the actual flows are not included in the </t>
  </si>
  <si>
    <t>network transmission peaks included above; therefore, there</t>
  </si>
  <si>
    <t>is no CP data associated with firm P-T-P transmission to</t>
  </si>
  <si>
    <t>include here.</t>
  </si>
  <si>
    <t>to Page 1 of 5, L. 11</t>
  </si>
  <si>
    <t>Contract demand, firm Point to Point over one year</t>
  </si>
  <si>
    <t>Form 1, p. 400, col. (g)</t>
  </si>
  <si>
    <t>OMU reservations for Long Term PTP</t>
  </si>
  <si>
    <t>to Page 1 of 5, L. 12</t>
  </si>
  <si>
    <t>Amounts on Ls. 13 &amp; 14 of page 1 of 5 are provided by Transmission Policy and Rates (Fernando Rubio)</t>
  </si>
  <si>
    <t>CBM Capacity withheld from P-T-P Customers</t>
  </si>
  <si>
    <t>to PTP Pg 1 of 5, L. 13</t>
  </si>
  <si>
    <t>Applicable to PTP only; capacity benefit margin provided by F Rubio, Transmission Policy and Tariffs</t>
  </si>
  <si>
    <t>Contract demand -- service provided at discount</t>
  </si>
  <si>
    <t>to Page 1 of 5, L. 14</t>
  </si>
  <si>
    <t xml:space="preserve">Provided by Transmisison Policy &amp; Tariffs; includes IMEA/IMPA transmission to BAA border per contract </t>
  </si>
  <si>
    <t>and OMU MISO LT PTP reservation due to depancaking</t>
  </si>
  <si>
    <t>Intangible</t>
  </si>
  <si>
    <t>P.205, L.5, Col.(g)</t>
  </si>
  <si>
    <t>to Page 2 of 5, L. 4, col.3</t>
  </si>
  <si>
    <t>Production</t>
  </si>
  <si>
    <t>P.205, L.46, Col.(g)</t>
  </si>
  <si>
    <t>to Page 2 of 5, L. 1, col.3</t>
  </si>
  <si>
    <t>P.207, L.58, Col.(g)</t>
  </si>
  <si>
    <t>to Page 2 of 5, L. 2, col.3</t>
  </si>
  <si>
    <t>Distribution</t>
  </si>
  <si>
    <t>P.207, L.75, Col.(g)</t>
  </si>
  <si>
    <t>to Page 2 of 5, L. 3, col.3</t>
  </si>
  <si>
    <t>General</t>
  </si>
  <si>
    <t>P.207, L.99, Col.(g)</t>
  </si>
  <si>
    <t>P.356.1, electric only</t>
  </si>
  <si>
    <t>N/A</t>
  </si>
  <si>
    <t>to Page 2 of 5, L. 5, col.3</t>
  </si>
  <si>
    <t>Accumulated Reserve per Form 1</t>
  </si>
  <si>
    <t>Accumulated Reserve for Depreciation Adjustment</t>
  </si>
  <si>
    <t>P.200, L.21, Col.(c)</t>
  </si>
  <si>
    <t>to Page 2 of 5, L. 10, col.3</t>
  </si>
  <si>
    <t>Production, Steam</t>
  </si>
  <si>
    <t>P.219, L.20, Col.(c)</t>
  </si>
  <si>
    <t>to Page 2 of 5, L. 7, col.3</t>
  </si>
  <si>
    <t>Steam Prod</t>
  </si>
  <si>
    <t>Production, Hydro</t>
  </si>
  <si>
    <t>P.219, L.22, Col.(c)</t>
  </si>
  <si>
    <t>Hydro Prod</t>
  </si>
  <si>
    <t>Production, Other</t>
  </si>
  <si>
    <t>P.219, L.24, Col.(c)</t>
  </si>
  <si>
    <t>Other Prod</t>
  </si>
  <si>
    <t>P.219, L.25, Col.(c)</t>
  </si>
  <si>
    <t>to Page 2 of 5, L. 8, col.3</t>
  </si>
  <si>
    <t>P.219, L.26, Col.(c)</t>
  </si>
  <si>
    <t>to Page 2 of 5, L. 9, col.3</t>
  </si>
  <si>
    <t xml:space="preserve">P.219, L.28, Col.(c) </t>
  </si>
  <si>
    <t>to Page 2 of 5, L. 11, col.3</t>
  </si>
  <si>
    <t>ADJUSTMENTS TO RATE BASE       (Note F)</t>
  </si>
  <si>
    <t>Account No. 281</t>
  </si>
  <si>
    <t>P.273, L.8, Col.(k)</t>
  </si>
  <si>
    <t>to Page 2 of 5, L. 19, col.3</t>
  </si>
  <si>
    <t>Account No. 282</t>
  </si>
  <si>
    <t>P.275, L.2, Col.(k)</t>
  </si>
  <si>
    <t>to Page 2 of 5, L. 20, col.3</t>
  </si>
  <si>
    <t>Account No. 283</t>
  </si>
  <si>
    <t>P.277, L.9, Col.(k)</t>
  </si>
  <si>
    <t>Acct. 283 Other (w. PA)</t>
  </si>
  <si>
    <t>P.277, L.8, Col.(k)</t>
  </si>
  <si>
    <t>Acct. 283 Other (w.o. PA)</t>
  </si>
  <si>
    <t>Footnote for L.8, Col.(k)</t>
  </si>
  <si>
    <t>use beginning balance, 'Total Without Purchase Accounting"</t>
  </si>
  <si>
    <t>Net Included Account 283</t>
  </si>
  <si>
    <t>to Page 2 of 5, L. 21, col.3</t>
  </si>
  <si>
    <t xml:space="preserve">Account No. 190 </t>
  </si>
  <si>
    <t>P.234, L.8, Col.(c)</t>
  </si>
  <si>
    <t>Acct. 190 Other (w PA)</t>
  </si>
  <si>
    <t>P.234, L.7, Col.(c)</t>
  </si>
  <si>
    <t>Acct. 190 Other (w.o. PA)</t>
  </si>
  <si>
    <t>Notes Detail for L.7, electric</t>
  </si>
  <si>
    <t>Net Included Account 190</t>
  </si>
  <si>
    <t>to Page 2 of 5, L. 22, col.3</t>
  </si>
  <si>
    <t>Account No. 255, KU Transmission only</t>
  </si>
  <si>
    <t>P.267, L.8, Col.(h)</t>
  </si>
  <si>
    <t>to Page 2 of 5, L. 23, col.3</t>
  </si>
  <si>
    <t>KU ITC balance is an adjustment to rate base for transmission related projects only; outstanding balances are for generation and therefore not included.</t>
  </si>
  <si>
    <t>P.207, L.57, Col.(g)</t>
  </si>
  <si>
    <t>Transmission Reserve</t>
  </si>
  <si>
    <t>Plant reports, P2 FIN (KU), P11 (LGE)</t>
  </si>
  <si>
    <t>to Page 2 of 5, L. 26, col.3 (enter negative)</t>
  </si>
  <si>
    <t>multiply the total balance in account 399 times the electric only allocation ratio</t>
  </si>
  <si>
    <t>Common Reserve</t>
  </si>
  <si>
    <t>Plant reports, P5 FIN (LGE only)</t>
  </si>
  <si>
    <t xml:space="preserve">  Network Upgrade</t>
  </si>
  <si>
    <t>Provided by Transmission if applicable.  Represents costs for required network upgrades required in response to a</t>
  </si>
  <si>
    <t>request for transmission service that are deemed beneficial to entire network system.</t>
  </si>
  <si>
    <t>LSE Direct Assignment</t>
  </si>
  <si>
    <t>Ending Balance, previous year</t>
  </si>
  <si>
    <t>XM plnt</t>
  </si>
  <si>
    <t>Adjustment for depreciation expense</t>
  </si>
  <si>
    <t>depreciation expense:</t>
  </si>
  <si>
    <t>XM depr</t>
  </si>
  <si>
    <t>Net Book LSE Direct Assignment Assets</t>
  </si>
  <si>
    <t>Assets Added During the year</t>
  </si>
  <si>
    <t xml:space="preserve">Provided by Transmission if applicable.  </t>
  </si>
  <si>
    <t>Ending Balance, current year</t>
  </si>
  <si>
    <t>Land Held for Future Use</t>
  </si>
  <si>
    <t>P.214, L.various, Col.(d)</t>
  </si>
  <si>
    <t>to Page 2 of 5, L. 25, col.3</t>
  </si>
  <si>
    <t>Only include amounts associated with transmission projects (confirmed by</t>
  </si>
  <si>
    <t>reviewing Plant Report Pg 26 FIN (LGE) and Pg 13 FIN (KU)</t>
  </si>
  <si>
    <t>Materials and Supplies</t>
  </si>
  <si>
    <t>P.227, L.8, Col.(c)</t>
  </si>
  <si>
    <t>Stores Expense Undistributed</t>
  </si>
  <si>
    <t>P.227, L.16, Col.(c)</t>
  </si>
  <si>
    <t>to Page 2 of 5, L. 27, col.3</t>
  </si>
  <si>
    <t>Total Account 154</t>
  </si>
  <si>
    <t>P.227, L.12, Col.(c)</t>
  </si>
  <si>
    <t>Transmission Ratio</t>
  </si>
  <si>
    <t>Prepayments (acct. 165)</t>
  </si>
  <si>
    <t>P.111, L.57, Col.(c)</t>
  </si>
  <si>
    <t>to Page 2 of 5, L. 28, col.3</t>
  </si>
  <si>
    <t xml:space="preserve">Transmission </t>
  </si>
  <si>
    <t>Page 321, L.112, Col.(b)</t>
  </si>
  <si>
    <t>Sum of accounts 560-573.  Do not include Regional Market Expense, account 575</t>
  </si>
  <si>
    <t>Less Regulatory Assets:</t>
  </si>
  <si>
    <t xml:space="preserve">KU and LG&amp;E have three regulatory assets that are amortized to transmission operating expense; </t>
  </si>
  <si>
    <t>EKPC, amortized to retail</t>
  </si>
  <si>
    <t>these regulatory assets are approved for rate recovery from retail customers only.  The annual</t>
  </si>
  <si>
    <t>2008 Wind storm amortized to retail only -- distribution only, no transmission impact</t>
  </si>
  <si>
    <t>amortization must be removed from transmission expense until FERC approves rate recovery.</t>
  </si>
  <si>
    <t>2009 Ice storm amortized to retail only</t>
  </si>
  <si>
    <t>Annual amortization amount is provided by Regulatory Accounting and Reporting -- Eric Raible</t>
  </si>
  <si>
    <t>Total Included Transmission expense</t>
  </si>
  <si>
    <t>to Page 3 of 5, L. 1, col.3</t>
  </si>
  <si>
    <t>R&amp;D charged to 930, per page 353:</t>
  </si>
  <si>
    <t>Less Account 565</t>
  </si>
  <si>
    <t>Page 321, L.96, Col.(b)</t>
  </si>
  <si>
    <t>to Page 3 of 5, L. 2, col.3</t>
  </si>
  <si>
    <t>Page 323, L.197, Col.(b)</t>
  </si>
  <si>
    <t>to Page 3 of 5, L. 3, col.3</t>
  </si>
  <si>
    <t>FERC Annual Fees</t>
  </si>
  <si>
    <t>Page 351, L.2, Col.(h)</t>
  </si>
  <si>
    <t>to Page 3 of 5, L. 4, col.3</t>
  </si>
  <si>
    <t>EPRI &amp; Reg. Comm. Exp</t>
  </si>
  <si>
    <t>Page 353, Acct 930, Col.(f)</t>
  </si>
  <si>
    <t>Line 5 - EPRI Annual Membership Dues listed in Form 1 at 353.f, all Regulatory Commission Expenses itemized at 351.h, and non-safety</t>
  </si>
  <si>
    <t>Non-safety  Ad.</t>
  </si>
  <si>
    <t>Page 323, L.191, Col.(b)</t>
  </si>
  <si>
    <t xml:space="preserve">   related advertising included in Account 930.1. </t>
  </si>
  <si>
    <t>use total charged to Att O exp accts</t>
  </si>
  <si>
    <t>Reg Comm Expenses-Audit</t>
  </si>
  <si>
    <t>Reg Comm Expenses-Proj 289</t>
  </si>
  <si>
    <t>to Page 3 of 5, L. 5, col.3</t>
  </si>
  <si>
    <t>FERC annual fees removed because they are separately reported on Line 4; FERC audit removed b/c they are includable in revenue requirement</t>
  </si>
  <si>
    <t>Plus Transmission Related Reg. Comm.  Exp. (Note I)</t>
  </si>
  <si>
    <t>Page 351 (h) related to transmission only</t>
  </si>
  <si>
    <t>to Page 3 of 5, L. 5a, col.3</t>
  </si>
  <si>
    <t xml:space="preserve">Line 5a - Regulatory Commission Expenses directly related to transmission service, ISO filings, or transmission siting itemized at 351.h. </t>
  </si>
  <si>
    <t>Page 356.1</t>
  </si>
  <si>
    <t>to Page 3 of 5, L. 6, col.3</t>
  </si>
  <si>
    <t>Common Plant related O&amp;M is not maintained separately, but is included in accounts as noted on page 356</t>
  </si>
  <si>
    <t xml:space="preserve">  Transmission Lease Payments</t>
  </si>
  <si>
    <t>to Page 3 of 5, L. 7, col.3</t>
  </si>
  <si>
    <t>will be notified by Transmission Policy and Tariffs</t>
  </si>
  <si>
    <t>Depreciation Expense Adjustment</t>
  </si>
  <si>
    <t>DEPRECIATION EXPENSE</t>
  </si>
  <si>
    <t>Per Form 1</t>
  </si>
  <si>
    <t>Page 336, L.7, Col.(f)</t>
  </si>
  <si>
    <t>to Page 3 of 5, L. 9, col.3</t>
  </si>
  <si>
    <t>Page 336, L.10, Col.(f)</t>
  </si>
  <si>
    <t>Page 336, L.1, Col.(f)</t>
  </si>
  <si>
    <t>to Page 3 of 5, L. 10, col.3</t>
  </si>
  <si>
    <t>Page 336, L.11, Col.(f)</t>
  </si>
  <si>
    <t>to Page 3 of 5, L. 11, col.3</t>
  </si>
  <si>
    <t>Transmission ARO</t>
  </si>
  <si>
    <t>Page 336, L.7, Col.(c)</t>
  </si>
  <si>
    <t>to Page 3 of 5, L. 9a, col.3</t>
  </si>
  <si>
    <t>Common ARO</t>
  </si>
  <si>
    <t>Page 336, L.11, Col.(c)</t>
  </si>
  <si>
    <t>to Page 3 of 5, L. 11a, col.3</t>
  </si>
  <si>
    <t>input accrual amount from LG&amp;E utility report page 2 FIN, and multiply by the electric ratio from page 2 of 5</t>
  </si>
  <si>
    <t>TAXES OTHER THAN INCOME TAXES  (Note J)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</si>
  <si>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</si>
  <si>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</si>
  <si>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</si>
  <si>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FICA</t>
  </si>
  <si>
    <t>Page 262-3, L.3, Col.(i)</t>
  </si>
  <si>
    <t>Line numbers can differ between the two Companies, so use the "Kind of Tax" entry in Col.(a), page 262</t>
  </si>
  <si>
    <t>Unemployment Insurance</t>
  </si>
  <si>
    <t>to select the correct amount on page 263 for the input  (applies to payroll taxes, highway &amp; vehicle taxes, and plant related taxes</t>
  </si>
  <si>
    <t>Local: Occupational</t>
  </si>
  <si>
    <t>Total Payroll Taxes</t>
  </si>
  <si>
    <t>to Page 3 of 5, L. 13, col.3</t>
  </si>
  <si>
    <t xml:space="preserve">          Highway and vehicle</t>
  </si>
  <si>
    <t>Page 262-3, Col.(i)</t>
  </si>
  <si>
    <t>to Page 3 of 5, L. 14, col.3</t>
  </si>
  <si>
    <t>See note above</t>
  </si>
  <si>
    <t>to Page 3 of 5, L. 16, col.3</t>
  </si>
  <si>
    <t>Gross Receipts</t>
  </si>
  <si>
    <t>to Page 3 of 5, L. 17, col.3</t>
  </si>
  <si>
    <t>Public Service Commission</t>
  </si>
  <si>
    <t>Page 262-3, L.7, Col.(i)</t>
  </si>
  <si>
    <t>6% Use tax (KY)</t>
  </si>
  <si>
    <t>Miscellaneous</t>
  </si>
  <si>
    <t>Total Other Taxes</t>
  </si>
  <si>
    <t>to Page 3 of 5, L. 18, col.3</t>
  </si>
  <si>
    <t>INCOME TAX INPUTS AND CALCULATIONS</t>
  </si>
  <si>
    <t>income-fed</t>
  </si>
  <si>
    <t>Page 263, L.2, Col.(i)</t>
  </si>
  <si>
    <t>income state</t>
  </si>
  <si>
    <t>Page 263, L.6, Col.(i)</t>
  </si>
  <si>
    <t>check total on taxes</t>
  </si>
  <si>
    <t>agrees to total on page 263, column i</t>
  </si>
  <si>
    <t>Account 255, amortization of ITC</t>
  </si>
  <si>
    <t>Page 266, L.8, Col.(f)</t>
  </si>
  <si>
    <t>to Page 3 of 5, L. 24, col.3, negative</t>
  </si>
  <si>
    <t>KU ITC amortization is below the line in Other Income &amp; Deductions; LGE ITC is production related &amp; excluded from XM</t>
  </si>
  <si>
    <t>Ancillary Charges Per Schedule 1:</t>
  </si>
  <si>
    <t>(561)</t>
  </si>
  <si>
    <t>(561.1)</t>
  </si>
  <si>
    <t>Page 321, L.85, Col.(b)</t>
  </si>
  <si>
    <t>to Sch 1, L.2</t>
  </si>
  <si>
    <t>(561.2)</t>
  </si>
  <si>
    <t>Page 321, L.86, Col.(b)</t>
  </si>
  <si>
    <t>to Sch 1, L.3</t>
  </si>
  <si>
    <t>(561.3)</t>
  </si>
  <si>
    <t>Page 321, L.87, Col.(b)</t>
  </si>
  <si>
    <t>to Sch 1, L.4</t>
  </si>
  <si>
    <t>(561.4)</t>
  </si>
  <si>
    <t>Page 321, L.88, Col.(b)</t>
  </si>
  <si>
    <t>to Sch 1, L.5</t>
  </si>
  <si>
    <t>(561.5)</t>
  </si>
  <si>
    <t>Page 321, L.89, Col.(b)</t>
  </si>
  <si>
    <t>to Sch 1, L.6</t>
  </si>
  <si>
    <t>(561.6)</t>
  </si>
  <si>
    <t>Page 321, L.90, Col.(b)</t>
  </si>
  <si>
    <t>to Sch 1, L.7</t>
  </si>
  <si>
    <t>(561.7)</t>
  </si>
  <si>
    <t>Page 321, L.91, Col.(b)</t>
  </si>
  <si>
    <t>to Sch 1, L.8</t>
  </si>
  <si>
    <t>(561.8)</t>
  </si>
  <si>
    <t>Page 321, L.92, Col.(b)</t>
  </si>
  <si>
    <t>to Sch 1, L.9</t>
  </si>
  <si>
    <t>to page 4 of 5, L. 7</t>
  </si>
  <si>
    <t>Ancillary services are included in the formula for Schedule 1 and must be removed in Attachment O</t>
  </si>
  <si>
    <t>Wages and Salaries</t>
  </si>
  <si>
    <t>Page 354, L.20, Col.(b)</t>
  </si>
  <si>
    <t>to page 4 of 5, L. 12</t>
  </si>
  <si>
    <t>Page 354, L.21, Col.(b)</t>
  </si>
  <si>
    <t>to page 4 of 5, L. 13</t>
  </si>
  <si>
    <t>Page 354, L.23, Col.(b)</t>
  </si>
  <si>
    <t>to page 4 of 5, L. 14</t>
  </si>
  <si>
    <t>Customer Accounts</t>
  </si>
  <si>
    <t>Page 354, L.24, Col.(b)</t>
  </si>
  <si>
    <t>Customer Service</t>
  </si>
  <si>
    <t>Page 354, L.25, Col.(b)</t>
  </si>
  <si>
    <t>Sales</t>
  </si>
  <si>
    <t>Page 354, L.26, Col.(b)</t>
  </si>
  <si>
    <t>to page 4 of 5, L. 15</t>
  </si>
  <si>
    <t>COMMON PLANT ALLOCATOR  (CE)   (Note O)</t>
  </si>
  <si>
    <t>Page 200, L.3, Col.(c)</t>
  </si>
  <si>
    <t>to page 4 of 5, L. 17</t>
  </si>
  <si>
    <t>Page 201, L.3, Col.(d)</t>
  </si>
  <si>
    <t>to page 4 of 5, L. 18</t>
  </si>
  <si>
    <t>Page 201, L.3, Col.(e)</t>
  </si>
  <si>
    <t>to page 4 of 5, L. 19</t>
  </si>
  <si>
    <t>RETURN INPUTS</t>
  </si>
  <si>
    <t>Account 427</t>
  </si>
  <si>
    <t>Page 117, L.62, Col.(c)</t>
  </si>
  <si>
    <t>Purchase Accounting Adjustments</t>
  </si>
  <si>
    <t>Acct 427 (PA)</t>
  </si>
  <si>
    <t>Acct 427 (w.o. PA)</t>
  </si>
  <si>
    <t>Footnote to line 62</t>
  </si>
  <si>
    <t>Account 428</t>
  </si>
  <si>
    <t>Page 117, L.63, Col.(c)</t>
  </si>
  <si>
    <t>Account 428.1</t>
  </si>
  <si>
    <t>Page 117, L.64, Col.(c)</t>
  </si>
  <si>
    <t>Account 429</t>
  </si>
  <si>
    <t>Page 117, L.65, Col.(c)</t>
  </si>
  <si>
    <t>Account 429.1</t>
  </si>
  <si>
    <t>Page 117, L.66, Col.(c)</t>
  </si>
  <si>
    <t>Account 430</t>
  </si>
  <si>
    <t>Page 117, L.67, Col.(c)</t>
  </si>
  <si>
    <t>to page 4 of 5, L. 21</t>
  </si>
  <si>
    <t>Page 118, L.29, Col.(c)</t>
  </si>
  <si>
    <t>to page 4 of 5, L. 22</t>
  </si>
  <si>
    <t>Page 112, L.16, Col.(c)</t>
  </si>
  <si>
    <t>Other Paid In Capital (PA)</t>
  </si>
  <si>
    <t>Page 112, L.7, Col.(c)</t>
  </si>
  <si>
    <t>Other Paid In Capital (w.o. PA)</t>
  </si>
  <si>
    <t>Footnote to line 7</t>
  </si>
  <si>
    <t>Retained Earnings (PA)</t>
  </si>
  <si>
    <t>Page 112, L.11, Col.(c)</t>
  </si>
  <si>
    <t>Retained Earnings (w.o. PA)</t>
  </si>
  <si>
    <t>Footnote to line 11</t>
  </si>
  <si>
    <t>Acct 216.1 (PA)</t>
  </si>
  <si>
    <t>Page 112, L.12, Col.(c)</t>
  </si>
  <si>
    <t>Acct. 216.1 (w.o. PA)</t>
  </si>
  <si>
    <t>Footnote to L.12</t>
  </si>
  <si>
    <t>Acct 219 (PA)</t>
  </si>
  <si>
    <t>Page 112, L.15, Col.(c)</t>
  </si>
  <si>
    <t>Acct 219 (w.o. PA)</t>
  </si>
  <si>
    <t>Footnote to L.15</t>
  </si>
  <si>
    <t>Proprietary Capital without Purchase Accounting</t>
  </si>
  <si>
    <t>to page 4 of 5, L. 23</t>
  </si>
  <si>
    <t>ADJUSTMENTS TO CAPITALIZATION</t>
  </si>
  <si>
    <t>Unappropriated Undistributed Earnings</t>
  </si>
  <si>
    <t>Accum. OCI, Acct. 219</t>
  </si>
  <si>
    <t>Unappropriated Undistributed Earnings w/o PA</t>
  </si>
  <si>
    <t>to page 4 of 5, L. 25</t>
  </si>
  <si>
    <t>LONG TERM DEBT</t>
  </si>
  <si>
    <t>Total Long Term Debt</t>
  </si>
  <si>
    <t>Page 112, L.24, Col.(c)</t>
  </si>
  <si>
    <t>Acct 224 (PA)</t>
  </si>
  <si>
    <t>Page 112, L.21, Col.(c)</t>
  </si>
  <si>
    <t>Acct 224 ( w.o. PA)</t>
  </si>
  <si>
    <t>Footnote to L.21</t>
  </si>
  <si>
    <t>to page 4 of 5, L. 27</t>
  </si>
  <si>
    <t>Return on Equity</t>
  </si>
  <si>
    <t>Set by FERC Order; only change with authorization to do so.</t>
  </si>
  <si>
    <t>Account 456 -- Other Electric Revenues</t>
  </si>
  <si>
    <t>Line 35a-'Transmission Charges for all transmission transactions:</t>
  </si>
  <si>
    <t>Total Transmission Charges</t>
  </si>
  <si>
    <t>Page 330, Col.(n)</t>
  </si>
  <si>
    <t>to page 4 of 5, L. 35</t>
  </si>
  <si>
    <t>Page 328, Col.(d) contains FNO</t>
  </si>
  <si>
    <t>Page 330, L.1, Col.(n)</t>
  </si>
  <si>
    <t>Page 330, L.4, Col.(n)</t>
  </si>
  <si>
    <t>Page 330, L.6, Col.(n)</t>
  </si>
  <si>
    <t>Page 330, L.13, Col.(n)</t>
  </si>
  <si>
    <t>Page 330, L.15, Col.(n)</t>
  </si>
  <si>
    <t>Page 330, L.16, Col.(n)</t>
  </si>
  <si>
    <t>Page 330, L.17, Col.(n)</t>
  </si>
  <si>
    <t>Page 330, L.22, Col.(n)</t>
  </si>
  <si>
    <t>Page 330, L.28, Col.(n)</t>
  </si>
  <si>
    <t>Page 330, L.29, Col.(n)</t>
  </si>
  <si>
    <t>Page 330, L.30, Col.(n)</t>
  </si>
  <si>
    <t>Page 330, L.31, Col.(n)</t>
  </si>
  <si>
    <t>Page 330, L.32, Col.(n)</t>
  </si>
  <si>
    <t>Page 330, L.33, Col.(n)</t>
  </si>
  <si>
    <t>Page 330, L.34, Col.(n)</t>
  </si>
  <si>
    <t>Page 330.1, L.1, Col.(n)</t>
  </si>
  <si>
    <t>Page 330.1, L.2, Col.(n)</t>
  </si>
  <si>
    <t>Page 330.1, L.3, Col.(n)</t>
  </si>
  <si>
    <t>Page 330.1, L.4, Col.(n)</t>
  </si>
  <si>
    <t>Page 328, Col.(d) contains OLF</t>
  </si>
  <si>
    <t>Page 330, L.11, Col.(n)</t>
  </si>
  <si>
    <t>Page 328, Col.(d) contains FNS</t>
  </si>
  <si>
    <t>no FNS codes for either company</t>
  </si>
  <si>
    <t>Page 328, Col.(d) contains AD</t>
  </si>
  <si>
    <t>Page 330, L.2, Col.(n)</t>
  </si>
  <si>
    <t>Page 330, L.10, Col.(n)</t>
  </si>
  <si>
    <t>Page 330, L.12, Col.(n)</t>
  </si>
  <si>
    <t>Page 330, L.14, Col.(n)</t>
  </si>
  <si>
    <t>Page 330, L.18, Col.(n)</t>
  </si>
  <si>
    <t>Page 330, L.27, Col.(n)</t>
  </si>
  <si>
    <t>Page 328, Col.(d) contains LFP</t>
  </si>
  <si>
    <t>Page 330, L.5, Col.(n)</t>
  </si>
  <si>
    <t>Page 330, L.7, Col.(n)</t>
  </si>
  <si>
    <t>Page 330, L.26, Col.(n)</t>
  </si>
  <si>
    <t>Excluded Charges</t>
  </si>
  <si>
    <t>agree to page 4 of 5, L. 37</t>
  </si>
  <si>
    <t>to Page 4 of 5, L. 36</t>
  </si>
  <si>
    <t>Schedule 1</t>
  </si>
  <si>
    <t>LG&amp;E</t>
  </si>
  <si>
    <t>Expenses</t>
  </si>
  <si>
    <t>Ancillary service expenses are itemized above for removal from Attachment O.</t>
  </si>
  <si>
    <t>Revenue</t>
  </si>
  <si>
    <t>Scheduling System Control &amp; Dispatch</t>
  </si>
  <si>
    <t>To Sch. 1, Line 11</t>
  </si>
  <si>
    <t>All Sch. 1 charges except for KMPA due to depancaking; provided by F. Rubio, Transmission</t>
  </si>
  <si>
    <t>Revenue from Network &amp; Long Term</t>
  </si>
  <si>
    <t>To Sch. 1, Line 12</t>
  </si>
  <si>
    <t>Sch. 1 charges for network, long term firm, and firm other; provided by F. Rubio, Transmission</t>
  </si>
  <si>
    <t>Short-Term and Non-Firm Revenue</t>
  </si>
  <si>
    <t>To Sch. 1, Line 13</t>
  </si>
  <si>
    <t>Tab:  VA_PIS NBV P9 (FIN) -- Electric Transmission only starting on row 46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</si>
  <si>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</si>
  <si>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</si>
  <si>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</si>
  <si>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</si>
  <si>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</si>
  <si>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</si>
  <si>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</si>
  <si>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</si>
  <si>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TOTAL 101 &amp; 106</t>
  </si>
  <si>
    <t>Plant in Service</t>
  </si>
  <si>
    <t>Electric Transmission</t>
  </si>
  <si>
    <t>E350.10-Land Rights</t>
  </si>
  <si>
    <t>E350.20-Land</t>
  </si>
  <si>
    <t>E352.10-Struct &amp; Imp-Non Sys Contro</t>
  </si>
  <si>
    <t>E353.10-Station Equipment - Non Sys</t>
  </si>
  <si>
    <t>E354.00-Towers and Fixtures</t>
  </si>
  <si>
    <t>E355.00-Poles and Fixtures</t>
  </si>
  <si>
    <t>E356.00-OH Conductors and Devices</t>
  </si>
  <si>
    <t>E357.00-Underground Conduit</t>
  </si>
  <si>
    <t>E358.00-Underground Conductors a</t>
  </si>
  <si>
    <t>spreadsheet provided by Property Accounting for the annual cost separation study.  If any entries in the date column are for current year,</t>
  </si>
  <si>
    <t>include dollar amounts on appropriate acct row in the Additions column; otherwise, check for change in balance due to retirements.</t>
  </si>
  <si>
    <t>Previous year ending balance is transferred to current year beginning balance, additions and retirements are entered as appropriate in</t>
  </si>
  <si>
    <t>columns, and ending balance is updated automatically.</t>
  </si>
  <si>
    <t>Electric Transmission -- 500kV Transmission Line Located in Virginia, serving Kentucky</t>
  </si>
  <si>
    <t>Electric Transmission -- Virginia Balances excluded from OATT formula rate</t>
  </si>
  <si>
    <t>Note:  VA transmission plant total from row 48 above is linked to Page 4 of 5, line 2, and a transmission plant allocator is calculated to appropriately remove from all formula rate components any costs related to VA transmission facilities.</t>
  </si>
  <si>
    <t>from total transmission on Page 2 of 5, line 8.</t>
  </si>
  <si>
    <t xml:space="preserve">Type of Service </t>
  </si>
  <si>
    <t xml:space="preserve">Unit of Measure </t>
  </si>
  <si>
    <t>Hourly Peak</t>
  </si>
  <si>
    <t xml:space="preserve">$/MWh </t>
  </si>
  <si>
    <t>Hourly Off-Peak</t>
  </si>
  <si>
    <t>Daily Peak</t>
  </si>
  <si>
    <t>$/MW-Day</t>
  </si>
  <si>
    <t>Daily Off-Peak</t>
  </si>
  <si>
    <t xml:space="preserve">Weekly  </t>
  </si>
  <si>
    <t>$/MW-Week</t>
  </si>
  <si>
    <t xml:space="preserve">Monthly </t>
  </si>
  <si>
    <t>$/MW-Month</t>
  </si>
  <si>
    <t xml:space="preserve">Schedule 1 </t>
  </si>
  <si>
    <t>$/MWh</t>
  </si>
  <si>
    <t>354.24,25,26.b</t>
  </si>
  <si>
    <t>Electric Allocation Ratio</t>
  </si>
  <si>
    <t>LGE balance, per Form 1 page 356.1 (excludes all 107)</t>
  </si>
  <si>
    <t>101 &amp; 106</t>
  </si>
  <si>
    <t>Source:  December 2014 Kentucky Utilities Company Monthly Plant Report and VA500kV asset listing</t>
  </si>
  <si>
    <t>Source:  Cost of Service/2014/12-31-2014/Plant/VA 500 KV Line - Dec 2014.xlsx</t>
  </si>
  <si>
    <t>See "Page 1 Line 9" spreadsheet (copy of KU Form B, Sheet 2)</t>
  </si>
  <si>
    <t>LG&amp;E col (h) = 0 for 2014</t>
  </si>
  <si>
    <t>Provided by Transmisison Policy &amp; Tariffs; see workpapers from F Rubio -- OMU reservations included in PTP on page 400</t>
  </si>
  <si>
    <t>to Page 2 of 5, L. 25</t>
  </si>
  <si>
    <t>to Page 2 of 5, L. 24</t>
  </si>
  <si>
    <t>to Page 2 of 5, L. 27, col.3 (enter negative)</t>
  </si>
  <si>
    <t>Common ARO (electric only)</t>
  </si>
  <si>
    <t>P.356.1, acct 399 (LGE only)</t>
  </si>
  <si>
    <t>Amortization complete February 2014</t>
  </si>
  <si>
    <t>Amortization until July 2020</t>
  </si>
  <si>
    <t>FERC audit expenses are recoverable through the transmission revenue requirement and are included in the total entered in C&amp;D179</t>
  </si>
  <si>
    <t>Page 350, L.46, Col.(h)</t>
  </si>
  <si>
    <t>Reg Comm Expenses</t>
  </si>
  <si>
    <t>Page 350, L.8 KU,L.12 LGE, Col.(h)</t>
  </si>
  <si>
    <t>Page 350, L.3, Col.(h) LGE only</t>
  </si>
  <si>
    <t>For the 12 months ended 12/31/2014</t>
  </si>
  <si>
    <t>Page 262-3, L.8, Col.(i)</t>
  </si>
  <si>
    <t>Page 262-3, L.15 (K), Col.(i)</t>
  </si>
  <si>
    <t>Page 262-3, L.11 (K) L.12 (L), Col.(i)</t>
  </si>
  <si>
    <t>Page 262-3, L.15 (L), Col.(i)</t>
  </si>
  <si>
    <t>Page 262-3, L.14 (K), L.18 (L), Col.(i)</t>
  </si>
  <si>
    <t>T = L. 21</t>
  </si>
  <si>
    <t>Page 330, L.19, Col.(n)</t>
  </si>
  <si>
    <t>Page 330, L.23, Col.(n)</t>
  </si>
  <si>
    <t>Page 330, L.25, Col.(n)</t>
  </si>
  <si>
    <t>Page 330, L.8, Col.(n)</t>
  </si>
  <si>
    <t>Page 330, L.24, Col.(n)</t>
  </si>
  <si>
    <t>copy prev yr end bal to beg, multiply by calculated depreciation rate in I146</t>
  </si>
  <si>
    <t>confirm links to transmission plant and book depreciation expense in M144-N145</t>
  </si>
  <si>
    <t>n/a</t>
  </si>
  <si>
    <t>SCHEDULE 1 FORMULA DEVELOPMENT</t>
  </si>
  <si>
    <t>Line No</t>
  </si>
  <si>
    <t>Description</t>
  </si>
  <si>
    <t>Reference</t>
  </si>
  <si>
    <t>Expense</t>
  </si>
  <si>
    <t>Form 1 Page</t>
  </si>
  <si>
    <t>Load Dispatching</t>
  </si>
  <si>
    <t>Load Dispatch-Reliability</t>
  </si>
  <si>
    <t>321.85.b</t>
  </si>
  <si>
    <t>Load Dispatch-Monitor &amp; Operate Transmission System</t>
  </si>
  <si>
    <t>321.86.b</t>
  </si>
  <si>
    <t>Load Dispatch-Transmission Service and Scheduling</t>
  </si>
  <si>
    <t>321.87.b</t>
  </si>
  <si>
    <t>Scheduling, System Control &amp; Dispatch Services</t>
  </si>
  <si>
    <t>321.88.b</t>
  </si>
  <si>
    <t>Reliability, Planning &amp; Standards Development</t>
  </si>
  <si>
    <t>321.89.b</t>
  </si>
  <si>
    <t>Transmission Service Studies</t>
  </si>
  <si>
    <t>321.90.b</t>
  </si>
  <si>
    <t>Generation Interconnection Studies</t>
  </si>
  <si>
    <t>321.91.b</t>
  </si>
  <si>
    <t>Reliability, Planning &amp; Standards Development Services</t>
  </si>
  <si>
    <t>321.92.b</t>
  </si>
  <si>
    <t>Sum of O&amp;M Expenses</t>
  </si>
  <si>
    <t>line 11 + line 12</t>
  </si>
  <si>
    <t>Revenue Requirement</t>
  </si>
  <si>
    <t>line 10 - line 13</t>
  </si>
  <si>
    <t>Transmission System 12 CP</t>
  </si>
  <si>
    <t>Att. O, pg 1, line 15</t>
  </si>
  <si>
    <t>Annual Schedule 1 Rate</t>
  </si>
  <si>
    <t>line 14 / line 15</t>
  </si>
  <si>
    <t>Monthly rate</t>
  </si>
  <si>
    <t>line 16 / 12</t>
  </si>
  <si>
    <t>to page 4 of 5, L.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</si>
</sst>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#,##0.000"/>
    <numFmt numFmtId="167" formatCode="&quot;$&quot;#,##0.000"/>
    <numFmt numFmtId="168" formatCode="0.0000"/>
    <numFmt numFmtId="169" formatCode="#,##0.00000"/>
    <numFmt numFmtId="170" formatCode="_(&quot;$&quot;* #,##0_);_(&quot;$&quot;* \(#,##0\);_(&quot;$&quot;* &quot;-&quot;??_);_(@_)"/>
    <numFmt numFmtId="171" formatCode="0.000%"/>
    <numFmt numFmtId="172" formatCode="&quot;$&quot;#,##0"/>
    <numFmt numFmtId="173" formatCode="#,##0.0"/>
    <numFmt numFmtId="174" formatCode="#,##0.0000"/>
    <numFmt numFmtId="175" formatCode="_(* #,##0_);_(* \(#,##0\);_(* &quot;-&quot;??_);_(@_)"/>
    <numFmt numFmtId="176" formatCode="_-* #,##0.00\ [$€]_-;\-* #,##0.00\ [$€]_-;_-* &quot;-&quot;??\ [$€]_-;_-@_-"/>
    <numFmt numFmtId="177" formatCode="0\ 00\ 000\ 000"/>
    <numFmt numFmtId="178" formatCode="[$-409]d\-mmm\-yy;@"/>
    <numFmt numFmtId="179" formatCode="&quot;$&quot;#,##0\ ;\(&quot;$&quot;#,##0\)"/>
    <numFmt numFmtId="180" formatCode="#,##0.00;[Red]\(#,##0.00\)"/>
    <numFmt numFmtId="181" formatCode="0_);\(0\)"/>
    <numFmt numFmtId="182" formatCode="_(* #,##0.00000_);_(* \(#,##0.00000\);_(* &quot;-&quot;??_);_(@_)"/>
    <numFmt numFmtId="183" formatCode="0.000"/>
    <numFmt numFmtId="184" formatCode="_(* #,##0.000_);_(* \(#,##0.000\);_(* &quot;-&quot;??_);_(@_)"/>
    <numFmt numFmtId="185" formatCode="_(&quot;$&quot;* #,##0.000_);_(&quot;$&quot;* \(#,##0.000\);_(&quot;$&quot;* &quot;-&quot;??_);_(@_)"/>
    <numFmt numFmtId="186" formatCode="_(* #,##0.0000_);_(* \(#,##0.0000\);_(* &quot;-&quot;??_);_(@_)"/>
    <numFmt numFmtId="187" formatCode="_(* #,##0.00000000_);_(* \(#,##0.00000000\);_(* &quot;-&quot;??_);_(@_)"/>
    <numFmt numFmtId="189" formatCode="0.00000%"/>
    <numFmt numFmtId="190" formatCode="#,##0.0000_);\(#,##0.0000\)"/>
    <numFmt numFmtId="191" formatCode="mmmm\ d\,\ yyyy\ &quot;Rate&quot;"/>
    <numFmt numFmtId="192" formatCode="&quot;$&quot;#,##0.000_);[Red]\(&quot;$&quot;#,##0.000\)"/>
    <numFmt numFmtId="193" formatCode="_(&quot;$&quot;* #,##0_)"/>
    <numFmt numFmtId="194" formatCode="_(* #,##0_)"/>
    <numFmt numFmtId="195" formatCode="_(&quot;$&quot;* #,##0.000_)"/>
    <numFmt numFmtId="196" formatCode="_(&quot;$&quot;* #,##0_);_(&quot;$&quot;* \(#,##0\)_)"/>
    <numFmt numFmtId="197" formatCode="_(* #,##0_);_(* \(#,##0\)_)"/>
  </numFmts>
  <fonts count="84" x14ac:knownFonts="1"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Times New Roman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7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sz val="10"/>
      <color rgb="FF0000FF"/>
      <name val="Calibri"/>
      <family val="2"/>
      <scheme val="minor"/>
    </font>
    <font>
      <sz val="14"/>
      <name val="Calibri"/>
      <family val="2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color rgb="FF000000"/>
      <name val="Polo"/>
    </font>
    <font>
      <b/>
      <sz val="16"/>
      <name val="Polo"/>
    </font>
    <font>
      <sz val="16"/>
      <color rgb="FF000000"/>
      <name val="Polo"/>
    </font>
    <font>
      <sz val="16"/>
      <name val="Polo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"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7">
    <xf numFmtId="37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4" fillId="2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10" fillId="18" borderId="5" applyNumberFormat="0" applyAlignment="0" applyProtection="0"/>
    <xf numFmtId="177" fontId="11" fillId="0" borderId="2" applyBorder="0">
      <alignment horizontal="center" vertical="center"/>
    </xf>
    <xf numFmtId="178" fontId="12" fillId="19" borderId="0">
      <alignment horizontal="left"/>
    </xf>
    <xf numFmtId="178" fontId="13" fillId="19" borderId="0">
      <alignment horizontal="right"/>
    </xf>
    <xf numFmtId="178" fontId="14" fillId="17" borderId="0">
      <alignment horizontal="center"/>
    </xf>
    <xf numFmtId="178" fontId="13" fillId="19" borderId="0">
      <alignment horizontal="right"/>
    </xf>
    <xf numFmtId="178" fontId="15" fillId="17" borderId="0">
      <alignment horizontal="left"/>
    </xf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20" borderId="6" applyNumberFormat="0" applyFont="0" applyAlignment="0">
      <protection locked="0"/>
    </xf>
    <xf numFmtId="176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20" fillId="0" borderId="0" applyProtection="0"/>
    <xf numFmtId="176" fontId="2" fillId="0" borderId="0" applyProtection="0"/>
    <xf numFmtId="176" fontId="21" fillId="0" borderId="0" applyProtection="0"/>
    <xf numFmtId="176" fontId="22" fillId="0" borderId="0" applyProtection="0"/>
    <xf numFmtId="176" fontId="4" fillId="0" borderId="0" applyProtection="0"/>
    <xf numFmtId="176" fontId="20" fillId="0" borderId="0" applyProtection="0"/>
    <xf numFmtId="176" fontId="23" fillId="0" borderId="0" applyProtection="0"/>
    <xf numFmtId="2" fontId="4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4" applyNumberFormat="0" applyAlignment="0" applyProtection="0"/>
    <xf numFmtId="178" fontId="12" fillId="19" borderId="0">
      <alignment horizontal="left"/>
    </xf>
    <xf numFmtId="178" fontId="29" fillId="17" borderId="0">
      <alignment horizontal="left"/>
    </xf>
    <xf numFmtId="0" fontId="30" fillId="0" borderId="10" applyNumberFormat="0" applyFill="0" applyAlignment="0" applyProtection="0"/>
    <xf numFmtId="0" fontId="31" fillId="8" borderId="0" applyNumberFormat="0" applyBorder="0" applyAlignment="0" applyProtection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" fillId="5" borderId="11" applyNumberFormat="0" applyFont="0" applyAlignment="0" applyProtection="0"/>
    <xf numFmtId="0" fontId="33" fillId="17" borderId="12" applyNumberFormat="0" applyAlignment="0" applyProtection="0"/>
    <xf numFmtId="180" fontId="34" fillId="17" borderId="0">
      <alignment horizontal="right"/>
    </xf>
    <xf numFmtId="40" fontId="35" fillId="21" borderId="0">
      <alignment horizontal="right"/>
    </xf>
    <xf numFmtId="178" fontId="36" fillId="22" borderId="0">
      <alignment horizontal="center"/>
    </xf>
    <xf numFmtId="178" fontId="12" fillId="23" borderId="0"/>
    <xf numFmtId="178" fontId="37" fillId="17" borderId="0" applyBorder="0">
      <alignment horizontal="centerContinuous"/>
    </xf>
    <xf numFmtId="178" fontId="38" fillId="23" borderId="0" applyBorder="0">
      <alignment horizontal="centerContinuous"/>
    </xf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24" borderId="13">
      <alignment horizontal="left"/>
    </xf>
    <xf numFmtId="176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76" fontId="40" fillId="0" borderId="1">
      <alignment horizontal="center"/>
    </xf>
    <xf numFmtId="3" fontId="39" fillId="0" borderId="0" applyFont="0" applyFill="0" applyBorder="0" applyAlignment="0" applyProtection="0"/>
    <xf numFmtId="176" fontId="39" fillId="25" borderId="0" applyNumberFormat="0" applyFont="0" applyBorder="0" applyAlignment="0" applyProtection="0"/>
    <xf numFmtId="178" fontId="29" fillId="8" borderId="0">
      <alignment horizontal="center"/>
    </xf>
    <xf numFmtId="49" fontId="41" fillId="17" borderId="0">
      <alignment horizontal="center"/>
    </xf>
    <xf numFmtId="178" fontId="13" fillId="19" borderId="0">
      <alignment horizontal="center"/>
    </xf>
    <xf numFmtId="178" fontId="13" fillId="19" borderId="0">
      <alignment horizontal="centerContinuous"/>
    </xf>
    <xf numFmtId="178" fontId="42" fillId="17" borderId="0">
      <alignment horizontal="left"/>
    </xf>
    <xf numFmtId="49" fontId="42" fillId="17" borderId="0">
      <alignment horizontal="center"/>
    </xf>
    <xf numFmtId="178" fontId="12" fillId="19" borderId="0">
      <alignment horizontal="left"/>
    </xf>
    <xf numFmtId="49" fontId="42" fillId="17" borderId="0">
      <alignment horizontal="left"/>
    </xf>
    <xf numFmtId="178" fontId="12" fillId="19" borderId="0">
      <alignment horizontal="centerContinuous"/>
    </xf>
    <xf numFmtId="178" fontId="12" fillId="19" borderId="0">
      <alignment horizontal="right"/>
    </xf>
    <xf numFmtId="49" fontId="29" fillId="17" borderId="0">
      <alignment horizontal="left"/>
    </xf>
    <xf numFmtId="178" fontId="13" fillId="19" borderId="0">
      <alignment horizontal="right"/>
    </xf>
    <xf numFmtId="178" fontId="42" fillId="6" borderId="0">
      <alignment horizontal="center"/>
    </xf>
    <xf numFmtId="178" fontId="43" fillId="6" borderId="0">
      <alignment horizontal="center"/>
    </xf>
    <xf numFmtId="4" fontId="20" fillId="26" borderId="14" applyNumberFormat="0" applyProtection="0">
      <alignment vertical="center"/>
    </xf>
    <xf numFmtId="4" fontId="44" fillId="26" borderId="15" applyNumberFormat="0" applyProtection="0">
      <alignment vertical="center"/>
    </xf>
    <xf numFmtId="4" fontId="20" fillId="26" borderId="14" applyNumberFormat="0" applyProtection="0">
      <alignment horizontal="left" vertical="center" indent="1"/>
    </xf>
    <xf numFmtId="176" fontId="20" fillId="27" borderId="15" applyNumberFormat="0" applyProtection="0">
      <alignment horizontal="left" vertical="top" indent="1"/>
    </xf>
    <xf numFmtId="4" fontId="20" fillId="23" borderId="0" applyNumberFormat="0" applyProtection="0">
      <alignment horizontal="left" vertical="center" indent="1"/>
    </xf>
    <xf numFmtId="4" fontId="4" fillId="26" borderId="15" applyNumberFormat="0" applyProtection="0">
      <alignment horizontal="right" vertical="center"/>
    </xf>
    <xf numFmtId="4" fontId="45" fillId="28" borderId="15" applyNumberFormat="0" applyProtection="0">
      <alignment horizontal="right" vertical="center"/>
    </xf>
    <xf numFmtId="4" fontId="45" fillId="29" borderId="15" applyNumberFormat="0" applyProtection="0">
      <alignment horizontal="right" vertical="center"/>
    </xf>
    <xf numFmtId="4" fontId="4" fillId="8" borderId="15" applyNumberFormat="0" applyProtection="0">
      <alignment horizontal="right" vertical="center"/>
    </xf>
    <xf numFmtId="4" fontId="4" fillId="3" borderId="15" applyNumberFormat="0" applyProtection="0">
      <alignment horizontal="right" vertical="center"/>
    </xf>
    <xf numFmtId="4" fontId="4" fillId="9" borderId="15" applyNumberFormat="0" applyProtection="0">
      <alignment horizontal="right" vertical="center"/>
    </xf>
    <xf numFmtId="4" fontId="45" fillId="15" borderId="15" applyNumberFormat="0" applyProtection="0">
      <alignment horizontal="right" vertical="center"/>
    </xf>
    <xf numFmtId="4" fontId="45" fillId="30" borderId="15" applyNumberFormat="0" applyProtection="0">
      <alignment horizontal="right" vertical="center"/>
    </xf>
    <xf numFmtId="4" fontId="4" fillId="14" borderId="15" applyNumberFormat="0" applyProtection="0">
      <alignment horizontal="right" vertical="center"/>
    </xf>
    <xf numFmtId="4" fontId="20" fillId="31" borderId="0" applyNumberFormat="0" applyProtection="0">
      <alignment horizontal="left" vertical="center" indent="1"/>
    </xf>
    <xf numFmtId="4" fontId="4" fillId="10" borderId="0" applyNumberFormat="0" applyProtection="0">
      <alignment horizontal="left" vertical="center" indent="1"/>
    </xf>
    <xf numFmtId="4" fontId="41" fillId="32" borderId="0" applyNumberFormat="0" applyProtection="0">
      <alignment horizontal="left" vertical="center" indent="1"/>
    </xf>
    <xf numFmtId="4" fontId="4" fillId="10" borderId="14" applyNumberFormat="0" applyProtection="0">
      <alignment horizontal="right" vertical="center"/>
    </xf>
    <xf numFmtId="4" fontId="4" fillId="10" borderId="0" applyNumberFormat="0" applyProtection="0">
      <alignment horizontal="left" vertical="center" indent="1"/>
    </xf>
    <xf numFmtId="4" fontId="4" fillId="27" borderId="0" applyNumberFormat="0" applyProtection="0">
      <alignment horizontal="left" vertical="center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176" fontId="4" fillId="10" borderId="14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34" fillId="33" borderId="15" applyNumberFormat="0" applyProtection="0">
      <alignment vertical="center"/>
    </xf>
    <xf numFmtId="4" fontId="46" fillId="33" borderId="15" applyNumberFormat="0" applyProtection="0">
      <alignment vertical="center"/>
    </xf>
    <xf numFmtId="4" fontId="4" fillId="10" borderId="15" applyNumberFormat="0" applyProtection="0">
      <alignment horizontal="left" vertical="center" indent="1"/>
    </xf>
    <xf numFmtId="176" fontId="4" fillId="10" borderId="15" applyNumberFormat="0" applyProtection="0">
      <alignment horizontal="left" vertical="top" indent="1"/>
    </xf>
    <xf numFmtId="4" fontId="4" fillId="34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4" fillId="10" borderId="14" applyNumberFormat="0" applyProtection="0">
      <alignment horizontal="left" vertical="center" indent="1"/>
    </xf>
    <xf numFmtId="176" fontId="4" fillId="10" borderId="14" applyNumberFormat="0" applyProtection="0">
      <alignment horizontal="left" vertical="top" indent="1"/>
    </xf>
    <xf numFmtId="4" fontId="47" fillId="0" borderId="0" applyNumberFormat="0" applyProtection="0">
      <alignment horizontal="left" vertical="center" indent="1"/>
    </xf>
    <xf numFmtId="4" fontId="4" fillId="0" borderId="15" applyNumberFormat="0" applyProtection="0">
      <alignment horizontal="right" vertical="center"/>
    </xf>
    <xf numFmtId="176" fontId="4" fillId="0" borderId="16" applyNumberFormat="0" applyFont="0" applyFill="0" applyBorder="0" applyAlignment="0" applyProtection="0"/>
    <xf numFmtId="176" fontId="4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176" fontId="32" fillId="0" borderId="0"/>
    <xf numFmtId="178" fontId="50" fillId="17" borderId="0">
      <alignment horizontal="center"/>
    </xf>
    <xf numFmtId="0" fontId="3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37" fontId="2" fillId="0" borderId="0"/>
  </cellStyleXfs>
  <cellXfs count="574">
    <xf numFmtId="37" fontId="0" fillId="0" borderId="0" xfId="0"/>
    <xf numFmtId="164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/>
    <xf numFmtId="0" fontId="51" fillId="0" borderId="0" xfId="0" applyNumberFormat="1" applyFont="1" applyFill="1" applyAlignment="1" applyProtection="1">
      <alignment horizontal="left"/>
    </xf>
    <xf numFmtId="0" fontId="51" fillId="0" borderId="0" xfId="0" applyNumberFormat="1" applyFont="1" applyFill="1" applyProtection="1"/>
    <xf numFmtId="0" fontId="51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Alignment="1" applyProtection="1">
      <alignment horizontal="right"/>
    </xf>
    <xf numFmtId="0" fontId="52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left"/>
    </xf>
    <xf numFmtId="3" fontId="51" fillId="0" borderId="0" xfId="0" applyNumberFormat="1" applyFont="1" applyFill="1" applyAlignment="1" applyProtection="1"/>
    <xf numFmtId="49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"/>
    </xf>
    <xf numFmtId="3" fontId="51" fillId="0" borderId="0" xfId="0" applyNumberFormat="1" applyFont="1" applyFill="1" applyProtection="1"/>
    <xf numFmtId="42" fontId="51" fillId="0" borderId="0" xfId="0" applyNumberFormat="1" applyFont="1" applyFill="1" applyProtection="1"/>
    <xf numFmtId="0" fontId="51" fillId="0" borderId="1" xfId="0" applyNumberFormat="1" applyFont="1" applyFill="1" applyBorder="1" applyAlignment="1" applyProtection="1">
      <alignment horizontal="centerContinuous"/>
    </xf>
    <xf numFmtId="165" fontId="51" fillId="0" borderId="0" xfId="0" applyNumberFormat="1" applyFont="1" applyFill="1" applyAlignment="1" applyProtection="1"/>
    <xf numFmtId="170" fontId="51" fillId="0" borderId="0" xfId="2" applyNumberFormat="1" applyFont="1" applyFill="1" applyAlignment="1" applyProtection="1"/>
    <xf numFmtId="175" fontId="51" fillId="0" borderId="0" xfId="1" applyNumberFormat="1" applyFont="1" applyFill="1" applyAlignment="1" applyProtection="1"/>
    <xf numFmtId="3" fontId="51" fillId="0" borderId="0" xfId="0" applyNumberFormat="1" applyFont="1" applyFill="1" applyBorder="1" applyProtection="1"/>
    <xf numFmtId="0" fontId="53" fillId="0" borderId="0" xfId="0" applyNumberFormat="1" applyFont="1" applyFill="1" applyProtection="1"/>
    <xf numFmtId="175" fontId="54" fillId="0" borderId="0" xfId="1" applyNumberFormat="1" applyFont="1" applyFill="1" applyBorder="1" applyAlignment="1" applyProtection="1"/>
    <xf numFmtId="37" fontId="55" fillId="0" borderId="0" xfId="0" applyFont="1" applyProtection="1"/>
    <xf numFmtId="3" fontId="51" fillId="0" borderId="0" xfId="0" applyNumberFormat="1" applyFont="1" applyFill="1" applyAlignment="1" applyProtection="1">
      <alignment horizontal="fill"/>
    </xf>
    <xf numFmtId="164" fontId="53" fillId="0" borderId="0" xfId="0" applyNumberFormat="1" applyFont="1" applyFill="1" applyAlignment="1" applyProtection="1"/>
    <xf numFmtId="0" fontId="51" fillId="0" borderId="0" xfId="0" applyNumberFormat="1" applyFont="1" applyFill="1" applyBorder="1" applyAlignment="1" applyProtection="1"/>
    <xf numFmtId="0" fontId="51" fillId="0" borderId="0" xfId="0" applyNumberFormat="1" applyFont="1" applyFill="1" applyBorder="1" applyProtection="1"/>
    <xf numFmtId="166" fontId="51" fillId="0" borderId="0" xfId="0" applyNumberFormat="1" applyFont="1" applyFill="1" applyBorder="1" applyProtection="1"/>
    <xf numFmtId="166" fontId="56" fillId="0" borderId="0" xfId="0" applyNumberFormat="1" applyFont="1" applyFill="1" applyProtection="1"/>
    <xf numFmtId="10" fontId="51" fillId="0" borderId="0" xfId="0" applyNumberFormat="1" applyFont="1" applyFill="1" applyProtection="1"/>
    <xf numFmtId="166" fontId="51" fillId="0" borderId="0" xfId="0" applyNumberFormat="1" applyFont="1" applyFill="1" applyProtection="1"/>
    <xf numFmtId="166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left"/>
    </xf>
    <xf numFmtId="184" fontId="51" fillId="0" borderId="0" xfId="1" applyNumberFormat="1" applyFont="1" applyFill="1" applyAlignment="1" applyProtection="1"/>
    <xf numFmtId="167" fontId="51" fillId="0" borderId="0" xfId="0" applyNumberFormat="1" applyFont="1" applyFill="1" applyProtection="1"/>
    <xf numFmtId="0" fontId="51" fillId="0" borderId="0" xfId="0" applyNumberFormat="1" applyFont="1" applyFill="1" applyBorder="1" applyAlignment="1" applyProtection="1">
      <alignment horizontal="center"/>
    </xf>
    <xf numFmtId="164" fontId="51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/>
    </xf>
    <xf numFmtId="170" fontId="51" fillId="0" borderId="0" xfId="2" applyNumberFormat="1" applyFont="1" applyFill="1" applyBorder="1" applyProtection="1"/>
    <xf numFmtId="175" fontId="51" fillId="0" borderId="0" xfId="1" applyNumberFormat="1" applyFont="1" applyFill="1" applyBorder="1" applyProtection="1"/>
    <xf numFmtId="3" fontId="57" fillId="0" borderId="0" xfId="0" applyNumberFormat="1" applyFont="1" applyFill="1" applyProtection="1"/>
    <xf numFmtId="0" fontId="51" fillId="0" borderId="0" xfId="0" applyNumberFormat="1" applyFont="1" applyFill="1" applyBorder="1" applyAlignment="1" applyProtection="1">
      <alignment horizontal="right"/>
    </xf>
    <xf numFmtId="0" fontId="51" fillId="0" borderId="0" xfId="0" quotePrefix="1" applyNumberFormat="1" applyFont="1" applyFill="1" applyBorder="1" applyProtection="1"/>
    <xf numFmtId="3" fontId="57" fillId="0" borderId="0" xfId="0" applyNumberFormat="1" applyFont="1" applyFill="1" applyBorder="1" applyProtection="1"/>
    <xf numFmtId="3" fontId="58" fillId="0" borderId="0" xfId="0" applyNumberFormat="1" applyFont="1" applyFill="1" applyBorder="1" applyProtection="1"/>
    <xf numFmtId="175" fontId="51" fillId="0" borderId="0" xfId="0" applyNumberFormat="1" applyFont="1" applyFill="1" applyBorder="1" applyProtection="1"/>
    <xf numFmtId="10" fontId="51" fillId="0" borderId="0" xfId="3" applyNumberFormat="1" applyFont="1" applyFill="1" applyBorder="1" applyProtection="1"/>
    <xf numFmtId="170" fontId="51" fillId="0" borderId="0" xfId="0" applyNumberFormat="1" applyFont="1" applyFill="1" applyBorder="1" applyProtection="1"/>
    <xf numFmtId="166" fontId="56" fillId="0" borderId="0" xfId="0" applyNumberFormat="1" applyFont="1" applyFill="1" applyBorder="1" applyProtection="1"/>
    <xf numFmtId="10" fontId="51" fillId="0" borderId="0" xfId="0" applyNumberFormat="1" applyFont="1" applyFill="1" applyBorder="1" applyProtection="1"/>
    <xf numFmtId="3" fontId="51" fillId="0" borderId="0" xfId="0" quotePrefix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/>
    <xf numFmtId="164" fontId="51" fillId="0" borderId="0" xfId="0" applyNumberFormat="1" applyFont="1" applyFill="1" applyBorder="1" applyAlignment="1" applyProtection="1">
      <alignment horizontal="center"/>
    </xf>
    <xf numFmtId="175" fontId="51" fillId="0" borderId="0" xfId="1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Alignment="1" applyProtection="1"/>
    <xf numFmtId="175" fontId="59" fillId="0" borderId="0" xfId="1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center"/>
    </xf>
    <xf numFmtId="172" fontId="59" fillId="0" borderId="0" xfId="0" applyNumberFormat="1" applyFont="1" applyFill="1" applyBorder="1" applyAlignment="1" applyProtection="1"/>
    <xf numFmtId="0" fontId="60" fillId="0" borderId="0" xfId="0" applyNumberFormat="1" applyFont="1" applyFill="1" applyBorder="1" applyProtection="1"/>
    <xf numFmtId="164" fontId="60" fillId="0" borderId="0" xfId="0" applyNumberFormat="1" applyFont="1" applyFill="1" applyBorder="1" applyAlignment="1" applyProtection="1"/>
    <xf numFmtId="3" fontId="52" fillId="0" borderId="0" xfId="0" applyNumberFormat="1" applyFont="1" applyFill="1" applyBorder="1" applyAlignment="1" applyProtection="1">
      <alignment horizontal="center"/>
    </xf>
    <xf numFmtId="38" fontId="51" fillId="0" borderId="0" xfId="0" applyNumberFormat="1" applyFont="1" applyFill="1" applyBorder="1" applyProtection="1"/>
    <xf numFmtId="38" fontId="51" fillId="0" borderId="0" xfId="0" applyNumberFormat="1" applyFont="1" applyFill="1" applyBorder="1" applyAlignment="1" applyProtection="1"/>
    <xf numFmtId="167" fontId="51" fillId="0" borderId="0" xfId="0" applyNumberFormat="1" applyFont="1" applyFill="1" applyBorder="1" applyProtection="1"/>
    <xf numFmtId="172" fontId="51" fillId="0" borderId="0" xfId="0" applyNumberFormat="1" applyFont="1" applyFill="1" applyBorder="1" applyProtection="1"/>
    <xf numFmtId="1" fontId="51" fillId="0" borderId="0" xfId="0" applyNumberFormat="1" applyFont="1" applyFill="1" applyBorder="1" applyProtection="1"/>
    <xf numFmtId="3" fontId="53" fillId="0" borderId="0" xfId="0" applyNumberFormat="1" applyFont="1" applyFill="1" applyBorder="1" applyAlignment="1" applyProtection="1">
      <alignment horizontal="left"/>
    </xf>
    <xf numFmtId="1" fontId="51" fillId="0" borderId="0" xfId="0" applyNumberFormat="1" applyFont="1" applyFill="1" applyBorder="1" applyAlignment="1" applyProtection="1"/>
    <xf numFmtId="172" fontId="51" fillId="0" borderId="0" xfId="0" applyNumberFormat="1" applyFont="1" applyFill="1" applyBorder="1" applyAlignment="1" applyProtection="1"/>
    <xf numFmtId="164" fontId="59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right"/>
    </xf>
    <xf numFmtId="0" fontId="61" fillId="0" borderId="0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Protection="1"/>
    <xf numFmtId="0" fontId="61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/>
    <xf numFmtId="0" fontId="56" fillId="0" borderId="0" xfId="0" applyNumberFormat="1" applyFont="1" applyFill="1" applyBorder="1" applyProtection="1"/>
    <xf numFmtId="3" fontId="56" fillId="0" borderId="0" xfId="0" applyNumberFormat="1" applyFont="1" applyFill="1" applyBorder="1" applyAlignment="1" applyProtection="1"/>
    <xf numFmtId="3" fontId="61" fillId="0" borderId="0" xfId="0" applyNumberFormat="1" applyFont="1" applyFill="1" applyBorder="1" applyAlignment="1" applyProtection="1">
      <alignment horizontal="center"/>
    </xf>
    <xf numFmtId="164" fontId="61" fillId="0" borderId="0" xfId="0" applyNumberFormat="1" applyFont="1" applyFill="1" applyBorder="1" applyAlignment="1" applyProtection="1"/>
    <xf numFmtId="0" fontId="53" fillId="0" borderId="0" xfId="0" applyNumberFormat="1" applyFont="1" applyFill="1" applyBorder="1" applyProtection="1"/>
    <xf numFmtId="10" fontId="61" fillId="0" borderId="0" xfId="0" applyNumberFormat="1" applyFont="1" applyFill="1" applyBorder="1" applyProtection="1"/>
    <xf numFmtId="0" fontId="53" fillId="0" borderId="0" xfId="0" applyNumberFormat="1" applyFont="1" applyFill="1" applyBorder="1" applyAlignment="1" applyProtection="1">
      <alignment horizontal="left"/>
    </xf>
    <xf numFmtId="164" fontId="61" fillId="0" borderId="0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Protection="1"/>
    <xf numFmtId="10" fontId="55" fillId="0" borderId="0" xfId="0" applyNumberFormat="1" applyFont="1" applyFill="1" applyBorder="1" applyProtection="1"/>
    <xf numFmtId="164" fontId="55" fillId="0" borderId="0" xfId="0" applyNumberFormat="1" applyFont="1" applyFill="1" applyBorder="1" applyAlignment="1" applyProtection="1"/>
    <xf numFmtId="164" fontId="55" fillId="0" borderId="0" xfId="0" applyNumberFormat="1" applyFont="1" applyFill="1" applyAlignment="1" applyProtection="1"/>
    <xf numFmtId="3" fontId="51" fillId="0" borderId="0" xfId="0" quotePrefix="1" applyNumberFormat="1" applyFont="1" applyFill="1" applyBorder="1" applyAlignment="1" applyProtection="1">
      <alignment horizontal="left"/>
    </xf>
    <xf numFmtId="164" fontId="51" fillId="0" borderId="0" xfId="0" applyNumberFormat="1" applyFont="1" applyAlignment="1"/>
    <xf numFmtId="0" fontId="51" fillId="0" borderId="0" xfId="0" applyNumberFormat="1" applyFont="1" applyAlignment="1" applyProtection="1">
      <protection locked="0"/>
    </xf>
    <xf numFmtId="0" fontId="51" fillId="0" borderId="0" xfId="0" applyNumberFormat="1" applyFont="1" applyProtection="1">
      <protection locked="0"/>
    </xf>
    <xf numFmtId="0" fontId="5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center"/>
      <protection locked="0"/>
    </xf>
    <xf numFmtId="0" fontId="51" fillId="0" borderId="0" xfId="0" applyNumberFormat="1" applyFont="1" applyAlignment="1" applyProtection="1">
      <alignment horizontal="right"/>
      <protection locked="0"/>
    </xf>
    <xf numFmtId="0" fontId="51" fillId="0" borderId="0" xfId="0" applyNumberFormat="1" applyFont="1"/>
    <xf numFmtId="0" fontId="51" fillId="0" borderId="0" xfId="0" applyNumberFormat="1" applyFont="1" applyAlignment="1"/>
    <xf numFmtId="164" fontId="51" fillId="0" borderId="0" xfId="0" applyNumberFormat="1" applyFont="1" applyFill="1" applyAlignment="1"/>
    <xf numFmtId="3" fontId="51" fillId="0" borderId="0" xfId="0" applyNumberFormat="1" applyFont="1" applyAlignment="1"/>
    <xf numFmtId="164" fontId="51" fillId="0" borderId="0" xfId="0" applyNumberFormat="1" applyFont="1" applyAlignment="1" applyProtection="1">
      <protection locked="0"/>
    </xf>
    <xf numFmtId="172" fontId="5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alignment horizontal="center"/>
      <protection locked="0"/>
    </xf>
    <xf numFmtId="0" fontId="61" fillId="0" borderId="0" xfId="0" applyNumberFormat="1" applyFont="1" applyProtection="1">
      <protection locked="0"/>
    </xf>
    <xf numFmtId="0" fontId="61" fillId="0" borderId="0" xfId="0" applyNumberFormat="1" applyFont="1" applyAlignment="1" applyProtection="1">
      <protection locked="0"/>
    </xf>
    <xf numFmtId="3" fontId="61" fillId="0" borderId="0" xfId="0" applyNumberFormat="1" applyFont="1" applyAlignment="1"/>
    <xf numFmtId="0" fontId="56" fillId="0" borderId="0" xfId="0" applyNumberFormat="1" applyFont="1" applyProtection="1">
      <protection locked="0"/>
    </xf>
    <xf numFmtId="3" fontId="56" fillId="0" borderId="0" xfId="0" applyNumberFormat="1" applyFont="1" applyAlignment="1"/>
    <xf numFmtId="0" fontId="61" fillId="0" borderId="1" xfId="0" applyNumberFormat="1" applyFont="1" applyBorder="1" applyAlignment="1" applyProtection="1">
      <alignment horizontal="center"/>
      <protection locked="0"/>
    </xf>
    <xf numFmtId="0" fontId="61" fillId="0" borderId="0" xfId="0" quotePrefix="1" applyNumberFormat="1" applyFont="1" applyFill="1" applyAlignment="1" applyProtection="1">
      <alignment horizontal="left"/>
      <protection locked="0"/>
    </xf>
    <xf numFmtId="0" fontId="61" fillId="0" borderId="0" xfId="0" applyNumberFormat="1" applyFont="1" applyFill="1" applyProtection="1">
      <protection locked="0"/>
    </xf>
    <xf numFmtId="3" fontId="61" fillId="0" borderId="0" xfId="0" applyNumberFormat="1" applyFont="1" applyFill="1" applyAlignment="1"/>
    <xf numFmtId="0" fontId="56" fillId="0" borderId="0" xfId="0" applyNumberFormat="1" applyFont="1" applyFill="1" applyProtection="1">
      <protection locked="0"/>
    </xf>
    <xf numFmtId="3" fontId="56" fillId="0" borderId="0" xfId="0" applyNumberFormat="1" applyFont="1" applyFill="1" applyAlignment="1"/>
    <xf numFmtId="0" fontId="61" fillId="0" borderId="0" xfId="0" applyNumberFormat="1" applyFont="1" applyFill="1" applyAlignment="1" applyProtection="1">
      <alignment horizontal="center"/>
      <protection locked="0"/>
    </xf>
    <xf numFmtId="0" fontId="51" fillId="0" borderId="0" xfId="0" applyNumberFormat="1" applyFont="1" applyFill="1"/>
    <xf numFmtId="3" fontId="61" fillId="0" borderId="0" xfId="0" applyNumberFormat="1" applyFont="1" applyFill="1" applyAlignment="1">
      <alignment horizontal="center"/>
    </xf>
    <xf numFmtId="164" fontId="61" fillId="0" borderId="0" xfId="0" applyNumberFormat="1" applyFont="1" applyFill="1" applyAlignment="1"/>
    <xf numFmtId="10" fontId="61" fillId="0" borderId="0" xfId="0" applyNumberFormat="1" applyFont="1" applyFill="1" applyProtection="1">
      <protection locked="0"/>
    </xf>
    <xf numFmtId="0" fontId="51" fillId="0" borderId="0" xfId="0" applyNumberFormat="1" applyFont="1" applyFill="1" applyProtection="1">
      <protection locked="0"/>
    </xf>
    <xf numFmtId="164" fontId="61" fillId="0" borderId="0" xfId="0" applyNumberFormat="1" applyFont="1" applyAlignment="1">
      <alignment horizontal="center"/>
    </xf>
    <xf numFmtId="164" fontId="61" fillId="0" borderId="0" xfId="0" applyNumberFormat="1" applyFont="1" applyAlignment="1"/>
    <xf numFmtId="0" fontId="61" fillId="0" borderId="0" xfId="0" quotePrefix="1" applyNumberFormat="1" applyFont="1" applyFill="1" applyAlignment="1">
      <alignment horizontal="left"/>
    </xf>
    <xf numFmtId="10" fontId="51" fillId="0" borderId="0" xfId="0" applyNumberFormat="1" applyFont="1" applyFill="1"/>
    <xf numFmtId="0" fontId="61" fillId="0" borderId="0" xfId="0" applyNumberFormat="1" applyFont="1" applyFill="1"/>
    <xf numFmtId="0" fontId="55" fillId="0" borderId="0" xfId="0" applyNumberFormat="1" applyFont="1" applyFill="1"/>
    <xf numFmtId="10" fontId="55" fillId="0" borderId="0" xfId="0" applyNumberFormat="1" applyFont="1" applyFill="1"/>
    <xf numFmtId="0" fontId="55" fillId="0" borderId="0" xfId="0" applyNumberFormat="1" applyFont="1"/>
    <xf numFmtId="164" fontId="55" fillId="0" borderId="0" xfId="0" applyNumberFormat="1" applyFont="1" applyAlignment="1"/>
    <xf numFmtId="164" fontId="61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/>
    <xf numFmtId="37" fontId="55" fillId="0" borderId="0" xfId="0" applyFont="1"/>
    <xf numFmtId="164" fontId="51" fillId="0" borderId="0" xfId="0" applyNumberFormat="1" applyFont="1" applyAlignment="1" applyProtection="1"/>
    <xf numFmtId="0" fontId="51" fillId="0" borderId="0" xfId="0" applyNumberFormat="1" applyFont="1" applyAlignment="1" applyProtection="1"/>
    <xf numFmtId="0" fontId="51" fillId="0" borderId="0" xfId="0" applyNumberFormat="1" applyFont="1" applyProtection="1"/>
    <xf numFmtId="0" fontId="51" fillId="0" borderId="0" xfId="0" applyNumberFormat="1" applyFont="1" applyAlignment="1" applyProtection="1">
      <alignment horizontal="center"/>
    </xf>
    <xf numFmtId="3" fontId="51" fillId="0" borderId="0" xfId="0" applyNumberFormat="1" applyFont="1" applyAlignment="1" applyProtection="1"/>
    <xf numFmtId="49" fontId="51" fillId="0" borderId="0" xfId="0" applyNumberFormat="1" applyFont="1" applyAlignment="1" applyProtection="1">
      <alignment horizontal="left"/>
    </xf>
    <xf numFmtId="49" fontId="51" fillId="0" borderId="0" xfId="0" applyNumberFormat="1" applyFont="1" applyAlignment="1" applyProtection="1">
      <alignment horizontal="center"/>
    </xf>
    <xf numFmtId="3" fontId="52" fillId="0" borderId="0" xfId="0" applyNumberFormat="1" applyFont="1" applyAlignment="1" applyProtection="1">
      <alignment horizontal="center"/>
    </xf>
    <xf numFmtId="0" fontId="52" fillId="0" borderId="0" xfId="0" applyNumberFormat="1" applyFont="1" applyAlignment="1" applyProtection="1">
      <alignment horizontal="center"/>
    </xf>
    <xf numFmtId="164" fontId="52" fillId="0" borderId="0" xfId="0" applyNumberFormat="1" applyFont="1" applyAlignment="1" applyProtection="1">
      <alignment horizontal="center"/>
    </xf>
    <xf numFmtId="3" fontId="52" fillId="0" borderId="0" xfId="0" applyNumberFormat="1" applyFont="1" applyAlignment="1" applyProtection="1"/>
    <xf numFmtId="0" fontId="58" fillId="0" borderId="0" xfId="0" applyNumberFormat="1" applyFont="1" applyAlignment="1" applyProtection="1">
      <alignment horizontal="center"/>
    </xf>
    <xf numFmtId="0" fontId="51" fillId="0" borderId="1" xfId="0" applyNumberFormat="1" applyFont="1" applyBorder="1" applyAlignment="1" applyProtection="1">
      <alignment horizontal="center"/>
    </xf>
    <xf numFmtId="0" fontId="52" fillId="0" borderId="0" xfId="0" applyNumberFormat="1" applyFont="1" applyAlignment="1" applyProtection="1"/>
    <xf numFmtId="164" fontId="51" fillId="0" borderId="0" xfId="0" applyNumberFormat="1" applyFont="1" applyFill="1" applyBorder="1" applyAlignment="1" applyProtection="1">
      <alignment horizontal="centerContinuous"/>
    </xf>
    <xf numFmtId="164" fontId="51" fillId="0" borderId="0" xfId="0" applyNumberFormat="1" applyFont="1" applyFill="1" applyBorder="1" applyAlignment="1" applyProtection="1">
      <alignment wrapText="1"/>
    </xf>
    <xf numFmtId="164" fontId="51" fillId="0" borderId="0" xfId="0" quotePrefix="1" applyNumberFormat="1" applyFont="1" applyFill="1" applyBorder="1" applyAlignment="1" applyProtection="1">
      <alignment horizontal="left" wrapText="1"/>
    </xf>
    <xf numFmtId="169" fontId="51" fillId="0" borderId="0" xfId="0" applyNumberFormat="1" applyFont="1" applyAlignment="1" applyProtection="1"/>
    <xf numFmtId="175" fontId="51" fillId="0" borderId="0" xfId="1" applyNumberFormat="1" applyFont="1" applyBorder="1" applyAlignment="1" applyProtection="1"/>
    <xf numFmtId="164" fontId="51" fillId="0" borderId="0" xfId="0" quotePrefix="1" applyNumberFormat="1" applyFont="1" applyFill="1" applyBorder="1" applyAlignment="1" applyProtection="1">
      <alignment horizontal="left"/>
    </xf>
    <xf numFmtId="170" fontId="59" fillId="0" borderId="0" xfId="2" applyNumberFormat="1" applyFont="1" applyFill="1" applyBorder="1" applyAlignment="1" applyProtection="1"/>
    <xf numFmtId="170" fontId="51" fillId="0" borderId="0" xfId="2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left"/>
    </xf>
    <xf numFmtId="165" fontId="51" fillId="0" borderId="0" xfId="0" applyNumberFormat="1" applyFont="1" applyAlignment="1" applyProtection="1">
      <alignment horizontal="right"/>
    </xf>
    <xf numFmtId="171" fontId="51" fillId="0" borderId="0" xfId="0" applyNumberFormat="1" applyFont="1" applyAlignment="1" applyProtection="1">
      <alignment horizontal="center"/>
    </xf>
    <xf numFmtId="3" fontId="51" fillId="0" borderId="0" xfId="0" quotePrefix="1" applyNumberFormat="1" applyFont="1" applyFill="1" applyBorder="1" applyAlignment="1" applyProtection="1">
      <alignment horizontal="center"/>
    </xf>
    <xf numFmtId="169" fontId="51" fillId="0" borderId="0" xfId="0" quotePrefix="1" applyNumberFormat="1" applyFont="1" applyAlignment="1" applyProtection="1">
      <alignment horizontal="right"/>
    </xf>
    <xf numFmtId="0" fontId="51" fillId="0" borderId="0" xfId="0" quotePrefix="1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horizontal="fill"/>
    </xf>
    <xf numFmtId="9" fontId="51" fillId="0" borderId="0" xfId="3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fill"/>
    </xf>
    <xf numFmtId="171" fontId="51" fillId="0" borderId="0" xfId="0" applyNumberFormat="1" applyFont="1" applyFill="1" applyBorder="1" applyAlignment="1" applyProtection="1">
      <alignment horizontal="center"/>
    </xf>
    <xf numFmtId="171" fontId="51" fillId="0" borderId="0" xfId="0" applyNumberFormat="1" applyFont="1" applyFill="1" applyBorder="1" applyAlignment="1" applyProtection="1">
      <alignment horizontal="left"/>
    </xf>
    <xf numFmtId="169" fontId="51" fillId="0" borderId="0" xfId="0" applyNumberFormat="1" applyFont="1" applyBorder="1" applyAlignment="1" applyProtection="1"/>
    <xf numFmtId="172" fontId="59" fillId="0" borderId="0" xfId="0" applyNumberFormat="1" applyFont="1" applyFill="1" applyBorder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center"/>
    </xf>
    <xf numFmtId="0" fontId="53" fillId="0" borderId="0" xfId="0" applyNumberFormat="1" applyFont="1" applyFill="1" applyBorder="1" applyAlignment="1" applyProtection="1"/>
    <xf numFmtId="3" fontId="51" fillId="0" borderId="0" xfId="0" applyNumberFormat="1" applyFont="1" applyFill="1" applyBorder="1" applyAlignment="1" applyProtection="1">
      <alignment horizontal="left"/>
    </xf>
    <xf numFmtId="164" fontId="61" fillId="0" borderId="0" xfId="0" quotePrefix="1" applyNumberFormat="1" applyFont="1" applyFill="1" applyAlignment="1">
      <alignment horizontal="left"/>
    </xf>
    <xf numFmtId="0" fontId="51" fillId="0" borderId="0" xfId="0" applyNumberFormat="1" applyFont="1" applyFill="1" applyBorder="1" applyAlignment="1" applyProtection="1">
      <alignment horizontal="right"/>
    </xf>
    <xf numFmtId="42" fontId="54" fillId="0" borderId="0" xfId="0" applyNumberFormat="1" applyFont="1" applyFill="1" applyBorder="1" applyAlignment="1" applyProtection="1">
      <alignment horizontal="right"/>
    </xf>
    <xf numFmtId="0" fontId="51" fillId="0" borderId="0" xfId="0" quotePrefix="1" applyNumberFormat="1" applyFont="1" applyFill="1" applyAlignment="1" applyProtection="1">
      <alignment horizontal="fill"/>
    </xf>
    <xf numFmtId="170" fontId="51" fillId="0" borderId="0" xfId="2" applyNumberFormat="1" applyFont="1" applyFill="1" applyAlignment="1" applyProtection="1">
      <alignment horizontal="right"/>
    </xf>
    <xf numFmtId="170" fontId="51" fillId="0" borderId="0" xfId="2" applyNumberFormat="1" applyFont="1" applyBorder="1" applyAlignment="1" applyProtection="1"/>
    <xf numFmtId="175" fontId="54" fillId="0" borderId="0" xfId="1" applyNumberFormat="1" applyFont="1" applyBorder="1" applyAlignment="1" applyProtection="1"/>
    <xf numFmtId="175" fontId="62" fillId="0" borderId="0" xfId="1" applyNumberFormat="1" applyFont="1" applyFill="1" applyBorder="1" applyAlignment="1" applyProtection="1"/>
    <xf numFmtId="170" fontId="62" fillId="0" borderId="0" xfId="2" applyNumberFormat="1" applyFont="1" applyBorder="1" applyAlignment="1" applyProtection="1"/>
    <xf numFmtId="175" fontId="51" fillId="0" borderId="0" xfId="1" applyNumberFormat="1" applyFont="1" applyFill="1" applyProtection="1"/>
    <xf numFmtId="175" fontId="54" fillId="0" borderId="0" xfId="1" applyNumberFormat="1" applyFont="1" applyFill="1" applyProtection="1"/>
    <xf numFmtId="183" fontId="51" fillId="0" borderId="0" xfId="0" applyNumberFormat="1" applyFont="1" applyFill="1" applyProtection="1"/>
    <xf numFmtId="169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Fill="1" applyAlignment="1" applyProtection="1">
      <alignment horizontal="left"/>
      <protection locked="0"/>
    </xf>
    <xf numFmtId="0" fontId="52" fillId="0" borderId="0" xfId="0" applyNumberFormat="1" applyFont="1" applyAlignment="1"/>
    <xf numFmtId="0" fontId="51" fillId="0" borderId="1" xfId="0" applyNumberFormat="1" applyFont="1" applyBorder="1" applyAlignment="1" applyProtection="1">
      <alignment horizontal="center"/>
      <protection locked="0"/>
    </xf>
    <xf numFmtId="3" fontId="51" fillId="0" borderId="0" xfId="0" applyNumberFormat="1" applyFont="1" applyFill="1" applyAlignment="1"/>
    <xf numFmtId="170" fontId="51" fillId="0" borderId="0" xfId="2" applyNumberFormat="1" applyFont="1" applyFill="1" applyBorder="1" applyAlignment="1"/>
    <xf numFmtId="175" fontId="51" fillId="0" borderId="0" xfId="1" applyNumberFormat="1" applyFont="1" applyFill="1" applyBorder="1" applyAlignment="1"/>
    <xf numFmtId="0" fontId="64" fillId="0" borderId="0" xfId="0" applyNumberFormat="1" applyFont="1"/>
    <xf numFmtId="0" fontId="51" fillId="0" borderId="1" xfId="0" applyNumberFormat="1" applyFont="1" applyFill="1" applyBorder="1"/>
    <xf numFmtId="3" fontId="51" fillId="0" borderId="1" xfId="0" applyNumberFormat="1" applyFont="1" applyFill="1" applyBorder="1" applyAlignment="1"/>
    <xf numFmtId="3" fontId="51" fillId="0" borderId="0" xfId="0" applyNumberFormat="1" applyFont="1" applyFill="1" applyAlignment="1">
      <alignment horizontal="center"/>
    </xf>
    <xf numFmtId="175" fontId="54" fillId="0" borderId="0" xfId="1" applyNumberFormat="1" applyFont="1" applyFill="1" applyBorder="1" applyAlignment="1"/>
    <xf numFmtId="49" fontId="51" fillId="0" borderId="0" xfId="0" applyNumberFormat="1" applyFont="1" applyFill="1"/>
    <xf numFmtId="49" fontId="51" fillId="0" borderId="0" xfId="0" applyNumberFormat="1" applyFont="1" applyFill="1" applyAlignment="1"/>
    <xf numFmtId="49" fontId="51" fillId="0" borderId="0" xfId="0" applyNumberFormat="1" applyFont="1" applyFill="1" applyAlignment="1">
      <alignment horizontal="center"/>
    </xf>
    <xf numFmtId="182" fontId="51" fillId="0" borderId="0" xfId="1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0" fontId="51" fillId="0" borderId="0" xfId="0" applyNumberFormat="1" applyFont="1" applyFill="1" applyAlignment="1">
      <alignment horizontal="center"/>
    </xf>
    <xf numFmtId="3" fontId="51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169" fontId="51" fillId="0" borderId="0" xfId="0" applyNumberFormat="1" applyFont="1" applyFill="1" applyAlignment="1"/>
    <xf numFmtId="164" fontId="53" fillId="0" borderId="0" xfId="0" applyNumberFormat="1" applyFont="1" applyFill="1" applyBorder="1"/>
    <xf numFmtId="169" fontId="51" fillId="0" borderId="0" xfId="0" applyNumberFormat="1" applyFont="1" applyFill="1"/>
    <xf numFmtId="165" fontId="51" fillId="0" borderId="0" xfId="0" applyNumberFormat="1" applyFont="1" applyFill="1"/>
    <xf numFmtId="3" fontId="51" fillId="0" borderId="0" xfId="0" applyNumberFormat="1" applyFont="1" applyAlignment="1">
      <alignment horizontal="center"/>
    </xf>
    <xf numFmtId="164" fontId="53" fillId="0" borderId="0" xfId="0" applyNumberFormat="1" applyFont="1" applyFill="1" applyBorder="1" applyAlignment="1">
      <alignment horizontal="left" wrapText="1"/>
    </xf>
    <xf numFmtId="0" fontId="51" fillId="0" borderId="0" xfId="0" quotePrefix="1" applyNumberFormat="1" applyFont="1" applyAlignment="1">
      <alignment horizontal="left"/>
    </xf>
    <xf numFmtId="3" fontId="51" fillId="0" borderId="0" xfId="0" quotePrefix="1" applyNumberFormat="1" applyFont="1" applyAlignment="1">
      <alignment horizontal="left"/>
    </xf>
    <xf numFmtId="175" fontId="51" fillId="0" borderId="0" xfId="1" applyNumberFormat="1" applyFont="1" applyFill="1" applyAlignment="1"/>
    <xf numFmtId="4" fontId="51" fillId="0" borderId="0" xfId="0" applyNumberFormat="1" applyFont="1" applyAlignment="1"/>
    <xf numFmtId="175" fontId="51" fillId="0" borderId="0" xfId="1" applyNumberFormat="1" applyFont="1" applyAlignment="1"/>
    <xf numFmtId="3" fontId="51" fillId="0" borderId="0" xfId="0" quotePrefix="1" applyNumberFormat="1" applyFont="1" applyAlignment="1"/>
    <xf numFmtId="169" fontId="51" fillId="0" borderId="0" xfId="0" applyNumberFormat="1" applyFont="1" applyAlignment="1"/>
    <xf numFmtId="3" fontId="53" fillId="0" borderId="0" xfId="0" applyNumberFormat="1" applyFont="1" applyAlignment="1"/>
    <xf numFmtId="3" fontId="51" fillId="0" borderId="0" xfId="0" applyNumberFormat="1" applyFont="1" applyBorder="1" applyAlignment="1">
      <alignment horizontal="center"/>
    </xf>
    <xf numFmtId="175" fontId="62" fillId="0" borderId="0" xfId="1" applyNumberFormat="1" applyFont="1" applyFill="1" applyBorder="1" applyAlignment="1"/>
    <xf numFmtId="0" fontId="51" fillId="0" borderId="0" xfId="0" applyNumberFormat="1" applyFont="1" applyAlignment="1">
      <alignment horizontal="center"/>
    </xf>
    <xf numFmtId="165" fontId="51" fillId="0" borderId="0" xfId="0" applyNumberFormat="1" applyFont="1" applyAlignment="1">
      <alignment horizontal="center"/>
    </xf>
    <xf numFmtId="171" fontId="51" fillId="0" borderId="0" xfId="0" applyNumberFormat="1" applyFont="1" applyAlignment="1">
      <alignment horizontal="center"/>
    </xf>
    <xf numFmtId="3" fontId="53" fillId="0" borderId="0" xfId="0" applyNumberFormat="1" applyFont="1" applyFill="1" applyBorder="1" applyAlignment="1"/>
    <xf numFmtId="165" fontId="51" fillId="0" borderId="0" xfId="0" applyNumberFormat="1" applyFont="1" applyAlignment="1" applyProtection="1">
      <alignment horizontal="center"/>
      <protection locked="0"/>
    </xf>
    <xf numFmtId="175" fontId="59" fillId="0" borderId="0" xfId="1" applyNumberFormat="1" applyFont="1" applyFill="1" applyAlignment="1"/>
    <xf numFmtId="165" fontId="51" fillId="0" borderId="0" xfId="0" applyNumberFormat="1" applyFont="1" applyAlignment="1"/>
    <xf numFmtId="0" fontId="51" fillId="0" borderId="0" xfId="0" applyNumberFormat="1" applyFont="1" applyBorder="1" applyAlignment="1"/>
    <xf numFmtId="164" fontId="51" fillId="0" borderId="0" xfId="0" applyNumberFormat="1" applyFont="1" applyFill="1" applyAlignment="1">
      <alignment horizontal="center"/>
    </xf>
    <xf numFmtId="170" fontId="51" fillId="0" borderId="0" xfId="2" applyNumberFormat="1" applyFont="1" applyFill="1" applyAlignment="1"/>
    <xf numFmtId="3" fontId="51" fillId="0" borderId="0" xfId="0" quotePrefix="1" applyNumberFormat="1" applyFont="1" applyFill="1" applyAlignment="1"/>
    <xf numFmtId="3" fontId="59" fillId="0" borderId="0" xfId="0" applyNumberFormat="1" applyFont="1" applyFill="1" applyAlignment="1"/>
    <xf numFmtId="0" fontId="51" fillId="0" borderId="0" xfId="0" quotePrefix="1" applyNumberFormat="1" applyFont="1" applyAlignment="1" applyProtection="1">
      <alignment horizontal="left"/>
      <protection locked="0"/>
    </xf>
    <xf numFmtId="164" fontId="51" fillId="0" borderId="0" xfId="0" quotePrefix="1" applyNumberFormat="1" applyFont="1" applyFill="1" applyAlignment="1">
      <alignment horizontal="left"/>
    </xf>
    <xf numFmtId="3" fontId="52" fillId="0" borderId="0" xfId="0" applyNumberFormat="1" applyFont="1" applyFill="1" applyAlignment="1">
      <alignment horizontal="center"/>
    </xf>
    <xf numFmtId="164" fontId="51" fillId="0" borderId="0" xfId="0" applyNumberFormat="1" applyFont="1" applyAlignment="1">
      <alignment horizontal="center"/>
    </xf>
    <xf numFmtId="0" fontId="63" fillId="0" borderId="0" xfId="0" applyNumberFormat="1" applyFont="1" applyAlignment="1" applyProtection="1">
      <alignment horizontal="center"/>
      <protection locked="0"/>
    </xf>
    <xf numFmtId="170" fontId="51" fillId="0" borderId="0" xfId="2" applyNumberFormat="1" applyFont="1" applyAlignment="1"/>
    <xf numFmtId="10" fontId="51" fillId="0" borderId="0" xfId="0" applyNumberFormat="1" applyFont="1" applyAlignment="1"/>
    <xf numFmtId="168" fontId="51" fillId="0" borderId="0" xfId="0" applyNumberFormat="1" applyFont="1" applyAlignment="1"/>
    <xf numFmtId="168" fontId="51" fillId="0" borderId="0" xfId="0" applyNumberFormat="1" applyFont="1" applyFill="1" applyAlignment="1"/>
    <xf numFmtId="172" fontId="59" fillId="0" borderId="0" xfId="0" applyNumberFormat="1" applyFont="1" applyFill="1" applyAlignment="1"/>
    <xf numFmtId="164" fontId="51" fillId="0" borderId="0" xfId="0" quotePrefix="1" applyNumberFormat="1" applyFont="1" applyAlignment="1">
      <alignment horizontal="left"/>
    </xf>
    <xf numFmtId="38" fontId="51" fillId="0" borderId="0" xfId="0" applyNumberFormat="1" applyFont="1" applyAlignment="1" applyProtection="1"/>
    <xf numFmtId="38" fontId="51" fillId="0" borderId="0" xfId="0" applyNumberFormat="1" applyFont="1" applyAlignment="1"/>
    <xf numFmtId="167" fontId="51" fillId="0" borderId="0" xfId="0" applyNumberFormat="1" applyFont="1" applyProtection="1">
      <protection locked="0"/>
    </xf>
    <xf numFmtId="1" fontId="51" fillId="0" borderId="0" xfId="0" applyNumberFormat="1" applyFont="1" applyFill="1" applyProtection="1"/>
    <xf numFmtId="166" fontId="51" fillId="0" borderId="0" xfId="0" applyNumberFormat="1" applyFont="1" applyProtection="1">
      <protection locked="0"/>
    </xf>
    <xf numFmtId="1" fontId="51" fillId="0" borderId="0" xfId="0" applyNumberFormat="1" applyFont="1" applyFill="1" applyAlignment="1" applyProtection="1"/>
    <xf numFmtId="170" fontId="51" fillId="0" borderId="0" xfId="2" applyNumberFormat="1" applyFont="1" applyFill="1" applyBorder="1" applyAlignment="1" applyProtection="1">
      <protection locked="0"/>
    </xf>
    <xf numFmtId="164" fontId="59" fillId="0" borderId="0" xfId="0" applyNumberFormat="1" applyFont="1" applyAlignment="1"/>
    <xf numFmtId="3" fontId="51" fillId="0" borderId="0" xfId="0" applyNumberFormat="1" applyFont="1" applyFill="1" applyAlignment="1" applyProtection="1">
      <alignment horizontal="right"/>
      <protection locked="0"/>
    </xf>
    <xf numFmtId="3" fontId="53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center"/>
    </xf>
    <xf numFmtId="0" fontId="52" fillId="0" borderId="0" xfId="0" applyNumberFormat="1" applyFont="1" applyAlignment="1" applyProtection="1">
      <alignment horizontal="center"/>
      <protection locked="0"/>
    </xf>
    <xf numFmtId="3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/>
    </xf>
    <xf numFmtId="3" fontId="52" fillId="0" borderId="0" xfId="0" applyNumberFormat="1" applyFont="1" applyAlignment="1"/>
    <xf numFmtId="0" fontId="52" fillId="0" borderId="0" xfId="0" quotePrefix="1" applyNumberFormat="1" applyFont="1" applyAlignment="1" applyProtection="1">
      <alignment horizontal="centerContinuous"/>
      <protection locked="0"/>
    </xf>
    <xf numFmtId="164" fontId="51" fillId="0" borderId="0" xfId="0" applyNumberFormat="1" applyFont="1" applyAlignment="1">
      <alignment horizontal="centerContinuous"/>
    </xf>
    <xf numFmtId="0" fontId="58" fillId="0" borderId="0" xfId="0" applyNumberFormat="1" applyFont="1" applyAlignment="1" applyProtection="1">
      <alignment horizontal="center"/>
      <protection locked="0"/>
    </xf>
    <xf numFmtId="0" fontId="52" fillId="0" borderId="0" xfId="0" applyNumberFormat="1" applyFont="1" applyProtection="1">
      <protection locked="0"/>
    </xf>
    <xf numFmtId="0" fontId="65" fillId="0" borderId="0" xfId="0" applyNumberFormat="1" applyFont="1" applyAlignment="1">
      <alignment horizontal="center"/>
    </xf>
    <xf numFmtId="3" fontId="65" fillId="0" borderId="0" xfId="0" applyNumberFormat="1" applyFont="1" applyAlignment="1"/>
    <xf numFmtId="0" fontId="52" fillId="0" borderId="0" xfId="0" applyNumberFormat="1" applyFont="1" applyAlignment="1">
      <alignment horizontal="center"/>
    </xf>
    <xf numFmtId="8" fontId="51" fillId="0" borderId="0" xfId="0" applyNumberFormat="1" applyFont="1" applyFill="1" applyAlignment="1"/>
    <xf numFmtId="164" fontId="51" fillId="0" borderId="0" xfId="0" applyNumberFormat="1" applyFont="1" applyFill="1" applyAlignment="1">
      <alignment horizontal="left"/>
    </xf>
    <xf numFmtId="3" fontId="55" fillId="0" borderId="0" xfId="0" quotePrefix="1" applyNumberFormat="1" applyFont="1" applyAlignment="1" applyProtection="1">
      <alignment horizontal="left" wrapText="1"/>
    </xf>
    <xf numFmtId="3" fontId="55" fillId="0" borderId="0" xfId="0" quotePrefix="1" applyNumberFormat="1" applyFont="1" applyAlignment="1" applyProtection="1">
      <alignment horizontal="left"/>
    </xf>
    <xf numFmtId="173" fontId="51" fillId="0" borderId="0" xfId="0" applyNumberFormat="1" applyFont="1" applyFill="1" applyAlignment="1">
      <alignment horizontal="left"/>
    </xf>
    <xf numFmtId="170" fontId="51" fillId="0" borderId="0" xfId="2" applyNumberFormat="1" applyFont="1" applyBorder="1" applyAlignment="1"/>
    <xf numFmtId="0" fontId="51" fillId="0" borderId="0" xfId="0" applyNumberFormat="1" applyFont="1" applyAlignment="1">
      <alignment horizontal="fill"/>
    </xf>
    <xf numFmtId="175" fontId="51" fillId="0" borderId="0" xfId="1" applyNumberFormat="1" applyFont="1" applyBorder="1" applyAlignment="1"/>
    <xf numFmtId="9" fontId="51" fillId="0" borderId="0" xfId="3" applyFont="1" applyAlignment="1"/>
    <xf numFmtId="171" fontId="51" fillId="0" borderId="0" xfId="0" quotePrefix="1" applyNumberFormat="1" applyFont="1" applyAlignment="1">
      <alignment horizontal="left"/>
    </xf>
    <xf numFmtId="10" fontId="51" fillId="0" borderId="0" xfId="3" applyNumberFormat="1" applyFont="1" applyFill="1" applyBorder="1" applyAlignment="1">
      <alignment horizontal="right"/>
    </xf>
    <xf numFmtId="3" fontId="51" fillId="0" borderId="0" xfId="0" applyNumberFormat="1" applyFont="1" applyFill="1" applyAlignment="1">
      <alignment horizontal="right"/>
    </xf>
    <xf numFmtId="3" fontId="51" fillId="0" borderId="0" xfId="0" applyNumberFormat="1" applyFont="1" applyAlignment="1">
      <alignment horizontal="left"/>
    </xf>
    <xf numFmtId="171" fontId="51" fillId="0" borderId="0" xfId="0" applyNumberFormat="1" applyFont="1" applyAlignment="1" applyProtection="1">
      <alignment horizontal="left"/>
      <protection locked="0"/>
    </xf>
    <xf numFmtId="170" fontId="51" fillId="0" borderId="0" xfId="2" applyNumberFormat="1" applyFont="1" applyFill="1" applyBorder="1" applyAlignment="1">
      <alignment horizontal="right"/>
    </xf>
    <xf numFmtId="174" fontId="51" fillId="0" borderId="0" xfId="0" applyNumberFormat="1" applyFont="1" applyAlignment="1"/>
    <xf numFmtId="170" fontId="54" fillId="0" borderId="0" xfId="2" applyNumberFormat="1" applyFont="1" applyBorder="1" applyAlignment="1"/>
    <xf numFmtId="0" fontId="63" fillId="0" borderId="0" xfId="0" quotePrefix="1" applyNumberFormat="1" applyFont="1" applyFill="1" applyAlignment="1" applyProtection="1">
      <alignment horizontal="left"/>
    </xf>
    <xf numFmtId="0" fontId="51" fillId="0" borderId="0" xfId="0" quotePrefix="1" applyNumberFormat="1" applyFont="1" applyFill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left" indent="1"/>
    </xf>
    <xf numFmtId="0" fontId="51" fillId="0" borderId="0" xfId="0" applyNumberFormat="1" applyFont="1" applyAlignment="1" applyProtection="1">
      <alignment horizontal="left" indent="1"/>
    </xf>
    <xf numFmtId="0" fontId="51" fillId="0" borderId="0" xfId="0" quotePrefix="1" applyNumberFormat="1" applyFont="1" applyAlignment="1" applyProtection="1">
      <alignment horizontal="right"/>
      <protection locked="0"/>
    </xf>
    <xf numFmtId="170" fontId="66" fillId="0" borderId="0" xfId="2" applyNumberFormat="1" applyFont="1" applyBorder="1" applyAlignment="1"/>
    <xf numFmtId="3" fontId="55" fillId="0" borderId="0" xfId="0" applyNumberFormat="1" applyFont="1" applyAlignment="1" applyProtection="1"/>
    <xf numFmtId="164" fontId="55" fillId="0" borderId="0" xfId="0" quotePrefix="1" applyNumberFormat="1" applyFont="1" applyAlignment="1" applyProtection="1">
      <alignment horizontal="left"/>
    </xf>
    <xf numFmtId="164" fontId="55" fillId="0" borderId="0" xfId="0" applyNumberFormat="1" applyFont="1" applyAlignment="1" applyProtection="1"/>
    <xf numFmtId="3" fontId="55" fillId="0" borderId="0" xfId="0" quotePrefix="1" applyNumberFormat="1" applyFont="1" applyFill="1" applyAlignment="1" applyProtection="1">
      <alignment horizontal="left"/>
    </xf>
    <xf numFmtId="0" fontId="55" fillId="0" borderId="0" xfId="0" applyNumberFormat="1" applyFont="1" applyFill="1" applyProtection="1"/>
    <xf numFmtId="0" fontId="55" fillId="0" borderId="0" xfId="0" quotePrefix="1" applyNumberFormat="1" applyFont="1" applyFill="1" applyAlignment="1" applyProtection="1">
      <alignment horizontal="left"/>
    </xf>
    <xf numFmtId="3" fontId="55" fillId="0" borderId="0" xfId="0" applyNumberFormat="1" applyFont="1" applyFill="1" applyAlignment="1" applyProtection="1"/>
    <xf numFmtId="0" fontId="51" fillId="0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Alignment="1" applyProtection="1">
      <alignment horizontal="right"/>
    </xf>
    <xf numFmtId="0" fontId="51" fillId="0" borderId="0" xfId="0" applyNumberFormat="1" applyFont="1" applyAlignment="1">
      <alignment horizontal="right"/>
    </xf>
    <xf numFmtId="164" fontId="52" fillId="0" borderId="0" xfId="0" applyNumberFormat="1" applyFont="1" applyFill="1" applyAlignment="1" applyProtection="1">
      <alignment horizontal="centerContinuous"/>
    </xf>
    <xf numFmtId="164" fontId="51" fillId="0" borderId="0" xfId="0" applyNumberFormat="1" applyFont="1" applyFill="1" applyAlignment="1" applyProtection="1">
      <alignment horizontal="centerContinuous"/>
    </xf>
    <xf numFmtId="0" fontId="51" fillId="0" borderId="0" xfId="0" applyNumberFormat="1" applyFont="1" applyFill="1" applyAlignment="1" applyProtection="1">
      <alignment horizontal="centerContinuous"/>
    </xf>
    <xf numFmtId="3" fontId="51" fillId="0" borderId="0" xfId="0" applyNumberFormat="1" applyFont="1" applyFill="1" applyAlignment="1" applyProtection="1">
      <alignment horizontal="centerContinuous"/>
    </xf>
    <xf numFmtId="3" fontId="51" fillId="0" borderId="0" xfId="0" applyNumberFormat="1" applyFont="1" applyAlignment="1">
      <alignment horizontal="centerContinuous"/>
    </xf>
    <xf numFmtId="3" fontId="55" fillId="0" borderId="0" xfId="0" quotePrefix="1" applyNumberFormat="1" applyFont="1" applyAlignment="1">
      <alignment horizontal="left"/>
    </xf>
    <xf numFmtId="0" fontId="51" fillId="0" borderId="0" xfId="0" quotePrefix="1" applyNumberFormat="1" applyFont="1" applyFill="1" applyAlignment="1">
      <alignment horizontal="left"/>
    </xf>
    <xf numFmtId="3" fontId="55" fillId="0" borderId="0" xfId="0" applyNumberFormat="1" applyFont="1" applyAlignment="1"/>
    <xf numFmtId="3" fontId="55" fillId="0" borderId="0" xfId="0" applyNumberFormat="1" applyFont="1" applyFill="1" applyAlignment="1"/>
    <xf numFmtId="164" fontId="55" fillId="0" borderId="0" xfId="0" quotePrefix="1" applyNumberFormat="1" applyFont="1" applyFill="1" applyAlignment="1">
      <alignment horizontal="left"/>
    </xf>
    <xf numFmtId="0" fontId="51" fillId="0" borderId="1" xfId="0" quotePrefix="1" applyNumberFormat="1" applyFont="1" applyFill="1" applyBorder="1" applyAlignment="1" applyProtection="1">
      <alignment horizontal="left"/>
      <protection locked="0"/>
    </xf>
    <xf numFmtId="49" fontId="55" fillId="0" borderId="0" xfId="0" applyNumberFormat="1" applyFont="1" applyFill="1" applyAlignment="1"/>
    <xf numFmtId="3" fontId="55" fillId="0" borderId="0" xfId="0" quotePrefix="1" applyNumberFormat="1" applyFont="1" applyFill="1" applyAlignment="1">
      <alignment horizontal="left"/>
    </xf>
    <xf numFmtId="49" fontId="55" fillId="0" borderId="0" xfId="0" quotePrefix="1" applyNumberFormat="1" applyFont="1" applyFill="1" applyAlignment="1">
      <alignment horizontal="left"/>
    </xf>
    <xf numFmtId="3" fontId="55" fillId="0" borderId="0" xfId="0" applyNumberFormat="1" applyFont="1" applyBorder="1" applyAlignment="1"/>
    <xf numFmtId="0" fontId="55" fillId="0" borderId="0" xfId="0" quotePrefix="1" applyNumberFormat="1" applyFont="1" applyAlignment="1" applyProtection="1">
      <alignment horizontal="center"/>
      <protection locked="0"/>
    </xf>
    <xf numFmtId="175" fontId="51" fillId="0" borderId="0" xfId="1" applyNumberFormat="1" applyFont="1" applyAlignment="1">
      <alignment horizontal="center"/>
    </xf>
    <xf numFmtId="0" fontId="55" fillId="0" borderId="0" xfId="0" applyNumberFormat="1" applyFont="1" applyProtection="1">
      <protection locked="0"/>
    </xf>
    <xf numFmtId="3" fontId="51" fillId="0" borderId="3" xfId="0" applyNumberFormat="1" applyFont="1" applyBorder="1" applyAlignment="1"/>
    <xf numFmtId="3" fontId="51" fillId="0" borderId="3" xfId="0" applyNumberFormat="1" applyFont="1" applyBorder="1" applyAlignment="1">
      <alignment horizontal="center"/>
    </xf>
    <xf numFmtId="0" fontId="51" fillId="0" borderId="3" xfId="0" applyNumberFormat="1" applyFont="1" applyBorder="1" applyAlignment="1" applyProtection="1">
      <alignment horizontal="center"/>
      <protection locked="0"/>
    </xf>
    <xf numFmtId="3" fontId="51" fillId="0" borderId="3" xfId="0" quotePrefix="1" applyNumberFormat="1" applyFont="1" applyBorder="1" applyAlignment="1">
      <alignment horizontal="center"/>
    </xf>
    <xf numFmtId="0" fontId="51" fillId="0" borderId="3" xfId="0" quotePrefix="1" applyNumberFormat="1" applyFont="1" applyBorder="1" applyAlignment="1" applyProtection="1">
      <alignment horizontal="center"/>
      <protection locked="0"/>
    </xf>
    <xf numFmtId="164" fontId="51" fillId="0" borderId="3" xfId="0" applyNumberFormat="1" applyFont="1" applyBorder="1" applyAlignment="1"/>
    <xf numFmtId="0" fontId="51" fillId="0" borderId="3" xfId="0" applyNumberFormat="1" applyFont="1" applyBorder="1"/>
    <xf numFmtId="0" fontId="51" fillId="0" borderId="3" xfId="0" applyNumberFormat="1" applyFont="1" applyBorder="1" applyProtection="1">
      <protection locked="0"/>
    </xf>
    <xf numFmtId="0" fontId="51" fillId="0" borderId="3" xfId="0" applyNumberFormat="1" applyFont="1" applyBorder="1" applyAlignment="1" applyProtection="1">
      <protection locked="0"/>
    </xf>
    <xf numFmtId="0" fontId="51" fillId="0" borderId="0" xfId="0" applyNumberFormat="1" applyFont="1" applyBorder="1" applyProtection="1">
      <protection locked="0"/>
    </xf>
    <xf numFmtId="0" fontId="55" fillId="0" borderId="0" xfId="0" quotePrefix="1" applyNumberFormat="1" applyFont="1" applyAlignment="1" applyProtection="1">
      <alignment horizontal="left"/>
      <protection locked="0"/>
    </xf>
    <xf numFmtId="0" fontId="55" fillId="0" borderId="0" xfId="0" quotePrefix="1" applyNumberFormat="1" applyFont="1" applyBorder="1" applyAlignment="1" applyProtection="1">
      <alignment horizontal="left"/>
      <protection locked="0"/>
    </xf>
    <xf numFmtId="0" fontId="51" fillId="0" borderId="0" xfId="0" applyNumberFormat="1" applyFont="1" applyFill="1" applyAlignment="1" applyProtection="1">
      <alignment horizontal="left"/>
      <protection locked="0"/>
    </xf>
    <xf numFmtId="0" fontId="61" fillId="0" borderId="0" xfId="0" quotePrefix="1" applyNumberFormat="1" applyFont="1" applyAlignment="1">
      <alignment horizontal="left"/>
    </xf>
    <xf numFmtId="3" fontId="58" fillId="0" borderId="0" xfId="0" applyNumberFormat="1" applyFont="1" applyFill="1" applyProtection="1"/>
    <xf numFmtId="0" fontId="51" fillId="0" borderId="0" xfId="0" quotePrefix="1" applyNumberFormat="1" applyFont="1" applyFill="1" applyAlignment="1">
      <alignment horizontal="left" wrapText="1"/>
    </xf>
    <xf numFmtId="0" fontId="51" fillId="0" borderId="0" xfId="0" quotePrefix="1" applyNumberFormat="1" applyFont="1" applyBorder="1" applyAlignment="1" applyProtection="1">
      <alignment horizontal="center"/>
      <protection locked="0"/>
    </xf>
    <xf numFmtId="10" fontId="69" fillId="0" borderId="0" xfId="3" applyNumberFormat="1" applyFont="1" applyFill="1" applyBorder="1"/>
    <xf numFmtId="10" fontId="69" fillId="0" borderId="0" xfId="3" applyNumberFormat="1" applyFont="1" applyFill="1" applyBorder="1" applyAlignment="1">
      <alignment horizontal="right"/>
    </xf>
    <xf numFmtId="10" fontId="57" fillId="0" borderId="0" xfId="3" applyNumberFormat="1" applyFont="1"/>
    <xf numFmtId="0" fontId="55" fillId="0" borderId="0" xfId="0" quotePrefix="1" applyNumberFormat="1" applyFont="1" applyFill="1" applyBorder="1" applyAlignment="1" applyProtection="1">
      <alignment horizontal="left"/>
    </xf>
    <xf numFmtId="0" fontId="55" fillId="0" borderId="0" xfId="0" applyNumberFormat="1" applyFont="1" applyFill="1" applyAlignment="1" applyProtection="1">
      <alignment horizontal="left"/>
    </xf>
    <xf numFmtId="185" fontId="51" fillId="0" borderId="0" xfId="2" applyNumberFormat="1" applyFont="1" applyFill="1" applyBorder="1" applyProtection="1"/>
    <xf numFmtId="164" fontId="55" fillId="0" borderId="0" xfId="0" quotePrefix="1" applyNumberFormat="1" applyFont="1" applyAlignment="1">
      <alignment horizontal="left"/>
    </xf>
    <xf numFmtId="0" fontId="51" fillId="0" borderId="0" xfId="0" quotePrefix="1" applyNumberFormat="1" applyFont="1" applyAlignment="1">
      <alignment horizontal="left" indent="3"/>
    </xf>
    <xf numFmtId="171" fontId="51" fillId="0" borderId="0" xfId="0" quotePrefix="1" applyNumberFormat="1" applyFont="1" applyAlignment="1">
      <alignment horizontal="left" indent="1"/>
    </xf>
    <xf numFmtId="164" fontId="51" fillId="0" borderId="0" xfId="0" quotePrefix="1" applyNumberFormat="1" applyFont="1" applyAlignment="1">
      <alignment horizontal="left" indent="1"/>
    </xf>
    <xf numFmtId="3" fontId="55" fillId="0" borderId="0" xfId="0" applyNumberFormat="1" applyFont="1" applyAlignment="1">
      <alignment horizontal="center"/>
    </xf>
    <xf numFmtId="3" fontId="51" fillId="0" borderId="0" xfId="0" quotePrefix="1" applyNumberFormat="1" applyFont="1" applyAlignment="1">
      <alignment horizontal="center"/>
    </xf>
    <xf numFmtId="165" fontId="51" fillId="0" borderId="0" xfId="0" quotePrefix="1" applyNumberFormat="1" applyFont="1" applyAlignment="1">
      <alignment horizontal="center"/>
    </xf>
    <xf numFmtId="3" fontId="51" fillId="0" borderId="0" xfId="0" quotePrefix="1" applyNumberFormat="1" applyFont="1" applyAlignment="1">
      <alignment horizontal="left" indent="2"/>
    </xf>
    <xf numFmtId="3" fontId="51" fillId="0" borderId="0" xfId="0" quotePrefix="1" applyNumberFormat="1" applyFont="1" applyFill="1" applyAlignment="1">
      <alignment horizontal="left" wrapText="1" indent="2"/>
    </xf>
    <xf numFmtId="3" fontId="55" fillId="0" borderId="0" xfId="0" quotePrefix="1" applyNumberFormat="1" applyFont="1" applyAlignment="1">
      <alignment horizontal="center"/>
    </xf>
    <xf numFmtId="10" fontId="51" fillId="0" borderId="0" xfId="3" applyNumberFormat="1" applyFont="1" applyBorder="1" applyAlignment="1"/>
    <xf numFmtId="10" fontId="55" fillId="0" borderId="0" xfId="0" quotePrefix="1" applyNumberFormat="1" applyFont="1" applyAlignment="1">
      <alignment horizontal="left"/>
    </xf>
    <xf numFmtId="3" fontId="51" fillId="0" borderId="0" xfId="0" quotePrefix="1" applyNumberFormat="1" applyFont="1" applyAlignment="1">
      <alignment horizontal="left" indent="1"/>
    </xf>
    <xf numFmtId="0" fontId="51" fillId="0" borderId="0" xfId="0" quotePrefix="1" applyNumberFormat="1" applyFont="1" applyFill="1" applyAlignment="1" applyProtection="1">
      <alignment horizontal="right"/>
      <protection locked="0"/>
    </xf>
    <xf numFmtId="3" fontId="51" fillId="0" borderId="0" xfId="0" quotePrefix="1" applyNumberFormat="1" applyFont="1" applyFill="1" applyAlignment="1" applyProtection="1"/>
    <xf numFmtId="167" fontId="51" fillId="0" borderId="0" xfId="0" applyNumberFormat="1" applyFont="1" applyFill="1" applyAlignment="1" applyProtection="1">
      <alignment horizontal="centerContinuous"/>
    </xf>
    <xf numFmtId="0" fontId="51" fillId="0" borderId="0" xfId="0" applyNumberFormat="1" applyFont="1" applyAlignment="1">
      <alignment horizontal="centerContinuous"/>
    </xf>
    <xf numFmtId="49" fontId="52" fillId="0" borderId="0" xfId="0" quotePrefix="1" applyNumberFormat="1" applyFont="1" applyFill="1" applyAlignment="1" applyProtection="1">
      <alignment horizontal="centerContinuous"/>
    </xf>
    <xf numFmtId="0" fontId="52" fillId="0" borderId="0" xfId="0" applyNumberFormat="1" applyFont="1" applyFill="1" applyAlignment="1" applyProtection="1">
      <alignment horizontal="centerContinuous"/>
    </xf>
    <xf numFmtId="0" fontId="52" fillId="0" borderId="0" xfId="0" applyNumberFormat="1" applyFont="1" applyAlignment="1">
      <alignment horizontal="centerContinuous"/>
    </xf>
    <xf numFmtId="0" fontId="51" fillId="0" borderId="0" xfId="0" quotePrefix="1" applyNumberFormat="1" applyFont="1" applyAlignment="1">
      <alignment horizontal="left" indent="1"/>
    </xf>
    <xf numFmtId="0" fontId="51" fillId="0" borderId="0" xfId="0" quotePrefix="1" applyNumberFormat="1" applyFont="1" applyAlignment="1">
      <alignment horizontal="left" indent="2"/>
    </xf>
    <xf numFmtId="164" fontId="61" fillId="0" borderId="0" xfId="0" quotePrefix="1" applyNumberFormat="1" applyFont="1" applyAlignment="1">
      <alignment horizontal="left"/>
    </xf>
    <xf numFmtId="0" fontId="51" fillId="0" borderId="0" xfId="0" applyNumberFormat="1" applyFont="1" applyAlignment="1" applyProtection="1">
      <alignment horizontal="center" vertical="center"/>
      <protection locked="0"/>
    </xf>
    <xf numFmtId="3" fontId="55" fillId="0" borderId="0" xfId="0" applyNumberFormat="1" applyFont="1" applyFill="1" applyAlignment="1">
      <alignment vertical="center"/>
    </xf>
    <xf numFmtId="3" fontId="51" fillId="0" borderId="0" xfId="0" applyNumberFormat="1" applyFont="1" applyAlignment="1">
      <alignment vertical="center"/>
    </xf>
    <xf numFmtId="169" fontId="51" fillId="0" borderId="0" xfId="0" applyNumberFormat="1" applyFont="1" applyAlignment="1">
      <alignment vertical="center"/>
    </xf>
    <xf numFmtId="164" fontId="51" fillId="0" borderId="3" xfId="0" quotePrefix="1" applyNumberFormat="1" applyFont="1" applyBorder="1" applyAlignment="1">
      <alignment horizontal="left"/>
    </xf>
    <xf numFmtId="43" fontId="51" fillId="0" borderId="0" xfId="1" applyFont="1" applyFill="1" applyAlignment="1"/>
    <xf numFmtId="175" fontId="51" fillId="0" borderId="3" xfId="1" applyNumberFormat="1" applyFont="1" applyBorder="1" applyAlignment="1"/>
    <xf numFmtId="187" fontId="51" fillId="0" borderId="0" xfId="1" applyNumberFormat="1" applyFont="1" applyFill="1" applyBorder="1" applyAlignment="1">
      <alignment horizontal="right"/>
    </xf>
    <xf numFmtId="186" fontId="51" fillId="0" borderId="3" xfId="0" applyNumberFormat="1" applyFont="1" applyBorder="1" applyAlignment="1"/>
    <xf numFmtId="186" fontId="51" fillId="0" borderId="0" xfId="1" applyNumberFormat="1" applyFont="1" applyAlignment="1"/>
    <xf numFmtId="37" fontId="65" fillId="0" borderId="0" xfId="0" applyFont="1"/>
    <xf numFmtId="37" fontId="51" fillId="0" borderId="0" xfId="0" applyFont="1"/>
    <xf numFmtId="37" fontId="51" fillId="0" borderId="0" xfId="0" applyFont="1" applyFill="1"/>
    <xf numFmtId="37" fontId="52" fillId="0" borderId="0" xfId="0" applyFont="1" applyFill="1" applyAlignment="1">
      <alignment horizontal="center"/>
    </xf>
    <xf numFmtId="15" fontId="52" fillId="0" borderId="3" xfId="3" applyNumberFormat="1" applyFont="1" applyFill="1" applyBorder="1" applyAlignment="1">
      <alignment horizontal="center"/>
    </xf>
    <xf numFmtId="37" fontId="51" fillId="0" borderId="0" xfId="0" quotePrefix="1" applyFont="1" applyFill="1" applyBorder="1" applyAlignment="1">
      <alignment horizontal="center"/>
    </xf>
    <xf numFmtId="15" fontId="52" fillId="0" borderId="0" xfId="3" applyNumberFormat="1" applyFont="1" applyFill="1" applyBorder="1" applyAlignment="1">
      <alignment horizontal="center"/>
    </xf>
    <xf numFmtId="37" fontId="52" fillId="0" borderId="0" xfId="0" applyFont="1" applyFill="1"/>
    <xf numFmtId="10" fontId="51" fillId="0" borderId="0" xfId="3" applyNumberFormat="1" applyFont="1" applyFill="1"/>
    <xf numFmtId="10" fontId="51" fillId="0" borderId="0" xfId="3" applyNumberFormat="1" applyFont="1" applyFill="1" applyAlignment="1">
      <alignment horizontal="right"/>
    </xf>
    <xf numFmtId="37" fontId="51" fillId="0" borderId="0" xfId="0" quotePrefix="1" applyFont="1" applyFill="1" applyAlignment="1">
      <alignment horizontal="left"/>
    </xf>
    <xf numFmtId="10" fontId="51" fillId="0" borderId="0" xfId="3" applyNumberFormat="1" applyFont="1" applyFill="1" applyBorder="1"/>
    <xf numFmtId="43" fontId="51" fillId="0" borderId="0" xfId="1" applyFont="1" applyFill="1" applyAlignment="1">
      <alignment horizontal="left" indent="2"/>
    </xf>
    <xf numFmtId="43" fontId="52" fillId="0" borderId="0" xfId="1" quotePrefix="1" applyFont="1" applyFill="1" applyBorder="1" applyAlignment="1">
      <alignment horizontal="left"/>
    </xf>
    <xf numFmtId="37" fontId="52" fillId="0" borderId="0" xfId="0" applyFont="1" applyFill="1" applyBorder="1" applyAlignment="1">
      <alignment horizontal="center"/>
    </xf>
    <xf numFmtId="37" fontId="52" fillId="0" borderId="0" xfId="0" quotePrefix="1" applyFont="1" applyFill="1" applyAlignment="1">
      <alignment horizontal="left"/>
    </xf>
    <xf numFmtId="43" fontId="52" fillId="0" borderId="0" xfId="1" applyFont="1" applyFill="1" applyAlignment="1">
      <alignment horizontal="left" indent="2"/>
    </xf>
    <xf numFmtId="10" fontId="51" fillId="0" borderId="0" xfId="1" applyNumberFormat="1" applyFont="1" applyFill="1" applyAlignment="1" applyProtection="1">
      <alignment horizontal="left" indent="2"/>
    </xf>
    <xf numFmtId="43" fontId="51" fillId="0" borderId="0" xfId="1" quotePrefix="1" applyFont="1" applyFill="1" applyAlignment="1">
      <alignment horizontal="left"/>
    </xf>
    <xf numFmtId="10" fontId="51" fillId="0" borderId="0" xfId="1" applyNumberFormat="1" applyFont="1" applyFill="1" applyAlignment="1">
      <alignment horizontal="center"/>
    </xf>
    <xf numFmtId="10" fontId="51" fillId="0" borderId="0" xfId="1" applyNumberFormat="1" applyFont="1" applyFill="1" applyAlignment="1" applyProtection="1">
      <alignment horizontal="center"/>
    </xf>
    <xf numFmtId="10" fontId="51" fillId="0" borderId="0" xfId="1" quotePrefix="1" applyNumberFormat="1" applyFont="1" applyFill="1" applyAlignment="1" applyProtection="1">
      <alignment horizontal="center"/>
    </xf>
    <xf numFmtId="37" fontId="55" fillId="0" borderId="0" xfId="0" quotePrefix="1" applyFont="1" applyAlignment="1">
      <alignment horizontal="left"/>
    </xf>
    <xf numFmtId="0" fontId="61" fillId="0" borderId="0" xfId="0" quotePrefix="1" applyNumberFormat="1" applyFont="1" applyAlignment="1" applyProtection="1">
      <alignment horizontal="left"/>
      <protection locked="0"/>
    </xf>
    <xf numFmtId="37" fontId="55" fillId="35" borderId="0" xfId="0" applyFont="1" applyFill="1" applyProtection="1"/>
    <xf numFmtId="14" fontId="55" fillId="36" borderId="0" xfId="0" applyNumberFormat="1" applyFont="1" applyFill="1" applyProtection="1">
      <protection locked="0"/>
    </xf>
    <xf numFmtId="37" fontId="55" fillId="37" borderId="0" xfId="0" applyFont="1" applyFill="1" applyProtection="1">
      <protection locked="0"/>
    </xf>
    <xf numFmtId="37" fontId="55" fillId="0" borderId="0" xfId="0" quotePrefix="1" applyFont="1" applyAlignment="1" applyProtection="1">
      <alignment horizontal="left"/>
    </xf>
    <xf numFmtId="37" fontId="55" fillId="0" borderId="0" xfId="0" applyFont="1" applyFill="1" applyProtection="1">
      <protection locked="0"/>
    </xf>
    <xf numFmtId="37" fontId="55" fillId="36" borderId="0" xfId="0" applyFont="1" applyFill="1" applyProtection="1">
      <protection locked="0"/>
    </xf>
    <xf numFmtId="37" fontId="55" fillId="36" borderId="0" xfId="0" applyFont="1" applyFill="1" applyProtection="1"/>
    <xf numFmtId="37" fontId="55" fillId="37" borderId="0" xfId="0" quotePrefix="1" applyFont="1" applyFill="1" applyAlignment="1" applyProtection="1">
      <alignment horizontal="left"/>
    </xf>
    <xf numFmtId="37" fontId="55" fillId="0" borderId="0" xfId="0" applyFont="1" applyAlignment="1" applyProtection="1">
      <alignment horizontal="left"/>
    </xf>
    <xf numFmtId="37" fontId="55" fillId="0" borderId="0" xfId="0" quotePrefix="1" applyFont="1" applyFill="1" applyAlignment="1" applyProtection="1">
      <alignment horizontal="left"/>
    </xf>
    <xf numFmtId="37" fontId="55" fillId="0" borderId="0" xfId="0" applyFont="1" applyFill="1" applyProtection="1"/>
    <xf numFmtId="37" fontId="55" fillId="37" borderId="0" xfId="0" applyFont="1" applyFill="1" applyProtection="1"/>
    <xf numFmtId="37" fontId="71" fillId="0" borderId="0" xfId="0" applyFont="1" applyProtection="1"/>
    <xf numFmtId="0" fontId="55" fillId="0" borderId="0" xfId="0" applyNumberFormat="1" applyFont="1" applyAlignment="1" applyProtection="1"/>
    <xf numFmtId="0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1"/>
    </xf>
    <xf numFmtId="9" fontId="55" fillId="0" borderId="0" xfId="3" applyFont="1" applyProtection="1"/>
    <xf numFmtId="3" fontId="55" fillId="0" borderId="0" xfId="0" applyNumberFormat="1" applyFont="1" applyAlignment="1" applyProtection="1">
      <alignment horizontal="left"/>
    </xf>
    <xf numFmtId="0" fontId="55" fillId="0" borderId="0" xfId="0" quotePrefix="1" applyNumberFormat="1" applyFont="1" applyAlignment="1" applyProtection="1">
      <alignment horizontal="left"/>
    </xf>
    <xf numFmtId="37" fontId="55" fillId="0" borderId="0" xfId="0" applyFont="1" applyAlignment="1" applyProtection="1">
      <alignment horizontal="left" indent="1"/>
    </xf>
    <xf numFmtId="171" fontId="55" fillId="0" borderId="0" xfId="3" applyNumberFormat="1" applyFont="1" applyProtection="1"/>
    <xf numFmtId="189" fontId="55" fillId="0" borderId="0" xfId="3" applyNumberFormat="1" applyFont="1" applyProtection="1"/>
    <xf numFmtId="37" fontId="55" fillId="0" borderId="0" xfId="0" quotePrefix="1" applyFont="1" applyAlignment="1" applyProtection="1">
      <alignment horizontal="left" indent="1"/>
    </xf>
    <xf numFmtId="175" fontId="55" fillId="0" borderId="0" xfId="1" quotePrefix="1" applyNumberFormat="1" applyFont="1" applyAlignment="1" applyProtection="1">
      <alignment horizontal="left"/>
    </xf>
    <xf numFmtId="37" fontId="55" fillId="0" borderId="0" xfId="0" quotePrefix="1" applyFont="1" applyAlignment="1" applyProtection="1">
      <alignment horizontal="right"/>
    </xf>
    <xf numFmtId="9" fontId="55" fillId="0" borderId="0" xfId="3" quotePrefix="1" applyFont="1" applyAlignment="1" applyProtection="1">
      <alignment horizontal="right"/>
    </xf>
    <xf numFmtId="37" fontId="71" fillId="0" borderId="0" xfId="0" quotePrefix="1" applyFont="1" applyAlignment="1" applyProtection="1">
      <alignment horizontal="left"/>
    </xf>
    <xf numFmtId="37" fontId="55" fillId="0" borderId="18" xfId="0" applyFont="1" applyBorder="1" applyProtection="1"/>
    <xf numFmtId="37" fontId="55" fillId="0" borderId="19" xfId="0" applyFont="1" applyBorder="1" applyProtection="1"/>
    <xf numFmtId="37" fontId="55" fillId="36" borderId="20" xfId="0" applyFont="1" applyFill="1" applyBorder="1" applyProtection="1"/>
    <xf numFmtId="37" fontId="55" fillId="36" borderId="2" xfId="0" applyFont="1" applyFill="1" applyBorder="1" applyProtection="1"/>
    <xf numFmtId="37" fontId="55" fillId="36" borderId="21" xfId="0" applyFont="1" applyFill="1" applyBorder="1" applyProtection="1"/>
    <xf numFmtId="37" fontId="55" fillId="36" borderId="22" xfId="0" applyFont="1" applyFill="1" applyBorder="1" applyProtection="1"/>
    <xf numFmtId="0" fontId="55" fillId="0" borderId="0" xfId="0" quotePrefix="1" applyNumberFormat="1" applyFont="1" applyFill="1" applyAlignment="1" applyProtection="1">
      <alignment horizontal="left" wrapText="1"/>
    </xf>
    <xf numFmtId="164" fontId="55" fillId="0" borderId="0" xfId="0" quotePrefix="1" applyNumberFormat="1" applyFont="1" applyFill="1" applyAlignment="1" applyProtection="1">
      <alignment horizontal="left"/>
    </xf>
    <xf numFmtId="0" fontId="55" fillId="0" borderId="0" xfId="0" quotePrefix="1" applyNumberFormat="1" applyFont="1" applyFill="1" applyAlignment="1" applyProtection="1">
      <alignment horizontal="left" wrapText="1" indent="1"/>
    </xf>
    <xf numFmtId="3" fontId="55" fillId="0" borderId="0" xfId="0" quotePrefix="1" applyNumberFormat="1" applyFont="1" applyFill="1" applyAlignment="1" applyProtection="1">
      <alignment horizontal="left" wrapText="1"/>
    </xf>
    <xf numFmtId="37" fontId="55" fillId="38" borderId="0" xfId="0" applyFont="1" applyFill="1" applyProtection="1">
      <protection locked="0"/>
    </xf>
    <xf numFmtId="3" fontId="55" fillId="0" borderId="0" xfId="0" applyNumberFormat="1" applyFont="1" applyAlignment="1" applyProtection="1">
      <alignment horizontal="left" indent="2"/>
    </xf>
    <xf numFmtId="0" fontId="55" fillId="0" borderId="0" xfId="0" quotePrefix="1" applyNumberFormat="1" applyFont="1" applyFill="1" applyAlignment="1" applyProtection="1">
      <alignment horizontal="left" indent="1"/>
    </xf>
    <xf numFmtId="3" fontId="55" fillId="0" borderId="0" xfId="0" applyNumberFormat="1" applyFont="1" applyAlignment="1" applyProtection="1">
      <alignment horizontal="left" indent="1"/>
    </xf>
    <xf numFmtId="0" fontId="55" fillId="0" borderId="0" xfId="0" quotePrefix="1" applyNumberFormat="1" applyFont="1" applyAlignment="1" applyProtection="1">
      <alignment horizontal="left" indent="2"/>
    </xf>
    <xf numFmtId="0" fontId="55" fillId="0" borderId="0" xfId="0" applyNumberFormat="1" applyFont="1" applyAlignment="1" applyProtection="1">
      <alignment horizontal="left" indent="3"/>
    </xf>
    <xf numFmtId="37" fontId="55" fillId="0" borderId="0" xfId="0" applyFont="1" applyAlignment="1" applyProtection="1">
      <alignment horizontal="left" indent="3"/>
    </xf>
    <xf numFmtId="37" fontId="55" fillId="0" borderId="0" xfId="0" quotePrefix="1" applyFont="1" applyAlignment="1" applyProtection="1">
      <alignment horizontal="left" indent="2"/>
    </xf>
    <xf numFmtId="10" fontId="55" fillId="0" borderId="0" xfId="0" applyNumberFormat="1" applyFont="1" applyFill="1" applyProtection="1">
      <protection locked="0"/>
    </xf>
    <xf numFmtId="164" fontId="55" fillId="0" borderId="0" xfId="0" applyNumberFormat="1" applyFont="1" applyAlignment="1" applyProtection="1">
      <alignment horizontal="left"/>
    </xf>
    <xf numFmtId="3" fontId="55" fillId="39" borderId="0" xfId="0" applyNumberFormat="1" applyFont="1" applyFill="1" applyAlignment="1" applyProtection="1">
      <protection locked="0"/>
    </xf>
    <xf numFmtId="164" fontId="55" fillId="36" borderId="0" xfId="0" applyNumberFormat="1" applyFont="1" applyFill="1" applyAlignment="1" applyProtection="1">
      <protection locked="0"/>
    </xf>
    <xf numFmtId="3" fontId="55" fillId="0" borderId="0" xfId="0" applyNumberFormat="1" applyFont="1" applyAlignment="1" applyProtection="1">
      <alignment horizontal="right"/>
    </xf>
    <xf numFmtId="3" fontId="53" fillId="0" borderId="0" xfId="0" applyNumberFormat="1" applyFont="1" applyAlignment="1" applyProtection="1">
      <alignment horizontal="center"/>
    </xf>
    <xf numFmtId="3" fontId="55" fillId="0" borderId="0" xfId="0" quotePrefix="1" applyNumberFormat="1" applyFont="1" applyFill="1" applyBorder="1" applyAlignment="1" applyProtection="1">
      <alignment horizontal="left"/>
    </xf>
    <xf numFmtId="3" fontId="55" fillId="0" borderId="0" xfId="0" applyNumberFormat="1" applyFont="1" applyFill="1" applyBorder="1" applyAlignment="1" applyProtection="1"/>
    <xf numFmtId="175" fontId="55" fillId="0" borderId="0" xfId="1" applyNumberFormat="1" applyFont="1" applyAlignment="1" applyProtection="1"/>
    <xf numFmtId="0" fontId="55" fillId="0" borderId="0" xfId="0" applyNumberFormat="1" applyFont="1" applyBorder="1" applyAlignment="1" applyProtection="1"/>
    <xf numFmtId="3" fontId="55" fillId="0" borderId="0" xfId="0" quotePrefix="1" applyNumberFormat="1" applyFont="1" applyBorder="1" applyAlignment="1" applyProtection="1">
      <alignment horizontal="left"/>
    </xf>
    <xf numFmtId="3" fontId="55" fillId="0" borderId="0" xfId="0" quotePrefix="1" applyNumberFormat="1" applyFont="1" applyAlignment="1" applyProtection="1">
      <alignment horizontal="left" indent="1"/>
    </xf>
    <xf numFmtId="190" fontId="55" fillId="36" borderId="0" xfId="0" applyNumberFormat="1" applyFont="1" applyFill="1" applyProtection="1">
      <protection locked="0"/>
    </xf>
    <xf numFmtId="37" fontId="72" fillId="0" borderId="0" xfId="0" applyFont="1" applyAlignment="1" applyProtection="1">
      <alignment horizontal="center"/>
    </xf>
    <xf numFmtId="37" fontId="72" fillId="0" borderId="0" xfId="0" applyFont="1" applyFill="1" applyAlignment="1" applyProtection="1">
      <alignment horizontal="center"/>
    </xf>
    <xf numFmtId="37" fontId="55" fillId="0" borderId="0" xfId="0" applyFont="1" applyAlignment="1" applyProtection="1">
      <alignment horizontal="left" wrapText="1" indent="1"/>
    </xf>
    <xf numFmtId="175" fontId="55" fillId="38" borderId="0" xfId="1" applyNumberFormat="1" applyFont="1" applyFill="1" applyProtection="1">
      <protection locked="0"/>
    </xf>
    <xf numFmtId="175" fontId="55" fillId="0" borderId="0" xfId="1" applyNumberFormat="1" applyFont="1" applyFill="1" applyProtection="1"/>
    <xf numFmtId="37" fontId="73" fillId="40" borderId="23" xfId="0" applyFont="1" applyFill="1" applyBorder="1" applyAlignment="1">
      <alignment horizontal="left" vertical="center" readingOrder="1"/>
    </xf>
    <xf numFmtId="37" fontId="73" fillId="40" borderId="23" xfId="0" applyFont="1" applyFill="1" applyBorder="1" applyAlignment="1">
      <alignment horizontal="center" vertical="center" readingOrder="1"/>
    </xf>
    <xf numFmtId="37" fontId="75" fillId="0" borderId="23" xfId="0" applyFont="1" applyBorder="1" applyAlignment="1">
      <alignment horizontal="left" vertical="top" readingOrder="1"/>
    </xf>
    <xf numFmtId="37" fontId="75" fillId="0" borderId="23" xfId="0" applyFont="1" applyBorder="1" applyAlignment="1">
      <alignment horizontal="center" vertical="center" readingOrder="1"/>
    </xf>
    <xf numFmtId="8" fontId="76" fillId="0" borderId="23" xfId="0" applyNumberFormat="1" applyFont="1" applyBorder="1" applyAlignment="1">
      <alignment horizontal="center" vertical="center" readingOrder="1"/>
    </xf>
    <xf numFmtId="6" fontId="76" fillId="0" borderId="23" xfId="0" applyNumberFormat="1" applyFont="1" applyBorder="1" applyAlignment="1">
      <alignment horizontal="center" vertical="center" readingOrder="1"/>
    </xf>
    <xf numFmtId="192" fontId="76" fillId="0" borderId="23" xfId="0" applyNumberFormat="1" applyFont="1" applyBorder="1" applyAlignment="1">
      <alignment horizontal="center" vertical="center" readingOrder="1"/>
    </xf>
    <xf numFmtId="9" fontId="55" fillId="36" borderId="0" xfId="3" applyFont="1" applyFill="1" applyProtection="1">
      <protection locked="0"/>
    </xf>
    <xf numFmtId="0" fontId="77" fillId="0" borderId="0" xfId="153" quotePrefix="1" applyFont="1" applyAlignment="1" applyProtection="1">
      <alignment horizontal="left"/>
    </xf>
    <xf numFmtId="43" fontId="55" fillId="0" borderId="0" xfId="154" applyFont="1" applyProtection="1"/>
    <xf numFmtId="0" fontId="77" fillId="0" borderId="0" xfId="153" applyFont="1" applyProtection="1"/>
    <xf numFmtId="43" fontId="78" fillId="0" borderId="0" xfId="154" applyFont="1" applyAlignment="1" applyProtection="1">
      <alignment horizontal="center"/>
    </xf>
    <xf numFmtId="43" fontId="77" fillId="0" borderId="0" xfId="154" applyFont="1" applyProtection="1"/>
    <xf numFmtId="0" fontId="77" fillId="0" borderId="0" xfId="153" applyFont="1" applyFill="1" applyProtection="1"/>
    <xf numFmtId="43" fontId="78" fillId="0" borderId="3" xfId="154" applyFont="1" applyBorder="1" applyAlignment="1" applyProtection="1">
      <alignment horizontal="center"/>
    </xf>
    <xf numFmtId="0" fontId="78" fillId="0" borderId="0" xfId="153" applyFont="1" applyFill="1" applyProtection="1"/>
    <xf numFmtId="43" fontId="78" fillId="0" borderId="0" xfId="154" applyFont="1" applyBorder="1" applyAlignment="1" applyProtection="1">
      <alignment horizontal="center"/>
    </xf>
    <xf numFmtId="0" fontId="78" fillId="0" borderId="0" xfId="153" applyFont="1" applyProtection="1"/>
    <xf numFmtId="43" fontId="55" fillId="0" borderId="0" xfId="154" applyFont="1" applyAlignment="1" applyProtection="1">
      <alignment horizontal="center"/>
    </xf>
    <xf numFmtId="43" fontId="55" fillId="36" borderId="0" xfId="154" applyFont="1" applyFill="1" applyProtection="1">
      <protection locked="0"/>
    </xf>
    <xf numFmtId="43" fontId="55" fillId="36" borderId="0" xfId="154" applyFont="1" applyFill="1" applyAlignment="1" applyProtection="1">
      <alignment horizontal="center"/>
      <protection locked="0"/>
    </xf>
    <xf numFmtId="43" fontId="79" fillId="36" borderId="0" xfId="154" quotePrefix="1" applyFont="1" applyFill="1" applyAlignment="1" applyProtection="1">
      <alignment horizontal="center"/>
      <protection locked="0"/>
    </xf>
    <xf numFmtId="43" fontId="55" fillId="36" borderId="0" xfId="154" quotePrefix="1" applyFont="1" applyFill="1" applyAlignment="1" applyProtection="1">
      <alignment horizontal="left"/>
      <protection locked="0"/>
    </xf>
    <xf numFmtId="43" fontId="55" fillId="0" borderId="0" xfId="154" quotePrefix="1" applyFont="1" applyAlignment="1" applyProtection="1">
      <alignment horizontal="left"/>
    </xf>
    <xf numFmtId="0" fontId="55" fillId="0" borderId="0" xfId="154" quotePrefix="1" applyNumberFormat="1" applyFont="1" applyAlignment="1" applyProtection="1">
      <alignment horizontal="left"/>
    </xf>
    <xf numFmtId="0" fontId="55" fillId="0" borderId="0" xfId="154" applyNumberFormat="1" applyFont="1" applyProtection="1"/>
    <xf numFmtId="0" fontId="55" fillId="0" borderId="0" xfId="155" quotePrefix="1" applyFont="1" applyBorder="1" applyAlignment="1" applyProtection="1">
      <alignment horizontal="left"/>
    </xf>
    <xf numFmtId="0" fontId="78" fillId="0" borderId="0" xfId="155" applyFont="1" applyBorder="1" applyAlignment="1" applyProtection="1">
      <alignment horizontal="center"/>
    </xf>
    <xf numFmtId="0" fontId="77" fillId="0" borderId="0" xfId="153" applyFont="1" applyBorder="1" applyProtection="1"/>
    <xf numFmtId="0" fontId="78" fillId="0" borderId="0" xfId="155" quotePrefix="1" applyFont="1" applyBorder="1" applyAlignment="1" applyProtection="1">
      <alignment horizontal="center"/>
    </xf>
    <xf numFmtId="0" fontId="55" fillId="0" borderId="0" xfId="155" applyFont="1" applyBorder="1" applyAlignment="1" applyProtection="1">
      <alignment horizontal="left"/>
    </xf>
    <xf numFmtId="0" fontId="55" fillId="0" borderId="0" xfId="155" applyFont="1" applyBorder="1" applyProtection="1"/>
    <xf numFmtId="43" fontId="55" fillId="0" borderId="0" xfId="155" applyNumberFormat="1" applyFont="1" applyBorder="1" applyProtection="1"/>
    <xf numFmtId="43" fontId="80" fillId="0" borderId="0" xfId="155" applyNumberFormat="1" applyFont="1" applyBorder="1" applyAlignment="1" applyProtection="1">
      <alignment horizontal="center"/>
    </xf>
    <xf numFmtId="43" fontId="77" fillId="0" borderId="0" xfId="154" applyFont="1" applyBorder="1" applyProtection="1"/>
    <xf numFmtId="0" fontId="78" fillId="0" borderId="0" xfId="155" applyFont="1" applyBorder="1" applyProtection="1"/>
    <xf numFmtId="0" fontId="51" fillId="0" borderId="0" xfId="0" applyNumberFormat="1" applyFont="1" applyFill="1" applyBorder="1" applyAlignment="1" applyProtection="1">
      <alignment horizontal="right"/>
    </xf>
    <xf numFmtId="184" fontId="51" fillId="0" borderId="0" xfId="1" applyNumberFormat="1" applyFont="1" applyFill="1" applyBorder="1" applyAlignment="1" applyProtection="1">
      <alignment horizontal="center"/>
    </xf>
    <xf numFmtId="184" fontId="51" fillId="0" borderId="0" xfId="1" applyNumberFormat="1" applyFont="1" applyFill="1" applyBorder="1" applyAlignment="1" applyProtection="1">
      <alignment horizontal="left"/>
    </xf>
    <xf numFmtId="184" fontId="59" fillId="0" borderId="0" xfId="1" applyNumberFormat="1" applyFont="1" applyFill="1" applyBorder="1" applyAlignment="1" applyProtection="1">
      <alignment horizontal="right"/>
    </xf>
    <xf numFmtId="0" fontId="51" fillId="0" borderId="0" xfId="0" quotePrefix="1" applyNumberFormat="1" applyFont="1" applyAlignment="1" applyProtection="1">
      <alignment horizontal="right"/>
    </xf>
    <xf numFmtId="37" fontId="55" fillId="41" borderId="0" xfId="0" applyFont="1" applyFill="1" applyProtection="1"/>
    <xf numFmtId="191" fontId="74" fillId="40" borderId="23" xfId="0" applyNumberFormat="1" applyFont="1" applyFill="1" applyBorder="1" applyAlignment="1">
      <alignment horizontal="center" vertical="center" wrapText="1" readingOrder="1"/>
    </xf>
    <xf numFmtId="37" fontId="58" fillId="0" borderId="0" xfId="156" applyFont="1"/>
    <xf numFmtId="37" fontId="58" fillId="0" borderId="0" xfId="0" applyFont="1" applyAlignment="1">
      <alignment horizontal="center" wrapText="1"/>
    </xf>
    <xf numFmtId="37" fontId="58" fillId="0" borderId="0" xfId="0" applyFont="1" applyAlignment="1">
      <alignment horizontal="center"/>
    </xf>
    <xf numFmtId="37" fontId="58" fillId="0" borderId="0" xfId="0" applyFont="1"/>
    <xf numFmtId="37" fontId="58" fillId="0" borderId="0" xfId="156" quotePrefix="1" applyFont="1" applyAlignment="1">
      <alignment horizontal="left"/>
    </xf>
    <xf numFmtId="37" fontId="58" fillId="0" borderId="0" xfId="0" applyFont="1" applyFill="1" applyAlignment="1">
      <alignment horizontal="center"/>
    </xf>
    <xf numFmtId="37" fontId="81" fillId="0" borderId="0" xfId="0" applyFont="1" applyAlignment="1">
      <alignment horizontal="center" wrapText="1"/>
    </xf>
    <xf numFmtId="37" fontId="81" fillId="0" borderId="0" xfId="0" applyFont="1" applyAlignment="1">
      <alignment horizontal="center"/>
    </xf>
    <xf numFmtId="37" fontId="58" fillId="0" borderId="0" xfId="0" applyFont="1" applyFill="1"/>
    <xf numFmtId="37" fontId="58" fillId="0" borderId="0" xfId="0" applyFont="1" applyAlignment="1">
      <alignment wrapText="1"/>
    </xf>
    <xf numFmtId="37" fontId="58" fillId="0" borderId="0" xfId="156" quotePrefix="1" applyFont="1"/>
    <xf numFmtId="37" fontId="58" fillId="0" borderId="0" xfId="0" quotePrefix="1" applyFont="1" applyAlignment="1">
      <alignment horizontal="center"/>
    </xf>
    <xf numFmtId="175" fontId="58" fillId="0" borderId="0" xfId="1" applyNumberFormat="1" applyFont="1"/>
    <xf numFmtId="37" fontId="58" fillId="0" borderId="0" xfId="0" applyFont="1" applyAlignment="1">
      <alignment horizontal="left" wrapText="1" indent="1"/>
    </xf>
    <xf numFmtId="37" fontId="58" fillId="0" borderId="0" xfId="0" applyFont="1" applyFill="1" applyAlignment="1">
      <alignment horizontal="left" wrapText="1" indent="1"/>
    </xf>
    <xf numFmtId="175" fontId="58" fillId="0" borderId="0" xfId="1" applyNumberFormat="1" applyFont="1" applyFill="1"/>
    <xf numFmtId="175" fontId="58" fillId="0" borderId="0" xfId="0" applyNumberFormat="1" applyFont="1"/>
    <xf numFmtId="37" fontId="58" fillId="0" borderId="0" xfId="0" quotePrefix="1" applyFont="1" applyFill="1" applyAlignment="1">
      <alignment horizontal="left" wrapText="1" indent="1"/>
    </xf>
    <xf numFmtId="37" fontId="58" fillId="0" borderId="0" xfId="0" quotePrefix="1" applyFont="1" applyFill="1" applyAlignment="1">
      <alignment horizontal="center"/>
    </xf>
    <xf numFmtId="37" fontId="58" fillId="0" borderId="0" xfId="0" applyFont="1" applyFill="1" applyAlignment="1">
      <alignment horizontal="left"/>
    </xf>
    <xf numFmtId="168" fontId="58" fillId="0" borderId="0" xfId="0" applyNumberFormat="1" applyFont="1" applyFill="1"/>
    <xf numFmtId="37" fontId="58" fillId="0" borderId="0" xfId="0" applyFont="1" applyFill="1" applyBorder="1" applyAlignment="1">
      <alignment horizontal="left" wrapText="1" indent="1"/>
    </xf>
    <xf numFmtId="37" fontId="58" fillId="0" borderId="0" xfId="0" quotePrefix="1" applyFont="1" applyFill="1" applyBorder="1" applyAlignment="1">
      <alignment horizontal="center"/>
    </xf>
    <xf numFmtId="37" fontId="58" fillId="0" borderId="0" xfId="0" applyFont="1" applyFill="1" applyBorder="1"/>
    <xf numFmtId="175" fontId="58" fillId="0" borderId="0" xfId="1" applyNumberFormat="1" applyFont="1" applyFill="1" applyBorder="1"/>
    <xf numFmtId="37" fontId="58" fillId="0" borderId="0" xfId="0" quotePrefix="1" applyFont="1" applyFill="1" applyBorder="1" applyAlignment="1">
      <alignment horizontal="left" wrapText="1" indent="1"/>
    </xf>
    <xf numFmtId="37" fontId="58" fillId="0" borderId="0" xfId="0" applyFont="1" applyFill="1" applyBorder="1" applyAlignment="1">
      <alignment horizontal="left"/>
    </xf>
    <xf numFmtId="175" fontId="81" fillId="0" borderId="0" xfId="1" applyNumberFormat="1" applyFont="1" applyFill="1"/>
    <xf numFmtId="3" fontId="58" fillId="0" borderId="0" xfId="0" applyNumberFormat="1" applyFont="1" applyFill="1"/>
    <xf numFmtId="175" fontId="82" fillId="0" borderId="0" xfId="1" applyNumberFormat="1" applyFont="1" applyFill="1"/>
    <xf numFmtId="37" fontId="58" fillId="0" borderId="1" xfId="0" applyFont="1" applyFill="1" applyBorder="1" applyAlignment="1">
      <alignment wrapText="1"/>
    </xf>
    <xf numFmtId="37" fontId="58" fillId="0" borderId="1" xfId="0" applyFont="1" applyFill="1" applyBorder="1"/>
    <xf numFmtId="3" fontId="83" fillId="0" borderId="1" xfId="0" applyNumberFormat="1" applyFont="1" applyFill="1" applyBorder="1"/>
    <xf numFmtId="37" fontId="58" fillId="0" borderId="0" xfId="0" applyFont="1" applyFill="1" applyAlignment="1">
      <alignment wrapText="1"/>
    </xf>
    <xf numFmtId="3" fontId="81" fillId="0" borderId="0" xfId="0" applyNumberFormat="1" applyFont="1" applyFill="1"/>
    <xf numFmtId="37" fontId="58" fillId="0" borderId="0" xfId="0" quotePrefix="1" applyFont="1" applyFill="1" applyAlignment="1">
      <alignment horizontal="left"/>
    </xf>
    <xf numFmtId="193" fontId="51" fillId="0" borderId="0" xfId="2" applyNumberFormat="1" applyFont="1" applyFill="1" applyAlignment="1" applyProtection="1">
      <alignment horizontal="right"/>
    </xf>
    <xf numFmtId="194" fontId="51" fillId="0" borderId="0" xfId="1" applyNumberFormat="1" applyFont="1" applyFill="1" applyAlignment="1" applyProtection="1"/>
    <xf numFmtId="194" fontId="54" fillId="0" borderId="0" xfId="1" applyNumberFormat="1" applyFont="1" applyFill="1" applyAlignment="1" applyProtection="1"/>
    <xf numFmtId="195" fontId="51" fillId="0" borderId="0" xfId="2" applyNumberFormat="1" applyFont="1" applyFill="1" applyAlignment="1" applyProtection="1">
      <alignment horizontal="right"/>
    </xf>
    <xf numFmtId="175" fontId="51" fillId="0" borderId="0" xfId="1" quotePrefix="1" applyNumberFormat="1" applyFont="1" applyFill="1" applyBorder="1" applyAlignment="1" applyProtection="1">
      <alignment horizontal="left"/>
    </xf>
    <xf numFmtId="196" fontId="51" fillId="0" borderId="0" xfId="2" applyNumberFormat="1" applyFont="1" applyFill="1" applyBorder="1" applyAlignment="1" applyProtection="1"/>
    <xf numFmtId="197" fontId="51" fillId="0" borderId="0" xfId="1" applyNumberFormat="1" applyFont="1" applyFill="1" applyBorder="1" applyAlignment="1" applyProtection="1"/>
    <xf numFmtId="197" fontId="54" fillId="0" borderId="0" xfId="1" applyNumberFormat="1" applyFont="1" applyFill="1" applyBorder="1" applyAlignment="1" applyProtection="1"/>
    <xf numFmtId="197" fontId="51" fillId="0" borderId="0" xfId="1" applyNumberFormat="1" applyFont="1" applyBorder="1" applyAlignment="1" applyProtection="1"/>
    <xf numFmtId="197" fontId="54" fillId="0" borderId="0" xfId="1" applyNumberFormat="1" applyFont="1" applyBorder="1" applyAlignment="1" applyProtection="1"/>
    <xf numFmtId="196" fontId="51" fillId="0" borderId="0" xfId="2" applyNumberFormat="1" applyFont="1" applyBorder="1" applyAlignment="1" applyProtection="1"/>
    <xf numFmtId="197" fontId="51" fillId="0" borderId="0" xfId="1" applyNumberFormat="1" applyFont="1" applyFill="1" applyBorder="1" applyAlignment="1"/>
    <xf numFmtId="197" fontId="54" fillId="0" borderId="0" xfId="1" applyNumberFormat="1" applyFont="1" applyFill="1" applyBorder="1" applyAlignment="1"/>
    <xf numFmtId="197" fontId="62" fillId="0" borderId="0" xfId="1" applyNumberFormat="1" applyFont="1" applyFill="1" applyBorder="1" applyAlignment="1"/>
    <xf numFmtId="197" fontId="54" fillId="0" borderId="0" xfId="1" applyNumberFormat="1" applyFont="1" applyBorder="1" applyAlignment="1"/>
    <xf numFmtId="197" fontId="51" fillId="0" borderId="0" xfId="1" applyNumberFormat="1" applyFont="1" applyFill="1" applyAlignment="1"/>
    <xf numFmtId="197" fontId="51" fillId="0" borderId="0" xfId="1" applyNumberFormat="1" applyFont="1" applyFill="1" applyAlignment="1" applyProtection="1">
      <protection locked="0"/>
    </xf>
    <xf numFmtId="196" fontId="51" fillId="0" borderId="0" xfId="2" applyNumberFormat="1" applyFont="1" applyAlignment="1"/>
    <xf numFmtId="197" fontId="51" fillId="0" borderId="0" xfId="1" applyNumberFormat="1" applyFont="1" applyAlignment="1"/>
    <xf numFmtId="197" fontId="51" fillId="0" borderId="0" xfId="0" applyNumberFormat="1" applyFont="1" applyFill="1" applyBorder="1" applyProtection="1">
      <protection locked="0"/>
    </xf>
    <xf numFmtId="197" fontId="51" fillId="0" borderId="0" xfId="0" applyNumberFormat="1" applyFont="1" applyFill="1" applyBorder="1" applyProtection="1"/>
    <xf numFmtId="196" fontId="51" fillId="0" borderId="0" xfId="2" applyNumberFormat="1" applyFont="1" applyFill="1" applyBorder="1" applyProtection="1"/>
    <xf numFmtId="175" fontId="54" fillId="0" borderId="0" xfId="1" applyNumberFormat="1" applyFont="1" applyFill="1" applyBorder="1" applyAlignment="1" applyProtection="1">
      <protection locked="0"/>
    </xf>
    <xf numFmtId="197" fontId="54" fillId="0" borderId="0" xfId="0" applyNumberFormat="1" applyFont="1" applyFill="1" applyBorder="1" applyProtection="1">
      <protection locked="0"/>
    </xf>
    <xf numFmtId="196" fontId="51" fillId="0" borderId="0" xfId="2" applyNumberFormat="1" applyFont="1" applyFill="1" applyAlignment="1" applyProtection="1">
      <alignment horizontal="right"/>
    </xf>
    <xf numFmtId="197" fontId="51" fillId="0" borderId="0" xfId="1" applyNumberFormat="1" applyFont="1" applyFill="1" applyAlignment="1" applyProtection="1"/>
    <xf numFmtId="197" fontId="51" fillId="0" borderId="0" xfId="1" applyNumberFormat="1" applyFont="1" applyFill="1" applyProtection="1"/>
    <xf numFmtId="197" fontId="54" fillId="0" borderId="0" xfId="1" applyNumberFormat="1" applyFont="1" applyFill="1" applyProtection="1"/>
    <xf numFmtId="195" fontId="51" fillId="0" borderId="0" xfId="2" applyNumberFormat="1" applyFont="1" applyFill="1" applyProtection="1"/>
    <xf numFmtId="197" fontId="54" fillId="0" borderId="0" xfId="1" applyNumberFormat="1" applyFont="1" applyFill="1" applyAlignment="1" applyProtection="1"/>
    <xf numFmtId="196" fontId="51" fillId="0" borderId="0" xfId="2" applyNumberFormat="1" applyFont="1" applyFill="1" applyAlignment="1" applyProtection="1"/>
    <xf numFmtId="196" fontId="54" fillId="0" borderId="0" xfId="0" applyNumberFormat="1" applyFont="1" applyFill="1" applyBorder="1" applyAlignment="1" applyProtection="1">
      <alignment horizontal="right"/>
    </xf>
    <xf numFmtId="0" fontId="51" fillId="0" borderId="0" xfId="0" applyNumberFormat="1" applyFont="1" applyFill="1" applyBorder="1" applyAlignment="1" applyProtection="1">
      <alignment horizontal="right"/>
    </xf>
    <xf numFmtId="3" fontId="51" fillId="0" borderId="0" xfId="0" quotePrefix="1" applyNumberFormat="1" applyFont="1" applyFill="1" applyBorder="1" applyAlignment="1" applyProtection="1">
      <alignment horizontal="left" wrapText="1"/>
    </xf>
    <xf numFmtId="3" fontId="51" fillId="0" borderId="0" xfId="0" applyNumberFormat="1" applyFont="1" applyFill="1" applyBorder="1" applyAlignment="1" applyProtection="1">
      <alignment wrapText="1"/>
    </xf>
    <xf numFmtId="37" fontId="52" fillId="0" borderId="3" xfId="0" quotePrefix="1" applyFont="1" applyFill="1" applyBorder="1" applyAlignment="1">
      <alignment horizontal="center"/>
    </xf>
  </cellXfs>
  <cellStyles count="157">
    <cellStyle name="_Row1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deEingabe" xfId="32"/>
    <cellStyle name="ColumnAttributeAbovePrompt" xfId="33"/>
    <cellStyle name="ColumnAttributePrompt" xfId="34"/>
    <cellStyle name="ColumnAttributeValue" xfId="35"/>
    <cellStyle name="ColumnHeadingPrompt" xfId="36"/>
    <cellStyle name="ColumnHeadingValue" xfId="37"/>
    <cellStyle name="Comma" xfId="1" builtinId="3"/>
    <cellStyle name="Comma 12" xfId="38"/>
    <cellStyle name="Comma 13" xfId="39"/>
    <cellStyle name="Comma 2" xfId="40"/>
    <cellStyle name="Comma 2 2" xfId="41"/>
    <cellStyle name="Comma 3" xfId="42"/>
    <cellStyle name="Comma 4" xfId="154"/>
    <cellStyle name="Comma0" xfId="43"/>
    <cellStyle name="Currency" xfId="2" builtinId="4"/>
    <cellStyle name="Currency 2" xfId="44"/>
    <cellStyle name="Currency 2 2" xfId="45"/>
    <cellStyle name="Currency 3" xfId="46"/>
    <cellStyle name="Currency 4" xfId="47"/>
    <cellStyle name="Currency0" xfId="48"/>
    <cellStyle name="Date" xfId="49"/>
    <cellStyle name="Eingabe" xfId="50"/>
    <cellStyle name="Euro" xfId="51"/>
    <cellStyle name="Explanatory Text 2" xfId="52"/>
    <cellStyle name="F2" xfId="53"/>
    <cellStyle name="F3" xfId="54"/>
    <cellStyle name="F4" xfId="55"/>
    <cellStyle name="F5" xfId="56"/>
    <cellStyle name="F6" xfId="57"/>
    <cellStyle name="F7" xfId="58"/>
    <cellStyle name="F8" xfId="59"/>
    <cellStyle name="Fixed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eItemPrompt" xfId="67"/>
    <cellStyle name="LineItemValue" xfId="68"/>
    <cellStyle name="Linked Cell 2" xfId="69"/>
    <cellStyle name="Neutral 2" xfId="70"/>
    <cellStyle name="Normal" xfId="0" builtinId="0"/>
    <cellStyle name="Normal 2" xfId="71"/>
    <cellStyle name="Normal 2 2" xfId="72"/>
    <cellStyle name="Normal 2 3" xfId="155"/>
    <cellStyle name="Normal 3" xfId="73"/>
    <cellStyle name="Normal 3 2" xfId="74"/>
    <cellStyle name="Normal 4" xfId="75"/>
    <cellStyle name="Normal 5" xfId="76"/>
    <cellStyle name="Normal 6" xfId="153"/>
    <cellStyle name="Normal_FINAL Billing Comparison and Facilities Charges" xfId="156"/>
    <cellStyle name="Note 2" xfId="77"/>
    <cellStyle name="Output 2" xfId="78"/>
    <cellStyle name="OUTPUT AMOUNTS" xfId="79"/>
    <cellStyle name="Output Amounts 2" xfId="80"/>
    <cellStyle name="OUTPUT COLUMN HEADINGS" xfId="81"/>
    <cellStyle name="OUTPUT LINE ITEMS" xfId="82"/>
    <cellStyle name="OUTPUT REPORT HEADING" xfId="83"/>
    <cellStyle name="OUTPUT REPORT TITLE" xfId="84"/>
    <cellStyle name="Percent" xfId="3" builtinId="5"/>
    <cellStyle name="Percent 2" xfId="85"/>
    <cellStyle name="Percent 3" xfId="86"/>
    <cellStyle name="Project Overview Data Entry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defined" xfId="145"/>
    <cellStyle name="SAPLocked" xfId="146"/>
    <cellStyle name="Standard_CORE_20040805_Movement types_Sets_V0.1_e" xfId="147"/>
    <cellStyle name="Title 2" xfId="148"/>
    <cellStyle name="Total 2" xfId="149"/>
    <cellStyle name="Undefiniert" xfId="150"/>
    <cellStyle name="UploadThisRowValue" xfId="151"/>
    <cellStyle name="Warning Text 2" xfId="15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topLeftCell="A134" workbookViewId="0">
      <selection activeCell="E146" sqref="E146"/>
    </sheetView>
  </sheetViews>
  <sheetFormatPr defaultColWidth="9.33203125" defaultRowHeight="12.75" x14ac:dyDescent="0.2"/>
  <cols>
    <col min="1" max="1" width="30.1640625" style="21" customWidth="1"/>
    <col min="2" max="2" width="34" style="21" customWidth="1"/>
    <col min="3" max="3" width="23.83203125" style="21" customWidth="1"/>
    <col min="4" max="4" width="21.33203125" style="21" customWidth="1"/>
    <col min="5" max="5" width="18.6640625" style="21" customWidth="1"/>
    <col min="6" max="6" width="20.33203125" style="21" customWidth="1"/>
    <col min="7" max="7" width="9.33203125" style="21"/>
    <col min="8" max="8" width="79.5" style="21" customWidth="1"/>
    <col min="9" max="9" width="13.83203125" style="21" customWidth="1"/>
    <col min="10" max="10" width="17.33203125" style="21" customWidth="1"/>
    <col min="11" max="11" width="15.1640625" style="21" bestFit="1" customWidth="1"/>
    <col min="12" max="12" width="9.5" style="21" bestFit="1" customWidth="1"/>
    <col min="13" max="15" width="13.5" style="21" bestFit="1" customWidth="1"/>
    <col min="16" max="16" width="10.83203125" style="21" bestFit="1" customWidth="1"/>
    <col min="17" max="16384" width="9.33203125" style="21"/>
  </cols>
  <sheetData>
    <row r="1" spans="1:9" x14ac:dyDescent="0.2">
      <c r="A1" s="21" t="s">
        <v>432</v>
      </c>
    </row>
    <row r="2" spans="1:9" x14ac:dyDescent="0.2">
      <c r="A2" s="396"/>
      <c r="B2" s="396"/>
      <c r="C2" s="396"/>
      <c r="D2" s="396"/>
      <c r="E2" s="396"/>
      <c r="F2" s="396"/>
      <c r="G2" s="396"/>
      <c r="H2" s="396"/>
      <c r="I2" s="396"/>
    </row>
    <row r="3" spans="1:9" x14ac:dyDescent="0.2">
      <c r="A3" s="21" t="s">
        <v>433</v>
      </c>
    </row>
    <row r="4" spans="1:9" x14ac:dyDescent="0.2">
      <c r="A4" s="21" t="s">
        <v>434</v>
      </c>
      <c r="B4" s="397">
        <v>42004</v>
      </c>
    </row>
    <row r="6" spans="1:9" x14ac:dyDescent="0.2">
      <c r="A6" s="21" t="s">
        <v>435</v>
      </c>
      <c r="C6" s="21" t="s">
        <v>436</v>
      </c>
      <c r="D6" s="21" t="s">
        <v>437</v>
      </c>
      <c r="E6" s="21" t="s">
        <v>438</v>
      </c>
    </row>
    <row r="7" spans="1:9" x14ac:dyDescent="0.2">
      <c r="A7" s="21" t="s">
        <v>439</v>
      </c>
      <c r="C7" s="398">
        <v>0</v>
      </c>
      <c r="D7" s="398">
        <v>0</v>
      </c>
      <c r="E7" s="21">
        <f>C7+D7</f>
        <v>0</v>
      </c>
      <c r="F7" s="21" t="s">
        <v>440</v>
      </c>
      <c r="H7" s="21" t="s">
        <v>441</v>
      </c>
    </row>
    <row r="8" spans="1:9" x14ac:dyDescent="0.2">
      <c r="A8" s="21" t="s">
        <v>442</v>
      </c>
      <c r="C8" s="398">
        <v>0</v>
      </c>
      <c r="D8" s="398">
        <v>0</v>
      </c>
      <c r="E8" s="21">
        <f>C8+D8</f>
        <v>0</v>
      </c>
      <c r="F8" s="399" t="s">
        <v>443</v>
      </c>
      <c r="H8" s="399" t="s">
        <v>444</v>
      </c>
    </row>
    <row r="9" spans="1:9" x14ac:dyDescent="0.2">
      <c r="C9" s="400"/>
      <c r="D9" s="400"/>
      <c r="F9" s="399"/>
      <c r="H9" s="399" t="s">
        <v>445</v>
      </c>
    </row>
    <row r="10" spans="1:9" x14ac:dyDescent="0.2">
      <c r="H10" s="21" t="s">
        <v>446</v>
      </c>
    </row>
    <row r="11" spans="1:9" x14ac:dyDescent="0.2">
      <c r="A11" s="399" t="s">
        <v>447</v>
      </c>
      <c r="B11" s="399" t="s">
        <v>448</v>
      </c>
      <c r="C11" s="21" t="s">
        <v>436</v>
      </c>
      <c r="D11" s="21" t="s">
        <v>437</v>
      </c>
      <c r="E11" s="21" t="s">
        <v>438</v>
      </c>
    </row>
    <row r="12" spans="1:9" x14ac:dyDescent="0.2">
      <c r="A12" s="21" t="s">
        <v>449</v>
      </c>
      <c r="B12" s="21" t="s">
        <v>450</v>
      </c>
      <c r="C12" s="401">
        <v>4985000</v>
      </c>
      <c r="D12" s="401">
        <v>2096000</v>
      </c>
      <c r="E12" s="21">
        <f t="shared" ref="E12:E23" si="0">C12+D12</f>
        <v>7081000</v>
      </c>
      <c r="G12" s="406"/>
    </row>
    <row r="13" spans="1:9" x14ac:dyDescent="0.2">
      <c r="A13" s="21" t="s">
        <v>451</v>
      </c>
      <c r="B13" s="399"/>
      <c r="C13" s="401">
        <v>4456000</v>
      </c>
      <c r="D13" s="401">
        <v>1834000</v>
      </c>
      <c r="E13" s="21">
        <f t="shared" si="0"/>
        <v>6290000</v>
      </c>
      <c r="G13" s="406"/>
    </row>
    <row r="14" spans="1:9" x14ac:dyDescent="0.2">
      <c r="A14" s="21" t="s">
        <v>452</v>
      </c>
      <c r="C14" s="401">
        <v>4091000</v>
      </c>
      <c r="D14" s="401">
        <v>1665000</v>
      </c>
      <c r="E14" s="21">
        <f t="shared" si="0"/>
        <v>5756000</v>
      </c>
      <c r="G14" s="406"/>
    </row>
    <row r="15" spans="1:9" x14ac:dyDescent="0.2">
      <c r="A15" s="21" t="s">
        <v>453</v>
      </c>
      <c r="C15" s="401">
        <v>3206000</v>
      </c>
      <c r="D15" s="401">
        <v>1437000</v>
      </c>
      <c r="E15" s="21">
        <f t="shared" si="0"/>
        <v>4643000</v>
      </c>
      <c r="G15" s="406"/>
    </row>
    <row r="16" spans="1:9" x14ac:dyDescent="0.2">
      <c r="A16" s="21" t="s">
        <v>454</v>
      </c>
      <c r="C16" s="401">
        <v>3407000</v>
      </c>
      <c r="D16" s="401">
        <v>2155000</v>
      </c>
      <c r="E16" s="21">
        <f t="shared" si="0"/>
        <v>5562000</v>
      </c>
      <c r="G16" s="406"/>
      <c r="H16" s="402" t="s">
        <v>455</v>
      </c>
    </row>
    <row r="17" spans="1:8" x14ac:dyDescent="0.2">
      <c r="A17" s="21" t="s">
        <v>456</v>
      </c>
      <c r="C17" s="401">
        <v>3794000</v>
      </c>
      <c r="D17" s="401">
        <v>2453000</v>
      </c>
      <c r="E17" s="21">
        <f t="shared" si="0"/>
        <v>6247000</v>
      </c>
      <c r="G17" s="406"/>
      <c r="H17" s="403" t="s">
        <v>457</v>
      </c>
    </row>
    <row r="18" spans="1:8" x14ac:dyDescent="0.2">
      <c r="A18" s="21" t="s">
        <v>458</v>
      </c>
      <c r="C18" s="401">
        <v>3828000</v>
      </c>
      <c r="D18" s="401">
        <v>2439000</v>
      </c>
      <c r="E18" s="21">
        <f t="shared" si="0"/>
        <v>6267000</v>
      </c>
      <c r="G18" s="406"/>
    </row>
    <row r="19" spans="1:8" x14ac:dyDescent="0.2">
      <c r="A19" s="21" t="s">
        <v>459</v>
      </c>
      <c r="C19" s="401">
        <v>3783000</v>
      </c>
      <c r="D19" s="401">
        <v>2449000</v>
      </c>
      <c r="E19" s="21">
        <f t="shared" si="0"/>
        <v>6232000</v>
      </c>
      <c r="G19" s="406"/>
    </row>
    <row r="20" spans="1:8" x14ac:dyDescent="0.2">
      <c r="A20" s="21" t="s">
        <v>460</v>
      </c>
      <c r="C20" s="401">
        <v>3774000</v>
      </c>
      <c r="D20" s="401">
        <v>2418000</v>
      </c>
      <c r="E20" s="21">
        <f t="shared" si="0"/>
        <v>6192000</v>
      </c>
      <c r="G20" s="406"/>
    </row>
    <row r="21" spans="1:8" x14ac:dyDescent="0.2">
      <c r="A21" s="21" t="s">
        <v>461</v>
      </c>
      <c r="C21" s="401">
        <v>3219000</v>
      </c>
      <c r="D21" s="401">
        <v>1941000</v>
      </c>
      <c r="E21" s="21">
        <f t="shared" si="0"/>
        <v>5160000</v>
      </c>
      <c r="G21" s="406"/>
    </row>
    <row r="22" spans="1:8" x14ac:dyDescent="0.2">
      <c r="A22" s="21" t="s">
        <v>462</v>
      </c>
      <c r="C22" s="401">
        <v>3947000</v>
      </c>
      <c r="D22" s="401">
        <v>1716000</v>
      </c>
      <c r="E22" s="21">
        <f t="shared" si="0"/>
        <v>5663000</v>
      </c>
      <c r="G22" s="406"/>
    </row>
    <row r="23" spans="1:8" x14ac:dyDescent="0.2">
      <c r="A23" s="21" t="s">
        <v>463</v>
      </c>
      <c r="C23" s="401">
        <v>3694000</v>
      </c>
      <c r="D23" s="401">
        <v>1619000</v>
      </c>
      <c r="E23" s="21">
        <f t="shared" si="0"/>
        <v>5313000</v>
      </c>
      <c r="G23" s="406"/>
    </row>
    <row r="24" spans="1:8" x14ac:dyDescent="0.2">
      <c r="G24" s="406"/>
    </row>
    <row r="25" spans="1:8" x14ac:dyDescent="0.2">
      <c r="A25" s="21" t="s">
        <v>464</v>
      </c>
      <c r="C25" s="21">
        <f>AVERAGE(C12:C23)</f>
        <v>3848666.6666666665</v>
      </c>
      <c r="D25" s="21">
        <f>AVERAGE(D12:D23)</f>
        <v>2018500</v>
      </c>
      <c r="E25" s="21">
        <f>ROUND(AVERAGE(E12:E23),-3)</f>
        <v>5867000</v>
      </c>
      <c r="F25" s="399" t="s">
        <v>465</v>
      </c>
      <c r="G25" s="406"/>
    </row>
    <row r="26" spans="1:8" x14ac:dyDescent="0.2">
      <c r="G26" s="406"/>
    </row>
    <row r="27" spans="1:8" x14ac:dyDescent="0.2">
      <c r="A27" s="399" t="s">
        <v>466</v>
      </c>
      <c r="B27" s="399" t="s">
        <v>467</v>
      </c>
      <c r="C27" s="21" t="s">
        <v>436</v>
      </c>
      <c r="D27" s="21" t="s">
        <v>437</v>
      </c>
      <c r="E27" s="21" t="s">
        <v>438</v>
      </c>
      <c r="G27" s="406"/>
    </row>
    <row r="28" spans="1:8" x14ac:dyDescent="0.2">
      <c r="A28" s="21" t="s">
        <v>449</v>
      </c>
      <c r="B28" s="399" t="s">
        <v>468</v>
      </c>
      <c r="C28" s="401">
        <v>0</v>
      </c>
      <c r="D28" s="401">
        <v>0</v>
      </c>
      <c r="E28" s="21">
        <f>C28+D28</f>
        <v>0</v>
      </c>
      <c r="G28" s="406"/>
    </row>
    <row r="29" spans="1:8" x14ac:dyDescent="0.2">
      <c r="A29" s="21" t="s">
        <v>451</v>
      </c>
      <c r="B29" s="399" t="s">
        <v>469</v>
      </c>
      <c r="C29" s="401">
        <v>0</v>
      </c>
      <c r="D29" s="401">
        <v>0</v>
      </c>
      <c r="E29" s="21">
        <f t="shared" ref="E29:E39" si="1">C29+D29</f>
        <v>0</v>
      </c>
      <c r="G29" s="406"/>
    </row>
    <row r="30" spans="1:8" x14ac:dyDescent="0.2">
      <c r="A30" s="21" t="s">
        <v>452</v>
      </c>
      <c r="B30" s="404" t="s">
        <v>470</v>
      </c>
      <c r="C30" s="401">
        <v>0</v>
      </c>
      <c r="D30" s="401">
        <v>0</v>
      </c>
      <c r="E30" s="21">
        <f t="shared" si="1"/>
        <v>0</v>
      </c>
      <c r="G30" s="406"/>
    </row>
    <row r="31" spans="1:8" x14ac:dyDescent="0.2">
      <c r="A31" s="21" t="s">
        <v>453</v>
      </c>
      <c r="B31" s="21" t="s">
        <v>450</v>
      </c>
      <c r="C31" s="401">
        <v>0</v>
      </c>
      <c r="D31" s="401">
        <v>0</v>
      </c>
      <c r="E31" s="21">
        <f t="shared" si="1"/>
        <v>0</v>
      </c>
      <c r="G31" s="406"/>
    </row>
    <row r="32" spans="1:8" x14ac:dyDescent="0.2">
      <c r="A32" s="21" t="s">
        <v>454</v>
      </c>
      <c r="C32" s="401">
        <v>0</v>
      </c>
      <c r="D32" s="401">
        <v>0</v>
      </c>
      <c r="E32" s="21">
        <f t="shared" si="1"/>
        <v>0</v>
      </c>
      <c r="G32" s="406"/>
    </row>
    <row r="33" spans="1:8" x14ac:dyDescent="0.2">
      <c r="A33" s="21" t="s">
        <v>456</v>
      </c>
      <c r="C33" s="401">
        <v>0</v>
      </c>
      <c r="D33" s="401">
        <v>0</v>
      </c>
      <c r="E33" s="21">
        <f t="shared" si="1"/>
        <v>0</v>
      </c>
      <c r="G33" s="406"/>
    </row>
    <row r="34" spans="1:8" x14ac:dyDescent="0.2">
      <c r="A34" s="21" t="s">
        <v>458</v>
      </c>
      <c r="C34" s="401">
        <v>0</v>
      </c>
      <c r="D34" s="401">
        <v>0</v>
      </c>
      <c r="E34" s="21">
        <f t="shared" si="1"/>
        <v>0</v>
      </c>
      <c r="G34" s="406"/>
    </row>
    <row r="35" spans="1:8" x14ac:dyDescent="0.2">
      <c r="A35" s="21" t="s">
        <v>459</v>
      </c>
      <c r="C35" s="401">
        <v>397</v>
      </c>
      <c r="D35" s="401">
        <v>0</v>
      </c>
      <c r="E35" s="21">
        <f t="shared" si="1"/>
        <v>397</v>
      </c>
      <c r="G35" s="406"/>
      <c r="H35" s="21" t="s">
        <v>903</v>
      </c>
    </row>
    <row r="36" spans="1:8" x14ac:dyDescent="0.2">
      <c r="A36" s="21" t="s">
        <v>460</v>
      </c>
      <c r="C36" s="401">
        <v>0</v>
      </c>
      <c r="D36" s="401">
        <v>0</v>
      </c>
      <c r="E36" s="21">
        <f t="shared" si="1"/>
        <v>0</v>
      </c>
      <c r="G36" s="406"/>
    </row>
    <row r="37" spans="1:8" x14ac:dyDescent="0.2">
      <c r="A37" s="21" t="s">
        <v>461</v>
      </c>
      <c r="C37" s="401">
        <v>0</v>
      </c>
      <c r="D37" s="401">
        <v>0</v>
      </c>
      <c r="E37" s="21">
        <f t="shared" si="1"/>
        <v>0</v>
      </c>
      <c r="G37" s="406"/>
    </row>
    <row r="38" spans="1:8" x14ac:dyDescent="0.2">
      <c r="A38" s="21" t="s">
        <v>462</v>
      </c>
      <c r="C38" s="401">
        <v>0</v>
      </c>
      <c r="D38" s="401">
        <v>0</v>
      </c>
      <c r="E38" s="21">
        <f t="shared" si="1"/>
        <v>0</v>
      </c>
      <c r="G38" s="406"/>
    </row>
    <row r="39" spans="1:8" x14ac:dyDescent="0.2">
      <c r="A39" s="21" t="s">
        <v>463</v>
      </c>
      <c r="C39" s="401">
        <v>0</v>
      </c>
      <c r="D39" s="401">
        <v>0</v>
      </c>
      <c r="E39" s="21">
        <f t="shared" si="1"/>
        <v>0</v>
      </c>
      <c r="G39" s="406"/>
    </row>
    <row r="40" spans="1:8" x14ac:dyDescent="0.2">
      <c r="G40" s="406"/>
    </row>
    <row r="41" spans="1:8" x14ac:dyDescent="0.2">
      <c r="A41" s="21" t="s">
        <v>6</v>
      </c>
      <c r="C41" s="21">
        <f>SUM(C28:C39)</f>
        <v>397</v>
      </c>
      <c r="D41" s="21">
        <f>SUM(D28:D39)</f>
        <v>0</v>
      </c>
      <c r="E41" s="21">
        <f>SUM(E28:E39)</f>
        <v>397</v>
      </c>
      <c r="F41" s="399" t="s">
        <v>471</v>
      </c>
      <c r="G41" s="406"/>
    </row>
    <row r="42" spans="1:8" x14ac:dyDescent="0.2">
      <c r="G42" s="406"/>
    </row>
    <row r="43" spans="1:8" x14ac:dyDescent="0.2">
      <c r="A43" s="399" t="s">
        <v>472</v>
      </c>
      <c r="B43" s="399" t="s">
        <v>473</v>
      </c>
      <c r="C43" s="399" t="s">
        <v>474</v>
      </c>
      <c r="D43" s="399" t="s">
        <v>475</v>
      </c>
      <c r="E43" s="399" t="s">
        <v>476</v>
      </c>
      <c r="F43" s="21" t="s">
        <v>438</v>
      </c>
      <c r="G43" s="406"/>
    </row>
    <row r="44" spans="1:8" x14ac:dyDescent="0.2">
      <c r="A44" s="21" t="s">
        <v>449</v>
      </c>
      <c r="B44" s="21" t="s">
        <v>450</v>
      </c>
      <c r="C44" s="401">
        <v>623000</v>
      </c>
      <c r="D44" s="401">
        <v>42000</v>
      </c>
      <c r="E44" s="401">
        <v>288000</v>
      </c>
      <c r="F44" s="21">
        <f>C44+D44+E44</f>
        <v>953000</v>
      </c>
      <c r="G44" s="406"/>
    </row>
    <row r="45" spans="1:8" x14ac:dyDescent="0.2">
      <c r="A45" s="21" t="s">
        <v>451</v>
      </c>
      <c r="B45" s="399" t="s">
        <v>904</v>
      </c>
      <c r="C45" s="401">
        <v>478000</v>
      </c>
      <c r="D45" s="401">
        <v>42000</v>
      </c>
      <c r="E45" s="401">
        <v>223000</v>
      </c>
      <c r="F45" s="21">
        <f t="shared" ref="F45:F55" si="2">C45+D45+E45</f>
        <v>743000</v>
      </c>
      <c r="G45" s="406"/>
    </row>
    <row r="46" spans="1:8" x14ac:dyDescent="0.2">
      <c r="A46" s="21" t="s">
        <v>452</v>
      </c>
      <c r="B46" s="404"/>
      <c r="C46" s="401">
        <v>426000</v>
      </c>
      <c r="D46" s="401">
        <v>36000</v>
      </c>
      <c r="E46" s="401">
        <v>198000</v>
      </c>
      <c r="F46" s="21">
        <f t="shared" si="2"/>
        <v>660000</v>
      </c>
      <c r="G46" s="406"/>
    </row>
    <row r="47" spans="1:8" x14ac:dyDescent="0.2">
      <c r="A47" s="21" t="s">
        <v>453</v>
      </c>
      <c r="C47" s="401">
        <v>408000</v>
      </c>
      <c r="D47" s="401">
        <v>27000</v>
      </c>
      <c r="E47" s="401">
        <v>190000</v>
      </c>
      <c r="F47" s="21">
        <f t="shared" si="2"/>
        <v>625000</v>
      </c>
      <c r="G47" s="406"/>
    </row>
    <row r="48" spans="1:8" x14ac:dyDescent="0.2">
      <c r="A48" s="21" t="s">
        <v>454</v>
      </c>
      <c r="C48" s="401">
        <v>447000</v>
      </c>
      <c r="D48" s="401">
        <v>24000</v>
      </c>
      <c r="E48" s="401">
        <v>208000</v>
      </c>
      <c r="F48" s="21">
        <f t="shared" si="2"/>
        <v>679000</v>
      </c>
      <c r="G48" s="406"/>
    </row>
    <row r="49" spans="1:8" x14ac:dyDescent="0.2">
      <c r="A49" s="21" t="s">
        <v>456</v>
      </c>
      <c r="C49" s="401">
        <v>510000</v>
      </c>
      <c r="D49" s="401">
        <v>29000</v>
      </c>
      <c r="E49" s="401">
        <v>237000</v>
      </c>
      <c r="F49" s="21">
        <f t="shared" si="2"/>
        <v>776000</v>
      </c>
      <c r="G49" s="406"/>
    </row>
    <row r="50" spans="1:8" x14ac:dyDescent="0.2">
      <c r="A50" s="21" t="s">
        <v>458</v>
      </c>
      <c r="C50" s="401">
        <v>490000</v>
      </c>
      <c r="D50" s="401">
        <v>30000</v>
      </c>
      <c r="E50" s="401">
        <v>229000</v>
      </c>
      <c r="F50" s="21">
        <f t="shared" si="2"/>
        <v>749000</v>
      </c>
      <c r="G50" s="406"/>
    </row>
    <row r="51" spans="1:8" x14ac:dyDescent="0.2">
      <c r="A51" s="21" t="s">
        <v>459</v>
      </c>
      <c r="C51" s="401">
        <v>528000</v>
      </c>
      <c r="D51" s="401">
        <v>30000</v>
      </c>
      <c r="E51" s="401">
        <v>244000</v>
      </c>
      <c r="F51" s="21">
        <f t="shared" si="2"/>
        <v>802000</v>
      </c>
      <c r="G51" s="406"/>
    </row>
    <row r="52" spans="1:8" x14ac:dyDescent="0.2">
      <c r="A52" s="21" t="s">
        <v>460</v>
      </c>
      <c r="C52" s="401">
        <v>488000</v>
      </c>
      <c r="D52" s="401">
        <v>21000</v>
      </c>
      <c r="E52" s="401">
        <v>226000</v>
      </c>
      <c r="F52" s="21">
        <f t="shared" si="2"/>
        <v>735000</v>
      </c>
      <c r="G52" s="406"/>
    </row>
    <row r="53" spans="1:8" x14ac:dyDescent="0.2">
      <c r="A53" s="21" t="s">
        <v>461</v>
      </c>
      <c r="C53" s="401">
        <v>401000</v>
      </c>
      <c r="D53" s="401">
        <v>23000</v>
      </c>
      <c r="E53" s="401">
        <v>186000</v>
      </c>
      <c r="F53" s="21">
        <f t="shared" si="2"/>
        <v>610000</v>
      </c>
      <c r="G53" s="406"/>
    </row>
    <row r="54" spans="1:8" x14ac:dyDescent="0.2">
      <c r="A54" s="21" t="s">
        <v>462</v>
      </c>
      <c r="C54" s="401">
        <v>462000</v>
      </c>
      <c r="D54" s="401">
        <v>36000</v>
      </c>
      <c r="E54" s="401">
        <v>214000</v>
      </c>
      <c r="F54" s="21">
        <f t="shared" si="2"/>
        <v>712000</v>
      </c>
      <c r="G54" s="406"/>
    </row>
    <row r="55" spans="1:8" x14ac:dyDescent="0.2">
      <c r="A55" s="21" t="s">
        <v>463</v>
      </c>
      <c r="C55" s="401">
        <v>421000</v>
      </c>
      <c r="D55" s="401">
        <v>33000</v>
      </c>
      <c r="E55" s="401">
        <v>195000</v>
      </c>
      <c r="F55" s="21">
        <f t="shared" si="2"/>
        <v>649000</v>
      </c>
      <c r="G55" s="406"/>
    </row>
    <row r="56" spans="1:8" x14ac:dyDescent="0.2">
      <c r="G56" s="406"/>
    </row>
    <row r="57" spans="1:8" x14ac:dyDescent="0.2">
      <c r="A57" s="21" t="s">
        <v>464</v>
      </c>
      <c r="C57" s="21">
        <f>AVERAGE(C44:C55)</f>
        <v>473500</v>
      </c>
      <c r="D57" s="21">
        <f>AVERAGE(D44:D55)</f>
        <v>31083.333333333332</v>
      </c>
      <c r="E57" s="21">
        <f>AVERAGE(E44:E55)</f>
        <v>219833.33333333334</v>
      </c>
      <c r="F57" s="21">
        <f>ROUND(AVERAGE(F44:F55),-3)</f>
        <v>724000</v>
      </c>
      <c r="G57" s="405" t="s">
        <v>477</v>
      </c>
    </row>
    <row r="58" spans="1:8" x14ac:dyDescent="0.2">
      <c r="G58" s="406"/>
    </row>
    <row r="59" spans="1:8" x14ac:dyDescent="0.2">
      <c r="A59" s="399" t="s">
        <v>478</v>
      </c>
      <c r="B59" s="405"/>
      <c r="C59" s="21" t="s">
        <v>436</v>
      </c>
      <c r="D59" s="21" t="s">
        <v>437</v>
      </c>
      <c r="E59" s="21" t="s">
        <v>438</v>
      </c>
      <c r="G59" s="406"/>
      <c r="H59" s="21" t="s">
        <v>479</v>
      </c>
    </row>
    <row r="60" spans="1:8" x14ac:dyDescent="0.2">
      <c r="A60" s="21" t="s">
        <v>449</v>
      </c>
      <c r="B60" s="406"/>
      <c r="C60" s="398"/>
      <c r="D60" s="398"/>
      <c r="E60" s="21">
        <f>C60+D60</f>
        <v>0</v>
      </c>
      <c r="G60" s="406"/>
      <c r="H60" s="399" t="s">
        <v>480</v>
      </c>
    </row>
    <row r="61" spans="1:8" x14ac:dyDescent="0.2">
      <c r="A61" s="21" t="s">
        <v>451</v>
      </c>
      <c r="B61" s="399"/>
      <c r="C61" s="398"/>
      <c r="D61" s="398"/>
      <c r="E61" s="21">
        <f t="shared" ref="E61:E71" si="3">C61+D61</f>
        <v>0</v>
      </c>
      <c r="G61" s="406"/>
      <c r="H61" s="21" t="s">
        <v>481</v>
      </c>
    </row>
    <row r="62" spans="1:8" x14ac:dyDescent="0.2">
      <c r="A62" s="21" t="s">
        <v>452</v>
      </c>
      <c r="B62" s="404"/>
      <c r="C62" s="398"/>
      <c r="D62" s="398"/>
      <c r="E62" s="21">
        <f t="shared" si="3"/>
        <v>0</v>
      </c>
      <c r="G62" s="406"/>
      <c r="H62" s="21" t="s">
        <v>482</v>
      </c>
    </row>
    <row r="63" spans="1:8" x14ac:dyDescent="0.2">
      <c r="A63" s="21" t="s">
        <v>453</v>
      </c>
      <c r="C63" s="398"/>
      <c r="D63" s="398"/>
      <c r="E63" s="21">
        <f t="shared" si="3"/>
        <v>0</v>
      </c>
      <c r="G63" s="406"/>
      <c r="H63" s="21" t="s">
        <v>483</v>
      </c>
    </row>
    <row r="64" spans="1:8" x14ac:dyDescent="0.2">
      <c r="A64" s="21" t="s">
        <v>454</v>
      </c>
      <c r="C64" s="398"/>
      <c r="D64" s="398"/>
      <c r="E64" s="21">
        <f t="shared" si="3"/>
        <v>0</v>
      </c>
      <c r="G64" s="406"/>
      <c r="H64" s="399" t="s">
        <v>484</v>
      </c>
    </row>
    <row r="65" spans="1:8" x14ac:dyDescent="0.2">
      <c r="A65" s="21" t="s">
        <v>456</v>
      </c>
      <c r="C65" s="398"/>
      <c r="D65" s="398"/>
      <c r="E65" s="21">
        <f t="shared" si="3"/>
        <v>0</v>
      </c>
      <c r="G65" s="406"/>
      <c r="H65" s="21" t="s">
        <v>485</v>
      </c>
    </row>
    <row r="66" spans="1:8" x14ac:dyDescent="0.2">
      <c r="A66" s="21" t="s">
        <v>458</v>
      </c>
      <c r="C66" s="398"/>
      <c r="D66" s="398"/>
      <c r="E66" s="21">
        <f t="shared" si="3"/>
        <v>0</v>
      </c>
      <c r="G66" s="406"/>
    </row>
    <row r="67" spans="1:8" x14ac:dyDescent="0.2">
      <c r="A67" s="21" t="s">
        <v>459</v>
      </c>
      <c r="C67" s="398"/>
      <c r="D67" s="398"/>
      <c r="E67" s="21">
        <f t="shared" si="3"/>
        <v>0</v>
      </c>
      <c r="G67" s="406"/>
    </row>
    <row r="68" spans="1:8" x14ac:dyDescent="0.2">
      <c r="A68" s="21" t="s">
        <v>460</v>
      </c>
      <c r="C68" s="398"/>
      <c r="D68" s="398"/>
      <c r="E68" s="21">
        <f t="shared" si="3"/>
        <v>0</v>
      </c>
      <c r="G68" s="406"/>
    </row>
    <row r="69" spans="1:8" x14ac:dyDescent="0.2">
      <c r="A69" s="21" t="s">
        <v>461</v>
      </c>
      <c r="C69" s="398"/>
      <c r="D69" s="398"/>
      <c r="E69" s="21">
        <f t="shared" si="3"/>
        <v>0</v>
      </c>
      <c r="G69" s="406"/>
    </row>
    <row r="70" spans="1:8" x14ac:dyDescent="0.2">
      <c r="A70" s="21" t="s">
        <v>462</v>
      </c>
      <c r="C70" s="398"/>
      <c r="D70" s="398"/>
      <c r="E70" s="21">
        <f t="shared" si="3"/>
        <v>0</v>
      </c>
      <c r="G70" s="406"/>
    </row>
    <row r="71" spans="1:8" x14ac:dyDescent="0.2">
      <c r="A71" s="21" t="s">
        <v>463</v>
      </c>
      <c r="C71" s="398"/>
      <c r="D71" s="398"/>
      <c r="E71" s="21">
        <f t="shared" si="3"/>
        <v>0</v>
      </c>
      <c r="G71" s="406"/>
    </row>
    <row r="72" spans="1:8" x14ac:dyDescent="0.2">
      <c r="G72" s="406"/>
    </row>
    <row r="73" spans="1:8" x14ac:dyDescent="0.2">
      <c r="A73" s="21" t="s">
        <v>464</v>
      </c>
      <c r="C73" s="21" t="e">
        <f>AVERAGE(C60:C71)</f>
        <v>#DIV/0!</v>
      </c>
      <c r="D73" s="21" t="e">
        <f>AVERAGE(D60:D71)</f>
        <v>#DIV/0!</v>
      </c>
      <c r="E73" s="21">
        <f>ROUND(AVERAGE(E60:E71),-3)</f>
        <v>0</v>
      </c>
      <c r="F73" s="399" t="s">
        <v>486</v>
      </c>
      <c r="G73" s="406"/>
    </row>
    <row r="74" spans="1:8" x14ac:dyDescent="0.2">
      <c r="G74" s="406"/>
    </row>
    <row r="75" spans="1:8" x14ac:dyDescent="0.2">
      <c r="A75" s="399" t="s">
        <v>487</v>
      </c>
      <c r="B75" s="405" t="s">
        <v>488</v>
      </c>
      <c r="C75" s="21" t="s">
        <v>436</v>
      </c>
      <c r="D75" s="21" t="s">
        <v>437</v>
      </c>
      <c r="E75" s="21" t="s">
        <v>438</v>
      </c>
      <c r="G75" s="406"/>
    </row>
    <row r="76" spans="1:8" x14ac:dyDescent="0.2">
      <c r="A76" s="21" t="s">
        <v>449</v>
      </c>
      <c r="B76" s="406" t="s">
        <v>450</v>
      </c>
      <c r="C76" s="401">
        <v>383000</v>
      </c>
      <c r="D76" s="401">
        <v>175000</v>
      </c>
      <c r="E76" s="21">
        <f>C76+D76</f>
        <v>558000</v>
      </c>
      <c r="G76" s="406"/>
    </row>
    <row r="77" spans="1:8" x14ac:dyDescent="0.2">
      <c r="A77" s="21" t="s">
        <v>451</v>
      </c>
      <c r="B77" s="399"/>
      <c r="C77" s="401">
        <v>383000</v>
      </c>
      <c r="D77" s="401">
        <v>175000</v>
      </c>
      <c r="E77" s="21">
        <f t="shared" ref="E77:E87" si="4">C77+D77</f>
        <v>558000</v>
      </c>
      <c r="G77" s="406"/>
    </row>
    <row r="78" spans="1:8" x14ac:dyDescent="0.2">
      <c r="A78" s="21" t="s">
        <v>452</v>
      </c>
      <c r="B78" s="404"/>
      <c r="C78" s="401">
        <v>383000</v>
      </c>
      <c r="D78" s="401">
        <v>175000</v>
      </c>
      <c r="E78" s="21">
        <f t="shared" si="4"/>
        <v>558000</v>
      </c>
      <c r="G78" s="406"/>
    </row>
    <row r="79" spans="1:8" x14ac:dyDescent="0.2">
      <c r="A79" s="21" t="s">
        <v>453</v>
      </c>
      <c r="C79" s="401">
        <v>383000</v>
      </c>
      <c r="D79" s="401">
        <v>175000</v>
      </c>
      <c r="E79" s="21">
        <f t="shared" si="4"/>
        <v>558000</v>
      </c>
      <c r="G79" s="406"/>
    </row>
    <row r="80" spans="1:8" x14ac:dyDescent="0.2">
      <c r="A80" s="21" t="s">
        <v>454</v>
      </c>
      <c r="C80" s="401">
        <v>419000</v>
      </c>
      <c r="D80" s="401">
        <v>191000</v>
      </c>
      <c r="E80" s="21">
        <f t="shared" si="4"/>
        <v>610000</v>
      </c>
      <c r="G80" s="406"/>
    </row>
    <row r="81" spans="1:8" x14ac:dyDescent="0.2">
      <c r="A81" s="21" t="s">
        <v>456</v>
      </c>
      <c r="C81" s="401">
        <v>419000</v>
      </c>
      <c r="D81" s="401">
        <v>191000</v>
      </c>
      <c r="E81" s="21">
        <f t="shared" si="4"/>
        <v>610000</v>
      </c>
      <c r="G81" s="406"/>
    </row>
    <row r="82" spans="1:8" x14ac:dyDescent="0.2">
      <c r="A82" s="21" t="s">
        <v>458</v>
      </c>
      <c r="C82" s="401">
        <v>419000</v>
      </c>
      <c r="D82" s="401">
        <v>191000</v>
      </c>
      <c r="E82" s="21">
        <f t="shared" si="4"/>
        <v>610000</v>
      </c>
      <c r="G82" s="406"/>
    </row>
    <row r="83" spans="1:8" x14ac:dyDescent="0.2">
      <c r="A83" s="21" t="s">
        <v>459</v>
      </c>
      <c r="C83" s="401">
        <v>419000</v>
      </c>
      <c r="D83" s="401">
        <v>191000</v>
      </c>
      <c r="E83" s="21">
        <f t="shared" si="4"/>
        <v>610000</v>
      </c>
      <c r="G83" s="406"/>
    </row>
    <row r="84" spans="1:8" x14ac:dyDescent="0.2">
      <c r="A84" s="21" t="s">
        <v>460</v>
      </c>
      <c r="C84" s="401">
        <v>419000</v>
      </c>
      <c r="D84" s="401">
        <v>191000</v>
      </c>
      <c r="E84" s="21">
        <f t="shared" si="4"/>
        <v>610000</v>
      </c>
      <c r="G84" s="406"/>
    </row>
    <row r="85" spans="1:8" x14ac:dyDescent="0.2">
      <c r="A85" s="21" t="s">
        <v>461</v>
      </c>
      <c r="C85" s="401">
        <v>419000</v>
      </c>
      <c r="D85" s="401">
        <v>191000</v>
      </c>
      <c r="E85" s="21">
        <f t="shared" si="4"/>
        <v>610000</v>
      </c>
      <c r="G85" s="406"/>
    </row>
    <row r="86" spans="1:8" x14ac:dyDescent="0.2">
      <c r="A86" s="21" t="s">
        <v>462</v>
      </c>
      <c r="C86" s="401">
        <v>419000</v>
      </c>
      <c r="D86" s="401">
        <v>191000</v>
      </c>
      <c r="E86" s="21">
        <f t="shared" si="4"/>
        <v>610000</v>
      </c>
      <c r="G86" s="406"/>
    </row>
    <row r="87" spans="1:8" x14ac:dyDescent="0.2">
      <c r="A87" s="21" t="s">
        <v>463</v>
      </c>
      <c r="C87" s="401">
        <v>419000</v>
      </c>
      <c r="D87" s="401">
        <v>191000</v>
      </c>
      <c r="E87" s="21">
        <f t="shared" si="4"/>
        <v>610000</v>
      </c>
      <c r="G87" s="406"/>
    </row>
    <row r="88" spans="1:8" x14ac:dyDescent="0.2">
      <c r="G88" s="406"/>
    </row>
    <row r="89" spans="1:8" x14ac:dyDescent="0.2">
      <c r="A89" s="21" t="s">
        <v>464</v>
      </c>
      <c r="C89" s="21">
        <f>AVERAGE(C76:C87)</f>
        <v>407000</v>
      </c>
      <c r="D89" s="21">
        <f>AVERAGE(D76:D87)</f>
        <v>185666.66666666666</v>
      </c>
      <c r="G89" s="406"/>
    </row>
    <row r="90" spans="1:8" x14ac:dyDescent="0.2">
      <c r="A90" s="399" t="s">
        <v>489</v>
      </c>
      <c r="C90" s="407"/>
      <c r="E90" s="21">
        <f>C89+D89+C90</f>
        <v>592666.66666666663</v>
      </c>
      <c r="F90" s="399" t="s">
        <v>490</v>
      </c>
      <c r="G90" s="406"/>
      <c r="H90" s="399" t="s">
        <v>905</v>
      </c>
    </row>
    <row r="91" spans="1:8" x14ac:dyDescent="0.2">
      <c r="G91" s="406"/>
    </row>
    <row r="92" spans="1:8" x14ac:dyDescent="0.2">
      <c r="A92" s="21" t="s">
        <v>491</v>
      </c>
      <c r="G92" s="406"/>
    </row>
    <row r="93" spans="1:8" x14ac:dyDescent="0.2">
      <c r="C93" s="21" t="s">
        <v>436</v>
      </c>
      <c r="D93" s="21" t="s">
        <v>437</v>
      </c>
      <c r="E93" s="21" t="s">
        <v>438</v>
      </c>
      <c r="G93" s="406"/>
    </row>
    <row r="94" spans="1:8" x14ac:dyDescent="0.2">
      <c r="A94" s="399" t="s">
        <v>492</v>
      </c>
      <c r="C94" s="400"/>
      <c r="D94" s="400"/>
      <c r="E94" s="407">
        <f>1996000/12</f>
        <v>166333.33333333334</v>
      </c>
      <c r="F94" s="399" t="s">
        <v>493</v>
      </c>
      <c r="G94" s="406"/>
      <c r="H94" s="399" t="s">
        <v>494</v>
      </c>
    </row>
    <row r="95" spans="1:8" x14ac:dyDescent="0.2">
      <c r="A95" s="399" t="s">
        <v>495</v>
      </c>
      <c r="C95" s="400"/>
      <c r="D95" s="400"/>
      <c r="E95" s="407">
        <v>427000</v>
      </c>
      <c r="F95" s="399" t="s">
        <v>496</v>
      </c>
      <c r="G95" s="406"/>
      <c r="H95" s="399" t="s">
        <v>497</v>
      </c>
    </row>
    <row r="96" spans="1:8" x14ac:dyDescent="0.2">
      <c r="A96" s="399"/>
      <c r="F96" s="399"/>
      <c r="G96" s="406"/>
      <c r="H96" s="21" t="s">
        <v>498</v>
      </c>
    </row>
    <row r="97" spans="1:14" x14ac:dyDescent="0.2">
      <c r="A97" s="396"/>
      <c r="B97" s="396"/>
      <c r="C97" s="396"/>
      <c r="D97" s="396"/>
      <c r="E97" s="396"/>
      <c r="F97" s="396"/>
      <c r="G97" s="396"/>
      <c r="H97" s="396"/>
      <c r="I97" s="396"/>
      <c r="J97" s="396"/>
      <c r="K97" s="396"/>
    </row>
    <row r="98" spans="1:14" ht="15" x14ac:dyDescent="0.25">
      <c r="A98" s="408" t="s">
        <v>123</v>
      </c>
    </row>
    <row r="99" spans="1:14" x14ac:dyDescent="0.2">
      <c r="A99" s="409" t="s">
        <v>30</v>
      </c>
      <c r="B99" s="288"/>
      <c r="C99" s="21" t="s">
        <v>436</v>
      </c>
      <c r="D99" s="21" t="s">
        <v>437</v>
      </c>
      <c r="E99" s="21" t="s">
        <v>438</v>
      </c>
    </row>
    <row r="100" spans="1:14" x14ac:dyDescent="0.2">
      <c r="A100" s="410" t="s">
        <v>499</v>
      </c>
      <c r="B100" s="268" t="s">
        <v>500</v>
      </c>
      <c r="C100" s="401">
        <v>81831330</v>
      </c>
      <c r="D100" s="401">
        <v>2240</v>
      </c>
      <c r="E100" s="21">
        <f t="shared" ref="E100:E104" si="5">C100+D100</f>
        <v>81833570</v>
      </c>
      <c r="F100" s="399" t="s">
        <v>501</v>
      </c>
      <c r="G100" s="406"/>
    </row>
    <row r="101" spans="1:14" x14ac:dyDescent="0.2">
      <c r="A101" s="410" t="s">
        <v>502</v>
      </c>
      <c r="B101" s="288" t="s">
        <v>503</v>
      </c>
      <c r="C101" s="401">
        <v>5154720137</v>
      </c>
      <c r="D101" s="401">
        <v>2965855997</v>
      </c>
      <c r="E101" s="21">
        <f t="shared" si="5"/>
        <v>8120576134</v>
      </c>
      <c r="F101" s="399" t="s">
        <v>504</v>
      </c>
      <c r="G101" s="406"/>
    </row>
    <row r="102" spans="1:14" x14ac:dyDescent="0.2">
      <c r="A102" s="411" t="s">
        <v>24</v>
      </c>
      <c r="B102" s="268" t="s">
        <v>505</v>
      </c>
      <c r="C102" s="401">
        <v>768438073</v>
      </c>
      <c r="D102" s="401">
        <v>347911426</v>
      </c>
      <c r="E102" s="21">
        <f t="shared" si="5"/>
        <v>1116349499</v>
      </c>
      <c r="F102" s="399" t="s">
        <v>506</v>
      </c>
      <c r="G102" s="406"/>
      <c r="I102" s="21" t="s">
        <v>900</v>
      </c>
    </row>
    <row r="103" spans="1:14" x14ac:dyDescent="0.2">
      <c r="A103" s="411" t="s">
        <v>507</v>
      </c>
      <c r="B103" s="268" t="s">
        <v>508</v>
      </c>
      <c r="C103" s="401">
        <v>1607083635</v>
      </c>
      <c r="D103" s="401">
        <v>1161484533</v>
      </c>
      <c r="E103" s="21">
        <f t="shared" si="5"/>
        <v>2768568168</v>
      </c>
      <c r="F103" s="399" t="s">
        <v>509</v>
      </c>
      <c r="G103" s="406"/>
      <c r="H103" s="399" t="s">
        <v>899</v>
      </c>
      <c r="I103" s="401">
        <v>254001190</v>
      </c>
      <c r="J103" s="500"/>
    </row>
    <row r="104" spans="1:14" x14ac:dyDescent="0.2">
      <c r="A104" s="411" t="s">
        <v>510</v>
      </c>
      <c r="B104" s="268" t="s">
        <v>511</v>
      </c>
      <c r="C104" s="401">
        <v>174932566</v>
      </c>
      <c r="D104" s="401">
        <v>20991126</v>
      </c>
      <c r="E104" s="21">
        <f t="shared" si="5"/>
        <v>195923692</v>
      </c>
      <c r="F104" s="399" t="s">
        <v>501</v>
      </c>
      <c r="G104" s="406"/>
      <c r="H104" s="21" t="s">
        <v>898</v>
      </c>
      <c r="I104" s="466">
        <v>0.7</v>
      </c>
      <c r="J104" s="500"/>
    </row>
    <row r="105" spans="1:14" x14ac:dyDescent="0.2">
      <c r="A105" s="411" t="s">
        <v>43</v>
      </c>
      <c r="B105" s="268" t="s">
        <v>512</v>
      </c>
      <c r="C105" s="406" t="s">
        <v>513</v>
      </c>
      <c r="D105" s="406">
        <f>I105</f>
        <v>177800833</v>
      </c>
      <c r="E105" s="21">
        <f>D105</f>
        <v>177800833</v>
      </c>
      <c r="F105" s="399" t="s">
        <v>514</v>
      </c>
      <c r="G105" s="406"/>
      <c r="I105" s="21">
        <f>I103*I104</f>
        <v>177800833</v>
      </c>
      <c r="J105" s="500"/>
    </row>
    <row r="106" spans="1:14" x14ac:dyDescent="0.2">
      <c r="G106" s="406"/>
    </row>
    <row r="107" spans="1:14" x14ac:dyDescent="0.2">
      <c r="B107" s="413"/>
      <c r="G107" s="406"/>
      <c r="I107" s="399"/>
      <c r="J107" s="21" t="s">
        <v>515</v>
      </c>
      <c r="M107" s="399" t="s">
        <v>516</v>
      </c>
    </row>
    <row r="108" spans="1:14" x14ac:dyDescent="0.2">
      <c r="A108" s="409" t="s">
        <v>40</v>
      </c>
      <c r="B108" s="288"/>
      <c r="C108" s="21" t="s">
        <v>436</v>
      </c>
      <c r="D108" s="21" t="s">
        <v>437</v>
      </c>
      <c r="E108" s="21" t="s">
        <v>438</v>
      </c>
      <c r="G108" s="406"/>
      <c r="J108" s="21" t="s">
        <v>436</v>
      </c>
      <c r="K108" s="21" t="s">
        <v>437</v>
      </c>
      <c r="M108" s="21" t="s">
        <v>436</v>
      </c>
      <c r="N108" s="21" t="s">
        <v>437</v>
      </c>
    </row>
    <row r="109" spans="1:14" x14ac:dyDescent="0.2">
      <c r="A109" s="410" t="str">
        <f>+A100</f>
        <v>Intangible</v>
      </c>
      <c r="B109" s="288" t="s">
        <v>517</v>
      </c>
      <c r="C109" s="400">
        <f>J109-M109</f>
        <v>39130799.079999998</v>
      </c>
      <c r="D109" s="400">
        <f t="shared" ref="D109:D115" si="6">K109-N109</f>
        <v>0</v>
      </c>
      <c r="E109" s="21">
        <f t="shared" ref="E109:E115" si="7">C109+D109</f>
        <v>39130799.079999998</v>
      </c>
      <c r="F109" s="399" t="s">
        <v>518</v>
      </c>
      <c r="G109" s="406"/>
      <c r="I109" s="410" t="s">
        <v>499</v>
      </c>
      <c r="J109" s="401">
        <v>36371437</v>
      </c>
      <c r="K109" s="401">
        <v>0</v>
      </c>
      <c r="L109" s="500"/>
      <c r="M109" s="398">
        <v>-2759362.08</v>
      </c>
      <c r="N109" s="398"/>
    </row>
    <row r="110" spans="1:14" x14ac:dyDescent="0.2">
      <c r="A110" s="410" t="s">
        <v>519</v>
      </c>
      <c r="B110" s="268" t="s">
        <v>520</v>
      </c>
      <c r="C110" s="400">
        <f t="shared" ref="C110:C115" si="8">J110-M110</f>
        <v>1524725180.0599999</v>
      </c>
      <c r="D110" s="400">
        <f t="shared" si="6"/>
        <v>1318418801</v>
      </c>
      <c r="E110" s="21">
        <f t="shared" si="7"/>
        <v>2843143981.0599999</v>
      </c>
      <c r="F110" s="399" t="s">
        <v>521</v>
      </c>
      <c r="G110" s="406"/>
      <c r="I110" s="410" t="s">
        <v>522</v>
      </c>
      <c r="J110" s="401">
        <v>1500539610</v>
      </c>
      <c r="K110" s="401">
        <v>1294194387</v>
      </c>
      <c r="L110" s="500"/>
      <c r="M110" s="398">
        <v>-24185570.059999999</v>
      </c>
      <c r="N110" s="398">
        <v>-24224414</v>
      </c>
    </row>
    <row r="111" spans="1:14" x14ac:dyDescent="0.2">
      <c r="A111" s="410" t="s">
        <v>523</v>
      </c>
      <c r="B111" s="268" t="s">
        <v>524</v>
      </c>
      <c r="C111" s="400">
        <f t="shared" si="8"/>
        <v>7933335.5099999998</v>
      </c>
      <c r="D111" s="400">
        <f t="shared" si="6"/>
        <v>5779957</v>
      </c>
      <c r="E111" s="21">
        <f t="shared" si="7"/>
        <v>13713292.51</v>
      </c>
      <c r="F111" s="399" t="s">
        <v>521</v>
      </c>
      <c r="G111" s="406"/>
      <c r="I111" s="410" t="s">
        <v>525</v>
      </c>
      <c r="J111" s="401">
        <v>9605007</v>
      </c>
      <c r="K111" s="401">
        <v>7789869</v>
      </c>
      <c r="L111" s="500"/>
      <c r="M111" s="398">
        <v>1671671.49</v>
      </c>
      <c r="N111" s="398">
        <v>2009912</v>
      </c>
    </row>
    <row r="112" spans="1:14" x14ac:dyDescent="0.2">
      <c r="A112" s="410" t="s">
        <v>526</v>
      </c>
      <c r="B112" s="268" t="s">
        <v>527</v>
      </c>
      <c r="C112" s="400">
        <f t="shared" si="8"/>
        <v>215428020.09999999</v>
      </c>
      <c r="D112" s="400">
        <f t="shared" si="6"/>
        <v>88678443</v>
      </c>
      <c r="E112" s="21">
        <f t="shared" si="7"/>
        <v>304106463.10000002</v>
      </c>
      <c r="F112" s="399" t="s">
        <v>521</v>
      </c>
      <c r="G112" s="406"/>
      <c r="I112" s="410" t="s">
        <v>528</v>
      </c>
      <c r="J112" s="401">
        <v>222323712</v>
      </c>
      <c r="K112" s="401">
        <v>91436878</v>
      </c>
      <c r="L112" s="500"/>
      <c r="M112" s="398">
        <v>6895691.9000000004</v>
      </c>
      <c r="N112" s="398">
        <v>2758435</v>
      </c>
    </row>
    <row r="113" spans="1:14" x14ac:dyDescent="0.2">
      <c r="A113" s="410" t="s">
        <v>24</v>
      </c>
      <c r="B113" s="268" t="s">
        <v>529</v>
      </c>
      <c r="C113" s="400">
        <f t="shared" si="8"/>
        <v>334447517.51999998</v>
      </c>
      <c r="D113" s="400">
        <f t="shared" si="6"/>
        <v>145382475</v>
      </c>
      <c r="E113" s="21">
        <f t="shared" si="7"/>
        <v>479829992.51999998</v>
      </c>
      <c r="F113" s="399" t="s">
        <v>530</v>
      </c>
      <c r="G113" s="406"/>
      <c r="I113" s="410" t="s">
        <v>24</v>
      </c>
      <c r="J113" s="401">
        <v>333883154</v>
      </c>
      <c r="K113" s="401">
        <v>145367280</v>
      </c>
      <c r="L113" s="500"/>
      <c r="M113" s="398">
        <v>-564363.52000000002</v>
      </c>
      <c r="N113" s="398">
        <v>-15195</v>
      </c>
    </row>
    <row r="114" spans="1:14" x14ac:dyDescent="0.2">
      <c r="A114" s="410" t="s">
        <v>507</v>
      </c>
      <c r="B114" s="268" t="s">
        <v>531</v>
      </c>
      <c r="C114" s="400">
        <f t="shared" si="8"/>
        <v>620634841.89999998</v>
      </c>
      <c r="D114" s="400">
        <f t="shared" si="6"/>
        <v>451902302</v>
      </c>
      <c r="E114" s="21">
        <f t="shared" si="7"/>
        <v>1072537143.9</v>
      </c>
      <c r="F114" s="399" t="s">
        <v>532</v>
      </c>
      <c r="G114" s="406"/>
      <c r="I114" s="410" t="s">
        <v>507</v>
      </c>
      <c r="J114" s="401">
        <v>624563721</v>
      </c>
      <c r="K114" s="401">
        <v>457889683</v>
      </c>
      <c r="L114" s="500"/>
      <c r="M114" s="398">
        <v>3928879.1</v>
      </c>
      <c r="N114" s="398">
        <v>5987381</v>
      </c>
    </row>
    <row r="115" spans="1:14" x14ac:dyDescent="0.2">
      <c r="A115" s="410" t="s">
        <v>510</v>
      </c>
      <c r="B115" s="268" t="s">
        <v>533</v>
      </c>
      <c r="C115" s="400">
        <f t="shared" si="8"/>
        <v>68835889.329999998</v>
      </c>
      <c r="D115" s="400">
        <f t="shared" si="6"/>
        <v>12532061</v>
      </c>
      <c r="E115" s="21">
        <f t="shared" si="7"/>
        <v>81367950.329999998</v>
      </c>
      <c r="F115" s="399" t="s">
        <v>518</v>
      </c>
      <c r="G115" s="406"/>
      <c r="I115" s="410" t="s">
        <v>510</v>
      </c>
      <c r="J115" s="401">
        <v>71682096</v>
      </c>
      <c r="K115" s="401">
        <v>12245575</v>
      </c>
      <c r="L115" s="500"/>
      <c r="M115" s="398">
        <v>2846206.67</v>
      </c>
      <c r="N115" s="398">
        <v>-286486</v>
      </c>
    </row>
    <row r="116" spans="1:14" x14ac:dyDescent="0.2">
      <c r="A116" s="410" t="s">
        <v>43</v>
      </c>
      <c r="B116" s="268" t="s">
        <v>512</v>
      </c>
      <c r="C116" s="406" t="s">
        <v>513</v>
      </c>
      <c r="D116" s="400">
        <f>K116-N116</f>
        <v>99291151.599999994</v>
      </c>
      <c r="E116" s="21">
        <f>D116</f>
        <v>99291151.599999994</v>
      </c>
      <c r="F116" s="399" t="s">
        <v>534</v>
      </c>
      <c r="G116" s="406"/>
      <c r="I116" s="410" t="s">
        <v>43</v>
      </c>
      <c r="J116" s="406" t="s">
        <v>513</v>
      </c>
      <c r="K116" s="401">
        <v>94589372</v>
      </c>
      <c r="L116" s="500"/>
      <c r="M116" s="406"/>
      <c r="N116" s="398">
        <f>-3038116*0.7-3678712*0.7</f>
        <v>-4701779.5999999996</v>
      </c>
    </row>
    <row r="117" spans="1:14" x14ac:dyDescent="0.2">
      <c r="G117" s="406"/>
    </row>
    <row r="118" spans="1:14" x14ac:dyDescent="0.2">
      <c r="A118" s="411"/>
      <c r="G118" s="406"/>
    </row>
    <row r="119" spans="1:14" x14ac:dyDescent="0.2">
      <c r="G119" s="406"/>
    </row>
    <row r="120" spans="1:14" x14ac:dyDescent="0.2">
      <c r="A120" s="409" t="s">
        <v>535</v>
      </c>
      <c r="B120" s="288"/>
      <c r="C120" s="21" t="s">
        <v>436</v>
      </c>
      <c r="D120" s="21" t="s">
        <v>437</v>
      </c>
      <c r="E120" s="21" t="s">
        <v>438</v>
      </c>
      <c r="G120" s="406"/>
    </row>
    <row r="121" spans="1:14" x14ac:dyDescent="0.2">
      <c r="A121" s="414" t="s">
        <v>536</v>
      </c>
      <c r="B121" s="268" t="s">
        <v>537</v>
      </c>
      <c r="C121" s="401">
        <v>0</v>
      </c>
      <c r="D121" s="401">
        <v>0</v>
      </c>
      <c r="E121" s="21">
        <f t="shared" ref="E121:E122" si="9">C121+D121</f>
        <v>0</v>
      </c>
      <c r="F121" s="399" t="s">
        <v>538</v>
      </c>
      <c r="G121" s="406"/>
    </row>
    <row r="122" spans="1:14" x14ac:dyDescent="0.2">
      <c r="A122" s="414" t="s">
        <v>539</v>
      </c>
      <c r="B122" s="268" t="s">
        <v>540</v>
      </c>
      <c r="C122" s="401">
        <v>983763085</v>
      </c>
      <c r="D122" s="401">
        <v>544662587</v>
      </c>
      <c r="E122" s="21">
        <f t="shared" si="9"/>
        <v>1528425672</v>
      </c>
      <c r="F122" s="399" t="s">
        <v>541</v>
      </c>
      <c r="G122" s="406"/>
    </row>
    <row r="123" spans="1:14" x14ac:dyDescent="0.2">
      <c r="A123" s="414" t="s">
        <v>542</v>
      </c>
      <c r="B123" s="268" t="s">
        <v>543</v>
      </c>
      <c r="C123" s="401">
        <v>145383052</v>
      </c>
      <c r="D123" s="401">
        <v>155215785</v>
      </c>
      <c r="F123" s="399"/>
      <c r="G123" s="406"/>
    </row>
    <row r="124" spans="1:14" x14ac:dyDescent="0.2">
      <c r="A124" s="411" t="s">
        <v>544</v>
      </c>
      <c r="B124" s="268" t="s">
        <v>545</v>
      </c>
      <c r="C124" s="401">
        <v>30129783</v>
      </c>
      <c r="D124" s="401">
        <v>49684459</v>
      </c>
      <c r="F124" s="399"/>
      <c r="G124" s="406"/>
    </row>
    <row r="125" spans="1:14" x14ac:dyDescent="0.2">
      <c r="A125" s="411" t="s">
        <v>546</v>
      </c>
      <c r="B125" s="268" t="s">
        <v>547</v>
      </c>
      <c r="C125" s="401">
        <v>5270868</v>
      </c>
      <c r="D125" s="401">
        <v>14382385</v>
      </c>
      <c r="G125" s="406"/>
      <c r="H125" s="21" t="s">
        <v>548</v>
      </c>
    </row>
    <row r="126" spans="1:14" x14ac:dyDescent="0.2">
      <c r="A126" s="414" t="s">
        <v>549</v>
      </c>
      <c r="B126" s="268"/>
      <c r="C126" s="406">
        <f>C123-C124+C125</f>
        <v>120524137</v>
      </c>
      <c r="D126" s="406">
        <f>D123-D124+D125</f>
        <v>119913711</v>
      </c>
      <c r="E126" s="21">
        <f>C126+D126</f>
        <v>240437848</v>
      </c>
      <c r="F126" s="399" t="s">
        <v>550</v>
      </c>
      <c r="G126" s="406"/>
    </row>
    <row r="127" spans="1:14" x14ac:dyDescent="0.2">
      <c r="A127" s="414" t="s">
        <v>551</v>
      </c>
      <c r="B127" s="268" t="s">
        <v>552</v>
      </c>
      <c r="C127" s="401">
        <v>246246606</v>
      </c>
      <c r="D127" s="401">
        <v>160819523</v>
      </c>
      <c r="F127" s="399"/>
      <c r="G127" s="406"/>
    </row>
    <row r="128" spans="1:14" x14ac:dyDescent="0.2">
      <c r="A128" s="411" t="s">
        <v>553</v>
      </c>
      <c r="B128" s="268" t="s">
        <v>554</v>
      </c>
      <c r="C128" s="401">
        <v>31540939</v>
      </c>
      <c r="D128" s="401">
        <v>41132025</v>
      </c>
      <c r="F128" s="399"/>
      <c r="G128" s="406"/>
    </row>
    <row r="129" spans="1:8" x14ac:dyDescent="0.2">
      <c r="A129" s="411" t="s">
        <v>555</v>
      </c>
      <c r="B129" s="268" t="s">
        <v>556</v>
      </c>
      <c r="C129" s="401">
        <v>6478662</v>
      </c>
      <c r="D129" s="401">
        <v>6350072</v>
      </c>
      <c r="G129" s="406"/>
      <c r="H129" s="21" t="s">
        <v>548</v>
      </c>
    </row>
    <row r="130" spans="1:8" x14ac:dyDescent="0.2">
      <c r="A130" s="414" t="s">
        <v>557</v>
      </c>
      <c r="B130" s="268"/>
      <c r="C130" s="406">
        <f>C127-C128+C129</f>
        <v>221184329</v>
      </c>
      <c r="D130" s="406">
        <f>D127-D128+D129</f>
        <v>126037570</v>
      </c>
      <c r="E130" s="21">
        <f>C130+D130</f>
        <v>347221899</v>
      </c>
      <c r="F130" s="399" t="s">
        <v>558</v>
      </c>
      <c r="G130" s="406"/>
      <c r="H130" s="399"/>
    </row>
    <row r="131" spans="1:8" x14ac:dyDescent="0.2">
      <c r="A131" s="289" t="s">
        <v>559</v>
      </c>
      <c r="B131" s="289" t="s">
        <v>560</v>
      </c>
      <c r="C131" s="401">
        <v>0</v>
      </c>
      <c r="D131" s="400" t="s">
        <v>32</v>
      </c>
      <c r="E131" s="21">
        <f>C131</f>
        <v>0</v>
      </c>
      <c r="F131" s="399" t="s">
        <v>561</v>
      </c>
      <c r="G131" s="406"/>
      <c r="H131" s="21" t="s">
        <v>562</v>
      </c>
    </row>
    <row r="132" spans="1:8" x14ac:dyDescent="0.2">
      <c r="B132" s="290"/>
      <c r="G132" s="406"/>
    </row>
    <row r="133" spans="1:8" x14ac:dyDescent="0.2">
      <c r="A133" s="399" t="s">
        <v>652</v>
      </c>
      <c r="B133" s="268" t="s">
        <v>563</v>
      </c>
      <c r="C133" s="401">
        <v>413450</v>
      </c>
      <c r="D133" s="401">
        <v>218085</v>
      </c>
      <c r="E133" s="21">
        <f t="shared" ref="E133:E134" si="10">C133+D133</f>
        <v>631535</v>
      </c>
      <c r="F133" s="399"/>
      <c r="G133" s="406"/>
    </row>
    <row r="134" spans="1:8" x14ac:dyDescent="0.2">
      <c r="A134" s="21" t="s">
        <v>564</v>
      </c>
      <c r="B134" s="268" t="s">
        <v>565</v>
      </c>
      <c r="C134" s="398">
        <v>35307.71</v>
      </c>
      <c r="D134" s="398">
        <v>19345.169999999998</v>
      </c>
      <c r="E134" s="21">
        <f t="shared" si="10"/>
        <v>54652.88</v>
      </c>
      <c r="F134" s="399"/>
      <c r="G134" s="406"/>
    </row>
    <row r="135" spans="1:8" x14ac:dyDescent="0.2">
      <c r="B135" s="289"/>
      <c r="C135" s="400"/>
      <c r="D135" s="400"/>
      <c r="E135" s="21">
        <f>E133-E134</f>
        <v>576882.12</v>
      </c>
      <c r="F135" s="399" t="s">
        <v>566</v>
      </c>
      <c r="G135" s="406"/>
    </row>
    <row r="136" spans="1:8" x14ac:dyDescent="0.2">
      <c r="B136" s="289"/>
      <c r="C136" s="400"/>
      <c r="D136" s="400"/>
      <c r="F136" s="399"/>
      <c r="G136" s="406"/>
    </row>
    <row r="137" spans="1:8" x14ac:dyDescent="0.2">
      <c r="A137" s="399" t="s">
        <v>909</v>
      </c>
      <c r="B137" s="268" t="s">
        <v>910</v>
      </c>
      <c r="C137" s="406" t="s">
        <v>513</v>
      </c>
      <c r="D137" s="401">
        <v>0</v>
      </c>
      <c r="E137" s="21">
        <f>D137</f>
        <v>0</v>
      </c>
      <c r="F137" s="399"/>
      <c r="G137" s="406"/>
      <c r="H137" s="21" t="s">
        <v>567</v>
      </c>
    </row>
    <row r="138" spans="1:8" x14ac:dyDescent="0.2">
      <c r="A138" s="21" t="s">
        <v>568</v>
      </c>
      <c r="B138" s="268" t="s">
        <v>569</v>
      </c>
      <c r="C138" s="406" t="s">
        <v>513</v>
      </c>
      <c r="D138" s="398">
        <v>0</v>
      </c>
      <c r="E138" s="21">
        <f>D138</f>
        <v>0</v>
      </c>
      <c r="F138" s="399"/>
      <c r="G138" s="406"/>
      <c r="H138" s="21" t="s">
        <v>567</v>
      </c>
    </row>
    <row r="139" spans="1:8" x14ac:dyDescent="0.2">
      <c r="B139" s="289"/>
      <c r="C139" s="400"/>
      <c r="D139" s="400"/>
      <c r="E139" s="21">
        <f>E137-E138</f>
        <v>0</v>
      </c>
      <c r="F139" s="399" t="s">
        <v>908</v>
      </c>
      <c r="G139" s="406"/>
    </row>
    <row r="140" spans="1:8" x14ac:dyDescent="0.2">
      <c r="B140" s="290"/>
      <c r="F140" s="399"/>
      <c r="G140" s="406"/>
    </row>
    <row r="141" spans="1:8" x14ac:dyDescent="0.2">
      <c r="A141" s="414" t="s">
        <v>570</v>
      </c>
      <c r="B141" s="290"/>
      <c r="F141" s="399"/>
      <c r="G141" s="406"/>
    </row>
    <row r="142" spans="1:8" x14ac:dyDescent="0.2">
      <c r="A142" s="415" t="s">
        <v>574</v>
      </c>
      <c r="E142" s="398">
        <v>0</v>
      </c>
      <c r="G142" s="406"/>
    </row>
    <row r="143" spans="1:8" x14ac:dyDescent="0.2">
      <c r="A143" s="415" t="s">
        <v>576</v>
      </c>
      <c r="E143" s="400">
        <f>E142*$I$151</f>
        <v>0</v>
      </c>
      <c r="F143" s="399"/>
      <c r="G143" s="406"/>
    </row>
    <row r="144" spans="1:8" x14ac:dyDescent="0.2">
      <c r="A144" s="415" t="s">
        <v>579</v>
      </c>
      <c r="E144" s="21">
        <f>E142-E143</f>
        <v>0</v>
      </c>
      <c r="F144" s="399"/>
      <c r="G144" s="406"/>
    </row>
    <row r="145" spans="1:15" x14ac:dyDescent="0.2">
      <c r="A145" s="418" t="s">
        <v>580</v>
      </c>
      <c r="E145" s="398">
        <v>2118536</v>
      </c>
      <c r="F145" s="399"/>
      <c r="G145" s="406"/>
      <c r="H145" s="21" t="s">
        <v>571</v>
      </c>
    </row>
    <row r="146" spans="1:15" x14ac:dyDescent="0.2">
      <c r="A146" s="404" t="s">
        <v>582</v>
      </c>
      <c r="E146" s="21">
        <f>E144+E145</f>
        <v>2118536</v>
      </c>
      <c r="F146" s="399" t="s">
        <v>907</v>
      </c>
      <c r="G146" s="406"/>
    </row>
    <row r="147" spans="1:15" x14ac:dyDescent="0.2">
      <c r="A147" s="414"/>
      <c r="G147" s="406"/>
      <c r="H147" s="21" t="s">
        <v>572</v>
      </c>
    </row>
    <row r="148" spans="1:15" x14ac:dyDescent="0.2">
      <c r="A148" s="414" t="s">
        <v>573</v>
      </c>
      <c r="G148" s="406"/>
      <c r="M148" s="399" t="s">
        <v>436</v>
      </c>
      <c r="N148" s="21" t="s">
        <v>437</v>
      </c>
      <c r="O148" s="21" t="s">
        <v>6</v>
      </c>
    </row>
    <row r="149" spans="1:15" x14ac:dyDescent="0.2">
      <c r="A149" s="415" t="s">
        <v>574</v>
      </c>
      <c r="E149" s="398">
        <v>7097095</v>
      </c>
      <c r="G149" s="406"/>
      <c r="L149" s="21" t="s">
        <v>575</v>
      </c>
      <c r="M149" s="400">
        <f>C113</f>
        <v>334447517.51999998</v>
      </c>
      <c r="N149" s="400">
        <f>D113</f>
        <v>145382475</v>
      </c>
      <c r="O149" s="21">
        <f>M149+N149</f>
        <v>479829992.51999998</v>
      </c>
    </row>
    <row r="150" spans="1:15" x14ac:dyDescent="0.2">
      <c r="A150" s="415" t="s">
        <v>576</v>
      </c>
      <c r="E150" s="400">
        <f>E149*$I$151</f>
        <v>301488.3079229815</v>
      </c>
      <c r="G150" s="406"/>
      <c r="H150" s="21" t="s">
        <v>577</v>
      </c>
      <c r="L150" s="21" t="s">
        <v>578</v>
      </c>
      <c r="M150" s="400">
        <f>C193</f>
        <v>13912568.550000001</v>
      </c>
      <c r="N150" s="400">
        <f>D193</f>
        <v>6470860.5199999996</v>
      </c>
      <c r="O150" s="21">
        <f>M150+N150</f>
        <v>20383429.07</v>
      </c>
    </row>
    <row r="151" spans="1:15" x14ac:dyDescent="0.2">
      <c r="A151" s="415" t="s">
        <v>579</v>
      </c>
      <c r="E151" s="21">
        <f>E149-E150</f>
        <v>6795606.6920770183</v>
      </c>
      <c r="G151" s="406"/>
      <c r="H151" s="416">
        <f>E150/E149</f>
        <v>4.248052307641105E-2</v>
      </c>
      <c r="I151" s="412">
        <f>O150/O149</f>
        <v>4.248052307641105E-2</v>
      </c>
      <c r="J151" s="417"/>
    </row>
    <row r="152" spans="1:15" x14ac:dyDescent="0.2">
      <c r="A152" s="418" t="s">
        <v>580</v>
      </c>
      <c r="E152" s="398">
        <v>1260722</v>
      </c>
      <c r="G152" s="406"/>
      <c r="H152" s="21" t="s">
        <v>581</v>
      </c>
      <c r="I152" s="399" t="s">
        <v>931</v>
      </c>
    </row>
    <row r="153" spans="1:15" x14ac:dyDescent="0.2">
      <c r="A153" s="404" t="s">
        <v>582</v>
      </c>
      <c r="E153" s="21">
        <f>E151+E152</f>
        <v>8056328.6920770183</v>
      </c>
      <c r="F153" s="399" t="s">
        <v>906</v>
      </c>
      <c r="G153" s="406"/>
      <c r="I153" s="399" t="s">
        <v>930</v>
      </c>
    </row>
    <row r="154" spans="1:15" x14ac:dyDescent="0.2">
      <c r="E154" s="406"/>
      <c r="F154" s="399"/>
      <c r="G154" s="406"/>
    </row>
    <row r="155" spans="1:15" x14ac:dyDescent="0.2">
      <c r="A155" s="404" t="s">
        <v>583</v>
      </c>
      <c r="B155" s="399" t="s">
        <v>584</v>
      </c>
      <c r="C155" s="398">
        <v>0</v>
      </c>
      <c r="D155" s="398">
        <v>0</v>
      </c>
      <c r="E155" s="21">
        <f t="shared" ref="E155" si="11">C155+D155</f>
        <v>0</v>
      </c>
      <c r="F155" s="399" t="s">
        <v>585</v>
      </c>
      <c r="G155" s="406"/>
      <c r="H155" s="399" t="s">
        <v>586</v>
      </c>
    </row>
    <row r="156" spans="1:15" x14ac:dyDescent="0.2">
      <c r="A156" s="404"/>
      <c r="B156" s="399"/>
      <c r="C156" s="399"/>
      <c r="D156" s="399"/>
      <c r="F156" s="399"/>
      <c r="G156" s="406"/>
      <c r="H156" s="21" t="s">
        <v>587</v>
      </c>
    </row>
    <row r="157" spans="1:15" x14ac:dyDescent="0.2">
      <c r="A157" s="404" t="s">
        <v>588</v>
      </c>
      <c r="B157" s="399"/>
      <c r="C157" s="399"/>
      <c r="D157" s="399"/>
      <c r="F157" s="399"/>
      <c r="G157" s="406"/>
    </row>
    <row r="158" spans="1:15" x14ac:dyDescent="0.2">
      <c r="A158" s="415" t="s">
        <v>24</v>
      </c>
      <c r="B158" s="399" t="s">
        <v>589</v>
      </c>
      <c r="C158" s="401">
        <v>4246528</v>
      </c>
      <c r="D158" s="401">
        <v>2477123</v>
      </c>
      <c r="F158" s="399"/>
      <c r="G158" s="406"/>
    </row>
    <row r="159" spans="1:15" x14ac:dyDescent="0.2">
      <c r="A159" s="415" t="s">
        <v>590</v>
      </c>
      <c r="B159" s="399" t="s">
        <v>591</v>
      </c>
      <c r="C159" s="401">
        <v>10574016</v>
      </c>
      <c r="D159" s="401">
        <v>6352862</v>
      </c>
      <c r="F159" s="399"/>
      <c r="G159" s="406"/>
    </row>
    <row r="160" spans="1:15" x14ac:dyDescent="0.2">
      <c r="A160" s="415"/>
      <c r="B160" s="399"/>
      <c r="C160" s="419">
        <f>C159*C164</f>
        <v>1161615.7191239668</v>
      </c>
      <c r="D160" s="419">
        <f>D159*D164</f>
        <v>450730.8779183345</v>
      </c>
      <c r="F160" s="399"/>
      <c r="G160" s="406"/>
    </row>
    <row r="161" spans="1:12" x14ac:dyDescent="0.2">
      <c r="A161" s="415"/>
      <c r="B161" s="399"/>
      <c r="C161" s="420">
        <f>C158+C160</f>
        <v>5408143.719123967</v>
      </c>
      <c r="D161" s="420">
        <f>D158+D160</f>
        <v>2927853.8779183347</v>
      </c>
      <c r="E161" s="21">
        <f>C161+D161</f>
        <v>8335997.5970423017</v>
      </c>
      <c r="F161" s="399" t="s">
        <v>592</v>
      </c>
      <c r="G161" s="406"/>
    </row>
    <row r="162" spans="1:12" x14ac:dyDescent="0.2">
      <c r="A162" s="415"/>
      <c r="B162" s="399"/>
      <c r="C162" s="420"/>
      <c r="D162" s="420"/>
      <c r="F162" s="399"/>
      <c r="G162" s="406"/>
    </row>
    <row r="163" spans="1:12" x14ac:dyDescent="0.2">
      <c r="A163" s="415" t="s">
        <v>593</v>
      </c>
      <c r="B163" s="399" t="s">
        <v>594</v>
      </c>
      <c r="C163" s="401">
        <v>38655516</v>
      </c>
      <c r="D163" s="401">
        <v>34914006</v>
      </c>
      <c r="E163" s="406">
        <f>C163+D163</f>
        <v>73569522</v>
      </c>
      <c r="F163" s="399"/>
      <c r="G163" s="406"/>
    </row>
    <row r="164" spans="1:12" x14ac:dyDescent="0.2">
      <c r="A164" s="415"/>
      <c r="B164" s="399" t="s">
        <v>595</v>
      </c>
      <c r="C164" s="421">
        <f>C158/C163</f>
        <v>0.10985568010526622</v>
      </c>
      <c r="D164" s="421">
        <f>D158/D163</f>
        <v>7.0949263169628823E-2</v>
      </c>
      <c r="E164" s="406"/>
      <c r="F164" s="399"/>
      <c r="G164" s="406"/>
    </row>
    <row r="165" spans="1:12" x14ac:dyDescent="0.2">
      <c r="A165" s="415"/>
      <c r="B165" s="399"/>
      <c r="C165" s="420"/>
      <c r="D165" s="420"/>
      <c r="F165" s="399"/>
      <c r="G165" s="406"/>
    </row>
    <row r="166" spans="1:12" x14ac:dyDescent="0.2">
      <c r="A166" s="404" t="s">
        <v>596</v>
      </c>
      <c r="B166" s="399" t="s">
        <v>597</v>
      </c>
      <c r="C166" s="401">
        <v>7629374</v>
      </c>
      <c r="D166" s="401">
        <v>7636886</v>
      </c>
      <c r="E166" s="21">
        <f t="shared" ref="E166" si="12">C166+D166</f>
        <v>15266260</v>
      </c>
      <c r="F166" s="399" t="s">
        <v>598</v>
      </c>
      <c r="G166" s="406"/>
    </row>
    <row r="167" spans="1:12" x14ac:dyDescent="0.2">
      <c r="G167" s="406"/>
    </row>
    <row r="168" spans="1:12" x14ac:dyDescent="0.2">
      <c r="A168" s="396"/>
      <c r="B168" s="396"/>
      <c r="C168" s="396"/>
      <c r="D168" s="396"/>
      <c r="E168" s="396"/>
      <c r="F168" s="396"/>
      <c r="G168" s="396"/>
      <c r="H168" s="396"/>
      <c r="I168" s="396"/>
      <c r="J168" s="396"/>
      <c r="K168" s="396"/>
    </row>
    <row r="169" spans="1:12" ht="15" x14ac:dyDescent="0.25">
      <c r="A169" s="422" t="s">
        <v>124</v>
      </c>
    </row>
    <row r="170" spans="1:12" x14ac:dyDescent="0.2">
      <c r="A170" s="409" t="s">
        <v>55</v>
      </c>
      <c r="B170" s="288"/>
      <c r="C170" s="21" t="s">
        <v>436</v>
      </c>
      <c r="D170" s="21" t="s">
        <v>437</v>
      </c>
      <c r="E170" s="21" t="s">
        <v>438</v>
      </c>
    </row>
    <row r="171" spans="1:12" x14ac:dyDescent="0.2">
      <c r="A171" s="414" t="s">
        <v>599</v>
      </c>
      <c r="B171" s="268" t="s">
        <v>600</v>
      </c>
      <c r="C171" s="401">
        <v>30268898</v>
      </c>
      <c r="D171" s="401">
        <v>14621318</v>
      </c>
      <c r="G171" s="406"/>
      <c r="H171" s="21" t="s">
        <v>601</v>
      </c>
    </row>
    <row r="172" spans="1:12" x14ac:dyDescent="0.2">
      <c r="A172" s="411" t="s">
        <v>602</v>
      </c>
      <c r="B172" s="288"/>
      <c r="C172" s="406"/>
      <c r="D172" s="406"/>
      <c r="G172" s="406"/>
      <c r="H172" s="21" t="s">
        <v>603</v>
      </c>
    </row>
    <row r="173" spans="1:12" x14ac:dyDescent="0.2">
      <c r="A173" s="411" t="s">
        <v>604</v>
      </c>
      <c r="B173" s="288"/>
      <c r="C173" s="398">
        <v>55147.14</v>
      </c>
      <c r="D173" s="398">
        <v>27940</v>
      </c>
      <c r="E173" s="21" t="s">
        <v>911</v>
      </c>
      <c r="G173" s="406"/>
      <c r="H173" s="21" t="s">
        <v>605</v>
      </c>
    </row>
    <row r="174" spans="1:12" x14ac:dyDescent="0.2">
      <c r="A174" s="411" t="s">
        <v>606</v>
      </c>
      <c r="B174" s="288"/>
      <c r="C174" s="400"/>
      <c r="D174" s="400"/>
      <c r="G174" s="406"/>
      <c r="H174" s="21" t="s">
        <v>607</v>
      </c>
    </row>
    <row r="175" spans="1:12" x14ac:dyDescent="0.2">
      <c r="A175" s="411" t="s">
        <v>608</v>
      </c>
      <c r="B175" s="288"/>
      <c r="C175" s="398">
        <v>76391.520000000004</v>
      </c>
      <c r="D175" s="398">
        <v>3481.68</v>
      </c>
      <c r="E175" s="21" t="s">
        <v>912</v>
      </c>
      <c r="G175" s="406"/>
      <c r="H175" s="21" t="s">
        <v>609</v>
      </c>
    </row>
    <row r="176" spans="1:12" x14ac:dyDescent="0.2">
      <c r="A176" s="414" t="s">
        <v>610</v>
      </c>
      <c r="B176" s="288"/>
      <c r="C176" s="406">
        <f>C171-SUM(C173:C175)</f>
        <v>30137359.34</v>
      </c>
      <c r="D176" s="406">
        <f>D171-SUM(D173:D175)</f>
        <v>14589896.32</v>
      </c>
      <c r="E176" s="21">
        <f>C176+D176</f>
        <v>44727255.659999996</v>
      </c>
      <c r="F176" s="399" t="s">
        <v>611</v>
      </c>
      <c r="G176" s="406"/>
      <c r="H176" s="399" t="s">
        <v>612</v>
      </c>
      <c r="I176" s="423" t="s">
        <v>436</v>
      </c>
      <c r="J176" s="424"/>
      <c r="K176" s="423" t="s">
        <v>437</v>
      </c>
      <c r="L176" s="424"/>
    </row>
    <row r="177" spans="1:14" x14ac:dyDescent="0.2">
      <c r="A177" s="411" t="s">
        <v>613</v>
      </c>
      <c r="B177" s="268" t="s">
        <v>614</v>
      </c>
      <c r="C177" s="401">
        <v>3162039</v>
      </c>
      <c r="D177" s="401">
        <v>1122847</v>
      </c>
      <c r="E177" s="21">
        <f>C177+D177</f>
        <v>4284886</v>
      </c>
      <c r="F177" s="399" t="s">
        <v>615</v>
      </c>
      <c r="G177" s="406"/>
      <c r="I177" s="425">
        <v>2021250</v>
      </c>
      <c r="J177" s="426">
        <v>28670</v>
      </c>
      <c r="K177" s="425">
        <v>1222453</v>
      </c>
      <c r="L177" s="426">
        <v>21489</v>
      </c>
    </row>
    <row r="178" spans="1:14" x14ac:dyDescent="0.2">
      <c r="A178" s="411"/>
      <c r="B178" s="268"/>
      <c r="G178" s="406"/>
      <c r="I178" s="425">
        <v>408360</v>
      </c>
      <c r="J178" s="426">
        <v>33611</v>
      </c>
      <c r="K178" s="425">
        <v>221390</v>
      </c>
      <c r="L178" s="426">
        <v>18330</v>
      </c>
    </row>
    <row r="179" spans="1:14" x14ac:dyDescent="0.2">
      <c r="A179" s="414" t="s">
        <v>56</v>
      </c>
      <c r="B179" s="268" t="s">
        <v>616</v>
      </c>
      <c r="C179" s="401">
        <v>103093822</v>
      </c>
      <c r="D179" s="401">
        <v>82242085</v>
      </c>
      <c r="E179" s="21">
        <f>C179+D179</f>
        <v>185335907</v>
      </c>
      <c r="F179" s="399" t="s">
        <v>617</v>
      </c>
      <c r="G179" s="406"/>
      <c r="I179" s="425">
        <v>134453</v>
      </c>
      <c r="J179" s="426">
        <v>9570</v>
      </c>
      <c r="K179" s="425">
        <v>128048</v>
      </c>
      <c r="L179" s="426">
        <v>4930</v>
      </c>
    </row>
    <row r="180" spans="1:14" x14ac:dyDescent="0.2">
      <c r="A180" s="414"/>
      <c r="B180" s="268"/>
      <c r="C180" s="406"/>
      <c r="D180" s="406"/>
      <c r="G180" s="406"/>
      <c r="I180" s="425">
        <v>102440</v>
      </c>
      <c r="J180" s="426"/>
      <c r="K180" s="425">
        <v>97560</v>
      </c>
      <c r="L180" s="426"/>
    </row>
    <row r="181" spans="1:14" x14ac:dyDescent="0.2">
      <c r="A181" s="414" t="s">
        <v>618</v>
      </c>
      <c r="B181" s="288" t="s">
        <v>619</v>
      </c>
      <c r="C181" s="401">
        <v>245175</v>
      </c>
      <c r="D181" s="401">
        <v>347833</v>
      </c>
      <c r="E181" s="21">
        <f>C181+D181</f>
        <v>593008</v>
      </c>
      <c r="F181" s="399" t="s">
        <v>620</v>
      </c>
      <c r="G181" s="406"/>
      <c r="I181" s="427">
        <v>45750</v>
      </c>
      <c r="J181" s="428"/>
      <c r="K181" s="427">
        <v>29250</v>
      </c>
      <c r="L181" s="428"/>
    </row>
    <row r="182" spans="1:14" x14ac:dyDescent="0.2">
      <c r="A182" s="429" t="s">
        <v>621</v>
      </c>
      <c r="B182" s="291" t="s">
        <v>622</v>
      </c>
      <c r="C182" s="400">
        <f>SUM(I177:J181)</f>
        <v>2784104</v>
      </c>
      <c r="D182" s="400">
        <f>SUM(K177:L181)</f>
        <v>1743450</v>
      </c>
      <c r="G182" s="406"/>
      <c r="H182" s="292" t="s">
        <v>623</v>
      </c>
    </row>
    <row r="183" spans="1:14" x14ac:dyDescent="0.2">
      <c r="A183" s="429" t="s">
        <v>624</v>
      </c>
      <c r="B183" s="268" t="s">
        <v>625</v>
      </c>
      <c r="C183" s="401">
        <v>947079</v>
      </c>
      <c r="D183" s="401">
        <v>791221</v>
      </c>
      <c r="F183" s="399"/>
      <c r="G183" s="406"/>
      <c r="H183" s="430" t="s">
        <v>626</v>
      </c>
      <c r="I183" s="399" t="s">
        <v>627</v>
      </c>
    </row>
    <row r="184" spans="1:14" x14ac:dyDescent="0.2">
      <c r="A184" s="429" t="s">
        <v>915</v>
      </c>
      <c r="B184" s="268" t="s">
        <v>914</v>
      </c>
      <c r="C184" s="401">
        <v>1698218</v>
      </c>
      <c r="D184" s="401">
        <v>900208</v>
      </c>
      <c r="F184" s="399"/>
      <c r="G184" s="406"/>
      <c r="I184" s="430"/>
    </row>
    <row r="185" spans="1:14" x14ac:dyDescent="0.2">
      <c r="A185" s="429" t="s">
        <v>628</v>
      </c>
      <c r="B185" s="268" t="s">
        <v>916</v>
      </c>
      <c r="C185" s="401">
        <v>47507</v>
      </c>
      <c r="D185" s="401">
        <v>30528</v>
      </c>
      <c r="F185" s="399"/>
      <c r="G185" s="406"/>
      <c r="H185" s="399" t="s">
        <v>913</v>
      </c>
      <c r="I185" s="430"/>
    </row>
    <row r="186" spans="1:14" x14ac:dyDescent="0.2">
      <c r="A186" s="429" t="s">
        <v>629</v>
      </c>
      <c r="B186" s="268" t="s">
        <v>917</v>
      </c>
      <c r="C186" s="401">
        <v>0</v>
      </c>
      <c r="D186" s="401">
        <v>118834</v>
      </c>
      <c r="F186" s="399"/>
      <c r="G186" s="406"/>
      <c r="I186" s="430"/>
    </row>
    <row r="187" spans="1:14" x14ac:dyDescent="0.2">
      <c r="A187" s="414"/>
      <c r="B187" s="268"/>
      <c r="C187" s="406">
        <f>-C181+SUM(C182:C184)-SUM(C185:C186)</f>
        <v>5136719</v>
      </c>
      <c r="D187" s="406">
        <f>-D181+SUM(D182:D184)-SUM(D185:D186)</f>
        <v>2937684</v>
      </c>
      <c r="E187" s="21">
        <f>C187+D187</f>
        <v>8074403</v>
      </c>
      <c r="F187" s="399" t="s">
        <v>630</v>
      </c>
      <c r="G187" s="406"/>
      <c r="H187" s="293" t="s">
        <v>631</v>
      </c>
    </row>
    <row r="188" spans="1:14" ht="25.5" x14ac:dyDescent="0.2">
      <c r="A188" s="431" t="s">
        <v>632</v>
      </c>
      <c r="B188" s="432" t="s">
        <v>633</v>
      </c>
      <c r="C188" s="433">
        <v>159364</v>
      </c>
      <c r="D188" s="433">
        <v>156525</v>
      </c>
      <c r="E188" s="21">
        <f>C188+D188</f>
        <v>315889</v>
      </c>
      <c r="F188" s="399" t="s">
        <v>634</v>
      </c>
      <c r="G188" s="406"/>
      <c r="H188" s="430" t="s">
        <v>635</v>
      </c>
    </row>
    <row r="189" spans="1:14" x14ac:dyDescent="0.2">
      <c r="A189" s="409" t="s">
        <v>37</v>
      </c>
      <c r="B189" s="268" t="s">
        <v>636</v>
      </c>
      <c r="C189" s="406" t="s">
        <v>513</v>
      </c>
      <c r="D189" s="401">
        <v>0</v>
      </c>
      <c r="E189" s="21">
        <f>D189</f>
        <v>0</v>
      </c>
      <c r="F189" s="399" t="s">
        <v>637</v>
      </c>
      <c r="G189" s="406"/>
      <c r="H189" s="293" t="s">
        <v>638</v>
      </c>
    </row>
    <row r="190" spans="1:14" x14ac:dyDescent="0.2">
      <c r="A190" s="409" t="s">
        <v>639</v>
      </c>
      <c r="B190" s="288"/>
      <c r="C190" s="433">
        <v>0</v>
      </c>
      <c r="D190" s="433">
        <v>0</v>
      </c>
      <c r="E190" s="21">
        <f>C190+D190</f>
        <v>0</v>
      </c>
      <c r="F190" s="399" t="s">
        <v>640</v>
      </c>
      <c r="G190" s="406"/>
      <c r="H190" s="21" t="s">
        <v>641</v>
      </c>
    </row>
    <row r="191" spans="1:14" x14ac:dyDescent="0.2">
      <c r="G191" s="406"/>
      <c r="J191" s="21" t="s">
        <v>644</v>
      </c>
      <c r="M191" s="21" t="s">
        <v>642</v>
      </c>
    </row>
    <row r="192" spans="1:14" x14ac:dyDescent="0.2">
      <c r="A192" s="409" t="s">
        <v>643</v>
      </c>
      <c r="B192" s="288"/>
      <c r="G192" s="406"/>
      <c r="J192" s="21" t="s">
        <v>436</v>
      </c>
      <c r="K192" s="21" t="s">
        <v>437</v>
      </c>
      <c r="M192" s="21" t="s">
        <v>436</v>
      </c>
      <c r="N192" s="21" t="s">
        <v>437</v>
      </c>
    </row>
    <row r="193" spans="1:14" x14ac:dyDescent="0.2">
      <c r="A193" s="409" t="s">
        <v>24</v>
      </c>
      <c r="B193" s="268" t="s">
        <v>645</v>
      </c>
      <c r="C193" s="400">
        <f t="shared" ref="C193:D195" si="13">J193-M193</f>
        <v>13912568.550000001</v>
      </c>
      <c r="D193" s="400">
        <f t="shared" si="13"/>
        <v>6470860.5199999996</v>
      </c>
      <c r="E193" s="21">
        <f>C193+D193</f>
        <v>20383429.07</v>
      </c>
      <c r="F193" s="399" t="s">
        <v>646</v>
      </c>
      <c r="G193" s="406"/>
      <c r="I193" s="21" t="s">
        <v>24</v>
      </c>
      <c r="J193" s="401">
        <v>13616092</v>
      </c>
      <c r="K193" s="401">
        <v>6429067</v>
      </c>
      <c r="L193" s="500"/>
      <c r="M193" s="398">
        <v>-296476.55</v>
      </c>
      <c r="N193" s="398">
        <v>-41793.519999999997</v>
      </c>
    </row>
    <row r="194" spans="1:14" x14ac:dyDescent="0.2">
      <c r="A194" s="409" t="s">
        <v>510</v>
      </c>
      <c r="B194" s="268" t="s">
        <v>647</v>
      </c>
      <c r="C194" s="400">
        <f t="shared" si="13"/>
        <v>8204479</v>
      </c>
      <c r="D194" s="400">
        <f t="shared" si="13"/>
        <v>567459.13</v>
      </c>
      <c r="G194" s="406"/>
      <c r="I194" s="21" t="s">
        <v>510</v>
      </c>
      <c r="J194" s="401">
        <v>9973554</v>
      </c>
      <c r="K194" s="401">
        <v>631358</v>
      </c>
      <c r="L194" s="500"/>
      <c r="M194" s="398">
        <v>1769075</v>
      </c>
      <c r="N194" s="398">
        <v>63898.87</v>
      </c>
    </row>
    <row r="195" spans="1:14" x14ac:dyDescent="0.2">
      <c r="A195" s="409" t="s">
        <v>499</v>
      </c>
      <c r="B195" s="268" t="s">
        <v>648</v>
      </c>
      <c r="C195" s="400">
        <f t="shared" si="13"/>
        <v>11092976</v>
      </c>
      <c r="D195" s="400">
        <f t="shared" si="13"/>
        <v>0</v>
      </c>
      <c r="G195" s="406"/>
      <c r="I195" s="21" t="s">
        <v>499</v>
      </c>
      <c r="J195" s="401">
        <v>9436591</v>
      </c>
      <c r="K195" s="401"/>
      <c r="L195" s="500"/>
      <c r="M195" s="398">
        <v>-1656385</v>
      </c>
      <c r="N195" s="398"/>
    </row>
    <row r="196" spans="1:14" x14ac:dyDescent="0.2">
      <c r="A196" s="409"/>
      <c r="B196" s="268"/>
      <c r="C196" s="406">
        <f>C194+C195</f>
        <v>19297455</v>
      </c>
      <c r="D196" s="406">
        <f>D194+D195</f>
        <v>567459.13</v>
      </c>
      <c r="E196" s="21">
        <f>C196+D196</f>
        <v>19864914.129999999</v>
      </c>
      <c r="F196" s="399" t="s">
        <v>649</v>
      </c>
      <c r="G196" s="406"/>
      <c r="I196" s="21" t="s">
        <v>43</v>
      </c>
      <c r="K196" s="401">
        <v>8069386</v>
      </c>
      <c r="L196" s="500"/>
      <c r="N196" s="398">
        <f>-1213643.73-1522182.4</f>
        <v>-2735826.13</v>
      </c>
    </row>
    <row r="197" spans="1:14" x14ac:dyDescent="0.2">
      <c r="A197" s="409" t="s">
        <v>43</v>
      </c>
      <c r="B197" s="268" t="s">
        <v>650</v>
      </c>
      <c r="C197" s="406" t="s">
        <v>513</v>
      </c>
      <c r="D197" s="400">
        <f>K196-N196</f>
        <v>10805212.129999999</v>
      </c>
      <c r="E197" s="21">
        <f>D197</f>
        <v>10805212.129999999</v>
      </c>
      <c r="F197" s="399" t="s">
        <v>651</v>
      </c>
      <c r="G197" s="406"/>
      <c r="M197" s="406"/>
    </row>
    <row r="198" spans="1:14" x14ac:dyDescent="0.2">
      <c r="A198" s="409"/>
      <c r="B198" s="268"/>
      <c r="C198" s="268"/>
      <c r="D198" s="268"/>
      <c r="F198" s="399"/>
      <c r="G198" s="406"/>
    </row>
    <row r="199" spans="1:14" x14ac:dyDescent="0.2">
      <c r="A199" s="409" t="s">
        <v>652</v>
      </c>
      <c r="B199" s="268" t="s">
        <v>653</v>
      </c>
      <c r="C199" s="398">
        <v>0</v>
      </c>
      <c r="D199" s="398">
        <v>0</v>
      </c>
      <c r="E199" s="21">
        <f>C199+D199</f>
        <v>0</v>
      </c>
      <c r="F199" s="399" t="s">
        <v>654</v>
      </c>
      <c r="G199" s="406"/>
    </row>
    <row r="200" spans="1:14" x14ac:dyDescent="0.2">
      <c r="A200" s="409" t="s">
        <v>655</v>
      </c>
      <c r="B200" s="268" t="s">
        <v>656</v>
      </c>
      <c r="C200" s="406" t="s">
        <v>513</v>
      </c>
      <c r="D200" s="398">
        <v>0</v>
      </c>
      <c r="E200" s="21">
        <f>D200</f>
        <v>0</v>
      </c>
      <c r="F200" s="399" t="s">
        <v>657</v>
      </c>
      <c r="G200" s="406"/>
      <c r="H200" s="21" t="s">
        <v>658</v>
      </c>
    </row>
    <row r="201" spans="1:14" x14ac:dyDescent="0.2">
      <c r="G201" s="406"/>
    </row>
    <row r="202" spans="1:14" x14ac:dyDescent="0.2">
      <c r="A202" s="409" t="s">
        <v>659</v>
      </c>
      <c r="B202" s="290"/>
      <c r="G202" s="406"/>
      <c r="H202" s="292" t="s">
        <v>660</v>
      </c>
    </row>
    <row r="203" spans="1:14" x14ac:dyDescent="0.2">
      <c r="A203" s="409" t="s">
        <v>57</v>
      </c>
      <c r="B203" s="290"/>
      <c r="G203" s="406"/>
      <c r="H203" s="292" t="s">
        <v>661</v>
      </c>
    </row>
    <row r="204" spans="1:14" x14ac:dyDescent="0.2">
      <c r="A204" s="414" t="s">
        <v>59</v>
      </c>
      <c r="B204" s="288" t="s">
        <v>58</v>
      </c>
      <c r="G204" s="406"/>
      <c r="H204" s="292" t="s">
        <v>662</v>
      </c>
    </row>
    <row r="205" spans="1:14" x14ac:dyDescent="0.2">
      <c r="A205" s="434" t="s">
        <v>663</v>
      </c>
      <c r="B205" s="268" t="s">
        <v>664</v>
      </c>
      <c r="C205" s="401">
        <v>8441694</v>
      </c>
      <c r="D205" s="401">
        <v>6527954</v>
      </c>
      <c r="G205" s="406"/>
      <c r="H205" s="293" t="s">
        <v>665</v>
      </c>
    </row>
    <row r="206" spans="1:14" x14ac:dyDescent="0.2">
      <c r="A206" s="434" t="s">
        <v>666</v>
      </c>
      <c r="B206" s="268" t="s">
        <v>921</v>
      </c>
      <c r="C206" s="401">
        <v>342581</v>
      </c>
      <c r="D206" s="401">
        <v>270534</v>
      </c>
      <c r="G206" s="406"/>
      <c r="H206" s="435" t="s">
        <v>667</v>
      </c>
    </row>
    <row r="207" spans="1:14" x14ac:dyDescent="0.2">
      <c r="A207" s="434" t="s">
        <v>668</v>
      </c>
      <c r="B207" s="268" t="s">
        <v>922</v>
      </c>
      <c r="C207" s="406" t="s">
        <v>513</v>
      </c>
      <c r="D207" s="401">
        <v>49316</v>
      </c>
      <c r="G207" s="406"/>
      <c r="H207" s="293"/>
    </row>
    <row r="208" spans="1:14" x14ac:dyDescent="0.2">
      <c r="A208" s="436" t="s">
        <v>669</v>
      </c>
      <c r="B208" s="288"/>
      <c r="C208" s="406">
        <f>SUM(C205:C206)</f>
        <v>8784275</v>
      </c>
      <c r="D208" s="406">
        <f>SUM(D205:D207)</f>
        <v>6847804</v>
      </c>
      <c r="E208" s="21">
        <f>C208+D208</f>
        <v>15632079</v>
      </c>
      <c r="F208" s="399" t="s">
        <v>670</v>
      </c>
      <c r="G208" s="406"/>
      <c r="H208" s="292"/>
    </row>
    <row r="209" spans="1:8" x14ac:dyDescent="0.2">
      <c r="A209" s="409" t="s">
        <v>671</v>
      </c>
      <c r="B209" s="268" t="s">
        <v>672</v>
      </c>
      <c r="C209" s="401">
        <v>0</v>
      </c>
      <c r="D209" s="401">
        <v>0</v>
      </c>
      <c r="E209" s="21">
        <f>C209+D209</f>
        <v>0</v>
      </c>
      <c r="F209" s="399" t="s">
        <v>673</v>
      </c>
      <c r="G209" s="406"/>
      <c r="H209" s="292" t="s">
        <v>674</v>
      </c>
    </row>
    <row r="210" spans="1:8" x14ac:dyDescent="0.2">
      <c r="A210" s="409" t="s">
        <v>60</v>
      </c>
      <c r="B210" s="288" t="s">
        <v>0</v>
      </c>
      <c r="G210" s="406"/>
    </row>
    <row r="211" spans="1:8" x14ac:dyDescent="0.2">
      <c r="A211" s="437" t="s">
        <v>61</v>
      </c>
      <c r="B211" s="268" t="s">
        <v>923</v>
      </c>
      <c r="C211" s="401">
        <v>24117120</v>
      </c>
      <c r="D211" s="401">
        <v>17292391</v>
      </c>
      <c r="E211" s="21">
        <f>C211+D211</f>
        <v>41409511</v>
      </c>
      <c r="F211" s="399" t="s">
        <v>675</v>
      </c>
      <c r="G211" s="406"/>
      <c r="H211" s="292" t="s">
        <v>674</v>
      </c>
    </row>
    <row r="212" spans="1:8" x14ac:dyDescent="0.2">
      <c r="A212" s="437" t="s">
        <v>676</v>
      </c>
      <c r="B212" s="268" t="s">
        <v>672</v>
      </c>
      <c r="C212" s="406" t="s">
        <v>513</v>
      </c>
      <c r="D212" s="406" t="s">
        <v>513</v>
      </c>
      <c r="E212" s="21">
        <v>0</v>
      </c>
      <c r="F212" s="399" t="s">
        <v>677</v>
      </c>
      <c r="G212" s="406"/>
      <c r="H212" s="292" t="s">
        <v>674</v>
      </c>
    </row>
    <row r="213" spans="1:8" x14ac:dyDescent="0.2">
      <c r="A213" s="437" t="s">
        <v>41</v>
      </c>
      <c r="B213" s="288" t="str">
        <f>+B212</f>
        <v>Page 262-3, Col.(i)</v>
      </c>
      <c r="G213" s="406"/>
    </row>
    <row r="214" spans="1:8" x14ac:dyDescent="0.2">
      <c r="A214" s="438" t="s">
        <v>678</v>
      </c>
      <c r="B214" s="268" t="s">
        <v>679</v>
      </c>
      <c r="C214" s="401">
        <v>2682879</v>
      </c>
      <c r="D214" s="401">
        <v>1974918</v>
      </c>
      <c r="G214" s="406"/>
    </row>
    <row r="215" spans="1:8" x14ac:dyDescent="0.2">
      <c r="A215" s="439" t="s">
        <v>680</v>
      </c>
      <c r="B215" s="268" t="s">
        <v>919</v>
      </c>
      <c r="C215" s="401">
        <v>39296</v>
      </c>
      <c r="D215" s="401">
        <v>0</v>
      </c>
      <c r="G215" s="406"/>
    </row>
    <row r="216" spans="1:8" x14ac:dyDescent="0.2">
      <c r="A216" s="439" t="s">
        <v>681</v>
      </c>
      <c r="B216" s="268" t="s">
        <v>920</v>
      </c>
      <c r="C216" s="401">
        <v>1735</v>
      </c>
      <c r="D216" s="406" t="s">
        <v>32</v>
      </c>
      <c r="G216" s="406"/>
    </row>
    <row r="217" spans="1:8" x14ac:dyDescent="0.2">
      <c r="A217" s="440" t="s">
        <v>682</v>
      </c>
      <c r="C217" s="406">
        <f>SUM(C214:C216)</f>
        <v>2723910</v>
      </c>
      <c r="D217" s="406">
        <f>SUM(D214:D215)</f>
        <v>1974918</v>
      </c>
      <c r="E217" s="21">
        <f>C217+D217</f>
        <v>4698828</v>
      </c>
      <c r="F217" s="399" t="s">
        <v>683</v>
      </c>
      <c r="G217" s="406"/>
      <c r="H217" s="292" t="s">
        <v>674</v>
      </c>
    </row>
    <row r="218" spans="1:8" x14ac:dyDescent="0.2">
      <c r="G218" s="406"/>
    </row>
    <row r="220" spans="1:8" x14ac:dyDescent="0.2">
      <c r="A220" s="21" t="s">
        <v>684</v>
      </c>
    </row>
    <row r="221" spans="1:8" x14ac:dyDescent="0.2">
      <c r="A221" s="292" t="s">
        <v>104</v>
      </c>
      <c r="B221" s="441">
        <v>0.35</v>
      </c>
      <c r="C221" s="292"/>
    </row>
    <row r="222" spans="1:8" x14ac:dyDescent="0.2">
      <c r="A222" s="292" t="s">
        <v>105</v>
      </c>
      <c r="B222" s="441">
        <v>0.06</v>
      </c>
      <c r="C222" s="292" t="s">
        <v>106</v>
      </c>
    </row>
    <row r="223" spans="1:8" x14ac:dyDescent="0.2">
      <c r="A223" s="292" t="s">
        <v>107</v>
      </c>
      <c r="B223" s="441">
        <v>0</v>
      </c>
      <c r="C223" s="292" t="s">
        <v>108</v>
      </c>
    </row>
    <row r="224" spans="1:8" x14ac:dyDescent="0.2">
      <c r="A224" s="292"/>
      <c r="B224" s="292"/>
      <c r="C224" s="292"/>
    </row>
    <row r="225" spans="1:11" x14ac:dyDescent="0.2">
      <c r="C225" s="21" t="s">
        <v>436</v>
      </c>
      <c r="D225" s="21" t="s">
        <v>437</v>
      </c>
    </row>
    <row r="226" spans="1:11" x14ac:dyDescent="0.2">
      <c r="A226" s="442" t="s">
        <v>685</v>
      </c>
      <c r="B226" s="399" t="s">
        <v>686</v>
      </c>
      <c r="C226" s="443">
        <v>-94167437</v>
      </c>
      <c r="D226" s="444">
        <v>-4120938</v>
      </c>
      <c r="E226" s="290"/>
      <c r="G226" s="406"/>
    </row>
    <row r="227" spans="1:11" x14ac:dyDescent="0.2">
      <c r="A227" s="413" t="s">
        <v>687</v>
      </c>
      <c r="B227" s="399" t="s">
        <v>688</v>
      </c>
      <c r="C227" s="443">
        <v>6539531</v>
      </c>
      <c r="D227" s="444">
        <v>9810528</v>
      </c>
      <c r="E227" s="290"/>
      <c r="G227" s="406"/>
    </row>
    <row r="228" spans="1:11" x14ac:dyDescent="0.2">
      <c r="A228" s="268" t="s">
        <v>689</v>
      </c>
      <c r="C228" s="445">
        <f>C208+C209+C211+C217+C226+C227</f>
        <v>-52002601</v>
      </c>
      <c r="D228" s="445">
        <f>D208+D209+D211+D217+D226+D227</f>
        <v>31804703</v>
      </c>
      <c r="E228" s="290" t="s">
        <v>690</v>
      </c>
    </row>
    <row r="229" spans="1:11" ht="15.75" x14ac:dyDescent="0.25">
      <c r="A229" s="446"/>
    </row>
    <row r="231" spans="1:11" x14ac:dyDescent="0.2">
      <c r="A231" s="21" t="s">
        <v>691</v>
      </c>
      <c r="B231" s="21" t="s">
        <v>692</v>
      </c>
      <c r="C231" s="443">
        <v>0</v>
      </c>
      <c r="D231" s="443">
        <v>0</v>
      </c>
      <c r="E231" s="21">
        <f>C231+D231</f>
        <v>0</v>
      </c>
      <c r="F231" s="399" t="s">
        <v>693</v>
      </c>
      <c r="G231" s="406"/>
      <c r="H231" s="289" t="s">
        <v>694</v>
      </c>
    </row>
    <row r="233" spans="1:11" x14ac:dyDescent="0.2">
      <c r="A233" s="396"/>
      <c r="B233" s="396"/>
      <c r="C233" s="396"/>
      <c r="D233" s="396"/>
      <c r="E233" s="396"/>
      <c r="F233" s="396"/>
      <c r="G233" s="396"/>
      <c r="H233" s="396"/>
      <c r="I233" s="396"/>
      <c r="J233" s="396"/>
      <c r="K233" s="396"/>
    </row>
    <row r="234" spans="1:11" ht="15" x14ac:dyDescent="0.25">
      <c r="A234" s="422" t="s">
        <v>125</v>
      </c>
    </row>
    <row r="236" spans="1:11" x14ac:dyDescent="0.2">
      <c r="A236" s="447" t="s">
        <v>695</v>
      </c>
      <c r="C236" s="448" t="s">
        <v>436</v>
      </c>
      <c r="D236" s="448" t="s">
        <v>437</v>
      </c>
    </row>
    <row r="237" spans="1:11" x14ac:dyDescent="0.2">
      <c r="A237" s="448" t="s">
        <v>696</v>
      </c>
    </row>
    <row r="238" spans="1:11" x14ac:dyDescent="0.2">
      <c r="A238" s="448" t="s">
        <v>697</v>
      </c>
      <c r="B238" s="399" t="s">
        <v>698</v>
      </c>
      <c r="C238" s="443">
        <v>1981505</v>
      </c>
      <c r="D238" s="443">
        <v>1527812</v>
      </c>
      <c r="E238" s="21">
        <f t="shared" ref="E238:E245" si="14">C238+D238</f>
        <v>3509317</v>
      </c>
      <c r="F238" s="21" t="s">
        <v>699</v>
      </c>
      <c r="G238" s="406"/>
    </row>
    <row r="239" spans="1:11" x14ac:dyDescent="0.2">
      <c r="A239" s="448" t="s">
        <v>700</v>
      </c>
      <c r="B239" s="399" t="s">
        <v>701</v>
      </c>
      <c r="C239" s="443">
        <v>256730</v>
      </c>
      <c r="D239" s="443">
        <v>136366</v>
      </c>
      <c r="E239" s="21">
        <f t="shared" si="14"/>
        <v>393096</v>
      </c>
      <c r="F239" s="21" t="s">
        <v>702</v>
      </c>
      <c r="G239" s="406"/>
    </row>
    <row r="240" spans="1:11" x14ac:dyDescent="0.2">
      <c r="A240" s="448" t="s">
        <v>703</v>
      </c>
      <c r="B240" s="399" t="s">
        <v>704</v>
      </c>
      <c r="C240" s="443">
        <v>149238</v>
      </c>
      <c r="D240" s="443">
        <v>76880</v>
      </c>
      <c r="E240" s="21">
        <f t="shared" si="14"/>
        <v>226118</v>
      </c>
      <c r="F240" s="21" t="s">
        <v>705</v>
      </c>
      <c r="G240" s="406"/>
    </row>
    <row r="241" spans="1:8" x14ac:dyDescent="0.2">
      <c r="A241" s="448" t="s">
        <v>706</v>
      </c>
      <c r="B241" s="399" t="s">
        <v>707</v>
      </c>
      <c r="C241" s="443">
        <v>0</v>
      </c>
      <c r="D241" s="443">
        <v>0</v>
      </c>
      <c r="E241" s="21">
        <f t="shared" si="14"/>
        <v>0</v>
      </c>
      <c r="F241" s="21" t="s">
        <v>708</v>
      </c>
      <c r="G241" s="406"/>
    </row>
    <row r="242" spans="1:8" x14ac:dyDescent="0.2">
      <c r="A242" s="448" t="s">
        <v>709</v>
      </c>
      <c r="B242" s="399" t="s">
        <v>710</v>
      </c>
      <c r="C242" s="443">
        <v>881658</v>
      </c>
      <c r="D242" s="443">
        <v>454898</v>
      </c>
      <c r="E242" s="21">
        <f t="shared" si="14"/>
        <v>1336556</v>
      </c>
      <c r="F242" s="21" t="s">
        <v>711</v>
      </c>
      <c r="G242" s="406"/>
    </row>
    <row r="243" spans="1:8" x14ac:dyDescent="0.2">
      <c r="A243" s="448" t="s">
        <v>712</v>
      </c>
      <c r="B243" s="399" t="s">
        <v>713</v>
      </c>
      <c r="C243" s="443">
        <v>6923</v>
      </c>
      <c r="D243" s="443">
        <v>4515</v>
      </c>
      <c r="E243" s="21">
        <f t="shared" si="14"/>
        <v>11438</v>
      </c>
      <c r="F243" s="21" t="s">
        <v>714</v>
      </c>
      <c r="G243" s="406"/>
    </row>
    <row r="244" spans="1:8" x14ac:dyDescent="0.2">
      <c r="A244" s="448" t="s">
        <v>715</v>
      </c>
      <c r="B244" s="399" t="s">
        <v>716</v>
      </c>
      <c r="C244" s="443">
        <v>0</v>
      </c>
      <c r="D244" s="443">
        <v>0</v>
      </c>
      <c r="E244" s="21">
        <f t="shared" si="14"/>
        <v>0</v>
      </c>
      <c r="F244" s="21" t="s">
        <v>717</v>
      </c>
      <c r="G244" s="406"/>
    </row>
    <row r="245" spans="1:8" x14ac:dyDescent="0.2">
      <c r="A245" s="448" t="s">
        <v>718</v>
      </c>
      <c r="B245" s="399" t="s">
        <v>719</v>
      </c>
      <c r="C245" s="443">
        <v>0</v>
      </c>
      <c r="D245" s="443">
        <v>0</v>
      </c>
      <c r="E245" s="21">
        <f t="shared" si="14"/>
        <v>0</v>
      </c>
      <c r="F245" s="21" t="s">
        <v>720</v>
      </c>
      <c r="G245" s="406"/>
    </row>
    <row r="246" spans="1:8" x14ac:dyDescent="0.2">
      <c r="A246" s="288" t="s">
        <v>6</v>
      </c>
      <c r="C246" s="449">
        <f>SUM(C237:C245)</f>
        <v>3276054</v>
      </c>
      <c r="D246" s="449">
        <f>SUM(D237:D245)</f>
        <v>2200471</v>
      </c>
      <c r="E246" s="21">
        <f>C246+D246</f>
        <v>5476525</v>
      </c>
      <c r="F246" s="399" t="s">
        <v>721</v>
      </c>
      <c r="G246" s="406"/>
      <c r="H246" s="21" t="s">
        <v>722</v>
      </c>
    </row>
    <row r="247" spans="1:8" x14ac:dyDescent="0.2">
      <c r="A247" s="290"/>
      <c r="C247" s="290"/>
      <c r="D247" s="290"/>
      <c r="G247" s="406"/>
    </row>
    <row r="248" spans="1:8" x14ac:dyDescent="0.2">
      <c r="A248" s="290"/>
      <c r="C248" s="290"/>
      <c r="D248" s="290"/>
      <c r="G248" s="406"/>
    </row>
    <row r="249" spans="1:8" x14ac:dyDescent="0.2">
      <c r="A249" s="290" t="s">
        <v>723</v>
      </c>
      <c r="C249" s="448" t="s">
        <v>436</v>
      </c>
      <c r="D249" s="448" t="s">
        <v>437</v>
      </c>
      <c r="G249" s="406"/>
    </row>
    <row r="250" spans="1:8" x14ac:dyDescent="0.2">
      <c r="A250" s="411" t="s">
        <v>502</v>
      </c>
      <c r="B250" s="268" t="s">
        <v>724</v>
      </c>
      <c r="C250" s="443">
        <v>42294383</v>
      </c>
      <c r="D250" s="443">
        <v>35218663</v>
      </c>
      <c r="E250" s="21">
        <f t="shared" ref="E250:E252" si="15">C250+D250</f>
        <v>77513046</v>
      </c>
      <c r="F250" s="399" t="s">
        <v>725</v>
      </c>
      <c r="G250" s="406"/>
    </row>
    <row r="251" spans="1:8" x14ac:dyDescent="0.2">
      <c r="A251" s="411" t="s">
        <v>24</v>
      </c>
      <c r="B251" s="268" t="s">
        <v>726</v>
      </c>
      <c r="C251" s="443">
        <v>5208108</v>
      </c>
      <c r="D251" s="443">
        <v>3344802</v>
      </c>
      <c r="E251" s="21">
        <f t="shared" si="15"/>
        <v>8552910</v>
      </c>
      <c r="F251" s="399" t="s">
        <v>727</v>
      </c>
      <c r="G251" s="406"/>
    </row>
    <row r="252" spans="1:8" x14ac:dyDescent="0.2">
      <c r="A252" s="411" t="s">
        <v>507</v>
      </c>
      <c r="B252" s="268" t="s">
        <v>728</v>
      </c>
      <c r="C252" s="443">
        <v>16578580</v>
      </c>
      <c r="D252" s="443">
        <v>10876346</v>
      </c>
      <c r="E252" s="21">
        <f t="shared" si="15"/>
        <v>27454926</v>
      </c>
      <c r="F252" s="399" t="s">
        <v>729</v>
      </c>
      <c r="G252" s="406"/>
    </row>
    <row r="253" spans="1:8" x14ac:dyDescent="0.2">
      <c r="A253" s="411" t="s">
        <v>41</v>
      </c>
      <c r="B253" s="288"/>
      <c r="C253" s="288"/>
      <c r="D253" s="288"/>
      <c r="F253" s="399"/>
      <c r="G253" s="406"/>
    </row>
    <row r="254" spans="1:8" x14ac:dyDescent="0.2">
      <c r="A254" s="410" t="s">
        <v>730</v>
      </c>
      <c r="B254" s="268" t="s">
        <v>731</v>
      </c>
      <c r="C254" s="443">
        <v>11610950</v>
      </c>
      <c r="D254" s="443">
        <v>3900955</v>
      </c>
      <c r="G254" s="406"/>
    </row>
    <row r="255" spans="1:8" x14ac:dyDescent="0.2">
      <c r="A255" s="410" t="s">
        <v>732</v>
      </c>
      <c r="B255" s="268" t="s">
        <v>733</v>
      </c>
      <c r="C255" s="443">
        <v>1087487</v>
      </c>
      <c r="D255" s="443">
        <v>757279</v>
      </c>
      <c r="G255" s="406"/>
    </row>
    <row r="256" spans="1:8" x14ac:dyDescent="0.2">
      <c r="A256" s="410" t="s">
        <v>734</v>
      </c>
      <c r="B256" s="268" t="s">
        <v>735</v>
      </c>
      <c r="C256" s="443">
        <v>0</v>
      </c>
      <c r="D256" s="443">
        <v>0</v>
      </c>
      <c r="G256" s="406"/>
    </row>
    <row r="257" spans="1:7" x14ac:dyDescent="0.2">
      <c r="C257" s="21">
        <f>SUM(C254:C256)</f>
        <v>12698437</v>
      </c>
      <c r="D257" s="21">
        <f>SUM(D254:D256)</f>
        <v>4658234</v>
      </c>
      <c r="E257" s="21">
        <f t="shared" ref="E257" si="16">C257+D257</f>
        <v>17356671</v>
      </c>
      <c r="F257" s="399" t="s">
        <v>736</v>
      </c>
      <c r="G257" s="406"/>
    </row>
    <row r="258" spans="1:7" x14ac:dyDescent="0.2">
      <c r="G258" s="406"/>
    </row>
    <row r="259" spans="1:7" x14ac:dyDescent="0.2">
      <c r="G259" s="406"/>
    </row>
    <row r="260" spans="1:7" x14ac:dyDescent="0.2">
      <c r="A260" s="409" t="s">
        <v>737</v>
      </c>
      <c r="B260" s="288"/>
      <c r="C260" s="288"/>
      <c r="G260" s="406"/>
    </row>
    <row r="261" spans="1:7" x14ac:dyDescent="0.2">
      <c r="A261" s="409"/>
      <c r="B261" s="288"/>
      <c r="C261" s="448" t="s">
        <v>436</v>
      </c>
      <c r="D261" s="448" t="s">
        <v>437</v>
      </c>
      <c r="G261" s="406"/>
    </row>
    <row r="262" spans="1:7" x14ac:dyDescent="0.2">
      <c r="A262" s="409" t="s">
        <v>71</v>
      </c>
      <c r="B262" s="268" t="s">
        <v>738</v>
      </c>
      <c r="C262" s="443">
        <v>7019604452</v>
      </c>
      <c r="D262" s="443">
        <v>4003957262</v>
      </c>
      <c r="E262" s="21">
        <f t="shared" ref="E262:E264" si="17">C262+D262</f>
        <v>11023561714</v>
      </c>
      <c r="F262" s="399" t="s">
        <v>739</v>
      </c>
      <c r="G262" s="406"/>
    </row>
    <row r="263" spans="1:7" x14ac:dyDescent="0.2">
      <c r="A263" s="409" t="s">
        <v>73</v>
      </c>
      <c r="B263" s="268" t="s">
        <v>740</v>
      </c>
      <c r="C263" s="443">
        <v>0</v>
      </c>
      <c r="D263" s="443">
        <v>838406461</v>
      </c>
      <c r="E263" s="21">
        <f t="shared" si="17"/>
        <v>838406461</v>
      </c>
      <c r="F263" s="399" t="s">
        <v>741</v>
      </c>
      <c r="G263" s="406"/>
    </row>
    <row r="264" spans="1:7" x14ac:dyDescent="0.2">
      <c r="A264" s="450" t="s">
        <v>75</v>
      </c>
      <c r="B264" s="451" t="s">
        <v>742</v>
      </c>
      <c r="C264" s="443">
        <v>0</v>
      </c>
      <c r="D264" s="443">
        <v>0</v>
      </c>
      <c r="E264" s="21">
        <f t="shared" si="17"/>
        <v>0</v>
      </c>
      <c r="F264" s="399" t="s">
        <v>743</v>
      </c>
      <c r="G264" s="406"/>
    </row>
    <row r="265" spans="1:7" x14ac:dyDescent="0.2">
      <c r="A265" s="409"/>
      <c r="B265" s="288"/>
      <c r="C265" s="288"/>
      <c r="G265" s="406"/>
    </row>
    <row r="266" spans="1:7" x14ac:dyDescent="0.2">
      <c r="A266" s="409" t="s">
        <v>744</v>
      </c>
      <c r="B266" s="288"/>
      <c r="C266" s="288"/>
      <c r="G266" s="406"/>
    </row>
    <row r="267" spans="1:7" x14ac:dyDescent="0.2">
      <c r="A267" s="268" t="s">
        <v>77</v>
      </c>
      <c r="G267" s="406"/>
    </row>
    <row r="268" spans="1:7" x14ac:dyDescent="0.2">
      <c r="A268" s="268" t="s">
        <v>745</v>
      </c>
      <c r="B268" s="268" t="s">
        <v>746</v>
      </c>
      <c r="C268" s="443">
        <v>70702345</v>
      </c>
      <c r="D268" s="443">
        <v>44283072</v>
      </c>
      <c r="F268" s="399"/>
      <c r="G268" s="406"/>
    </row>
    <row r="269" spans="1:7" x14ac:dyDescent="0.2">
      <c r="A269" s="21" t="s">
        <v>747</v>
      </c>
      <c r="G269" s="406"/>
    </row>
    <row r="270" spans="1:7" x14ac:dyDescent="0.2">
      <c r="A270" s="452" t="s">
        <v>748</v>
      </c>
      <c r="B270" s="268" t="s">
        <v>746</v>
      </c>
      <c r="C270" s="443">
        <v>70702345</v>
      </c>
      <c r="D270" s="443">
        <v>44283072</v>
      </c>
      <c r="G270" s="406"/>
    </row>
    <row r="271" spans="1:7" x14ac:dyDescent="0.2">
      <c r="A271" s="452" t="s">
        <v>749</v>
      </c>
      <c r="B271" s="399" t="s">
        <v>750</v>
      </c>
      <c r="C271" s="443">
        <v>70856019</v>
      </c>
      <c r="D271" s="443">
        <v>44191488</v>
      </c>
      <c r="G271" s="406"/>
    </row>
    <row r="272" spans="1:7" x14ac:dyDescent="0.2">
      <c r="A272" s="268" t="s">
        <v>751</v>
      </c>
      <c r="B272" s="268" t="s">
        <v>752</v>
      </c>
      <c r="C272" s="443">
        <v>2940774</v>
      </c>
      <c r="D272" s="443">
        <v>2310317</v>
      </c>
      <c r="F272" s="399"/>
      <c r="G272" s="406"/>
    </row>
    <row r="273" spans="1:7" x14ac:dyDescent="0.2">
      <c r="A273" s="268" t="s">
        <v>753</v>
      </c>
      <c r="B273" s="268" t="s">
        <v>754</v>
      </c>
      <c r="C273" s="443">
        <v>626896</v>
      </c>
      <c r="D273" s="443">
        <v>1106947</v>
      </c>
      <c r="F273" s="399"/>
      <c r="G273" s="406"/>
    </row>
    <row r="274" spans="1:7" x14ac:dyDescent="0.2">
      <c r="A274" s="268" t="s">
        <v>755</v>
      </c>
      <c r="B274" s="268" t="s">
        <v>756</v>
      </c>
      <c r="C274" s="443">
        <v>0</v>
      </c>
      <c r="D274" s="443">
        <v>0</v>
      </c>
      <c r="F274" s="399"/>
      <c r="G274" s="406"/>
    </row>
    <row r="275" spans="1:7" x14ac:dyDescent="0.2">
      <c r="A275" s="268" t="s">
        <v>757</v>
      </c>
      <c r="B275" s="268" t="s">
        <v>758</v>
      </c>
      <c r="C275" s="443">
        <v>0</v>
      </c>
      <c r="D275" s="443">
        <v>0</v>
      </c>
      <c r="F275" s="399"/>
      <c r="G275" s="406"/>
    </row>
    <row r="276" spans="1:7" x14ac:dyDescent="0.2">
      <c r="A276" s="268" t="s">
        <v>759</v>
      </c>
      <c r="B276" s="268" t="s">
        <v>760</v>
      </c>
      <c r="C276" s="443">
        <v>5790</v>
      </c>
      <c r="D276" s="443">
        <v>5761</v>
      </c>
      <c r="F276" s="399"/>
      <c r="G276" s="406"/>
    </row>
    <row r="277" spans="1:7" x14ac:dyDescent="0.2">
      <c r="A277" s="268"/>
      <c r="B277" s="268"/>
      <c r="C277" s="21">
        <f>SUM(C268,-C270,C271:C276)</f>
        <v>74429479</v>
      </c>
      <c r="D277" s="21">
        <f>SUM(D268,-D270,D271:D276)</f>
        <v>47614513</v>
      </c>
      <c r="E277" s="21">
        <f t="shared" ref="E277" si="18">C277+D277</f>
        <v>122043992</v>
      </c>
      <c r="F277" s="399" t="s">
        <v>761</v>
      </c>
      <c r="G277" s="406"/>
    </row>
    <row r="278" spans="1:7" x14ac:dyDescent="0.2">
      <c r="G278" s="406"/>
    </row>
    <row r="279" spans="1:7" x14ac:dyDescent="0.2">
      <c r="A279" s="268" t="s">
        <v>126</v>
      </c>
      <c r="B279" s="288" t="s">
        <v>762</v>
      </c>
      <c r="C279" s="443">
        <v>0</v>
      </c>
      <c r="D279" s="443">
        <v>0</v>
      </c>
      <c r="E279" s="21">
        <f t="shared" ref="E279" si="19">C279+D279</f>
        <v>0</v>
      </c>
      <c r="F279" s="399" t="s">
        <v>763</v>
      </c>
      <c r="G279" s="406"/>
    </row>
    <row r="280" spans="1:7" x14ac:dyDescent="0.2">
      <c r="G280" s="406"/>
    </row>
    <row r="281" spans="1:7" x14ac:dyDescent="0.2">
      <c r="A281" s="268" t="s">
        <v>78</v>
      </c>
      <c r="B281" s="268" t="s">
        <v>764</v>
      </c>
      <c r="C281" s="443">
        <v>3206515393</v>
      </c>
      <c r="D281" s="443">
        <v>2174035886</v>
      </c>
      <c r="E281" s="21">
        <f t="shared" ref="E281:E289" si="20">C281+D281</f>
        <v>5380551279</v>
      </c>
      <c r="F281" s="399"/>
      <c r="G281" s="406"/>
    </row>
    <row r="282" spans="1:7" x14ac:dyDescent="0.2">
      <c r="A282" s="21" t="s">
        <v>747</v>
      </c>
      <c r="G282" s="406"/>
    </row>
    <row r="283" spans="1:7" x14ac:dyDescent="0.2">
      <c r="A283" s="452" t="s">
        <v>765</v>
      </c>
      <c r="B283" s="21" t="s">
        <v>766</v>
      </c>
      <c r="C283" s="443">
        <v>2596446834</v>
      </c>
      <c r="D283" s="443">
        <v>1521167368</v>
      </c>
      <c r="E283" s="21">
        <f t="shared" si="20"/>
        <v>4117614202</v>
      </c>
      <c r="G283" s="406"/>
    </row>
    <row r="284" spans="1:7" x14ac:dyDescent="0.2">
      <c r="A284" s="452" t="s">
        <v>767</v>
      </c>
      <c r="B284" s="21" t="s">
        <v>768</v>
      </c>
      <c r="C284" s="443">
        <v>563858083</v>
      </c>
      <c r="D284" s="443">
        <v>327081499</v>
      </c>
      <c r="E284" s="21">
        <f t="shared" si="20"/>
        <v>890939582</v>
      </c>
      <c r="G284" s="406"/>
    </row>
    <row r="285" spans="1:7" x14ac:dyDescent="0.2">
      <c r="A285" s="415" t="s">
        <v>769</v>
      </c>
      <c r="B285" s="399" t="s">
        <v>770</v>
      </c>
      <c r="C285" s="443">
        <v>302016562</v>
      </c>
      <c r="D285" s="443">
        <v>228533983</v>
      </c>
      <c r="E285" s="21">
        <f t="shared" si="20"/>
        <v>530550545</v>
      </c>
      <c r="G285" s="406"/>
    </row>
    <row r="286" spans="1:7" x14ac:dyDescent="0.2">
      <c r="A286" s="418" t="s">
        <v>771</v>
      </c>
      <c r="B286" s="399" t="s">
        <v>772</v>
      </c>
      <c r="C286" s="443">
        <v>1728986179</v>
      </c>
      <c r="D286" s="443">
        <v>1032434889</v>
      </c>
      <c r="E286" s="21">
        <f t="shared" si="20"/>
        <v>2761421068</v>
      </c>
      <c r="G286" s="406"/>
    </row>
    <row r="287" spans="1:7" x14ac:dyDescent="0.2">
      <c r="A287" s="452" t="s">
        <v>773</v>
      </c>
      <c r="B287" s="21" t="s">
        <v>774</v>
      </c>
      <c r="C287" s="443">
        <v>0</v>
      </c>
      <c r="D287" s="443">
        <v>0</v>
      </c>
      <c r="E287" s="21">
        <f t="shared" si="20"/>
        <v>0</v>
      </c>
      <c r="G287" s="406"/>
    </row>
    <row r="288" spans="1:7" x14ac:dyDescent="0.2">
      <c r="A288" s="452" t="s">
        <v>775</v>
      </c>
      <c r="B288" s="21" t="s">
        <v>776</v>
      </c>
      <c r="C288" s="443">
        <v>0</v>
      </c>
      <c r="D288" s="443">
        <v>0</v>
      </c>
      <c r="E288" s="21">
        <f t="shared" si="20"/>
        <v>0</v>
      </c>
      <c r="G288" s="406"/>
    </row>
    <row r="289" spans="1:7" x14ac:dyDescent="0.2">
      <c r="A289" s="452" t="s">
        <v>777</v>
      </c>
      <c r="B289" s="399" t="s">
        <v>778</v>
      </c>
      <c r="C289" s="443">
        <v>233308</v>
      </c>
      <c r="D289" s="443">
        <v>0</v>
      </c>
      <c r="E289" s="21">
        <f t="shared" si="20"/>
        <v>233308</v>
      </c>
      <c r="G289" s="406"/>
    </row>
    <row r="290" spans="1:7" x14ac:dyDescent="0.2">
      <c r="A290" s="452" t="s">
        <v>779</v>
      </c>
      <c r="B290" s="399" t="s">
        <v>780</v>
      </c>
      <c r="C290" s="443">
        <v>-1232509</v>
      </c>
      <c r="D290" s="443">
        <v>0</v>
      </c>
      <c r="E290" s="21">
        <f t="shared" ref="E290:E291" si="21">C290+D290</f>
        <v>-1232509</v>
      </c>
      <c r="G290" s="406"/>
    </row>
    <row r="291" spans="1:7" x14ac:dyDescent="0.2">
      <c r="A291" s="399" t="s">
        <v>781</v>
      </c>
      <c r="C291" s="21">
        <f>C281-C283+C284-C285+C286-C287+C288-C289+C290</f>
        <v>2599430442</v>
      </c>
      <c r="D291" s="21">
        <f>D281-D283+D284-D285+D286-D287+D288-D289+D290</f>
        <v>1783850923</v>
      </c>
      <c r="E291" s="21">
        <f t="shared" si="21"/>
        <v>4383281365</v>
      </c>
      <c r="F291" s="399" t="s">
        <v>782</v>
      </c>
      <c r="G291" s="406"/>
    </row>
    <row r="292" spans="1:7" x14ac:dyDescent="0.2">
      <c r="G292" s="406"/>
    </row>
    <row r="293" spans="1:7" x14ac:dyDescent="0.2">
      <c r="A293" s="21" t="s">
        <v>783</v>
      </c>
      <c r="G293" s="406"/>
    </row>
    <row r="294" spans="1:7" x14ac:dyDescent="0.2">
      <c r="A294" s="21" t="s">
        <v>784</v>
      </c>
      <c r="B294" s="21" t="s">
        <v>774</v>
      </c>
      <c r="C294" s="294">
        <f>C287</f>
        <v>0</v>
      </c>
      <c r="D294" s="294">
        <f>D287</f>
        <v>0</v>
      </c>
      <c r="G294" s="406"/>
    </row>
    <row r="295" spans="1:7" x14ac:dyDescent="0.2">
      <c r="A295" s="399" t="s">
        <v>785</v>
      </c>
      <c r="B295" s="399" t="s">
        <v>778</v>
      </c>
      <c r="C295" s="294">
        <f>C289</f>
        <v>233308</v>
      </c>
      <c r="D295" s="294">
        <f>D289</f>
        <v>0</v>
      </c>
      <c r="G295" s="406"/>
    </row>
    <row r="296" spans="1:7" x14ac:dyDescent="0.2">
      <c r="A296" s="21" t="s">
        <v>747</v>
      </c>
      <c r="G296" s="406"/>
    </row>
    <row r="297" spans="1:7" x14ac:dyDescent="0.2">
      <c r="A297" s="452" t="s">
        <v>773</v>
      </c>
      <c r="B297" s="21" t="s">
        <v>774</v>
      </c>
      <c r="C297" s="294">
        <f>C294</f>
        <v>0</v>
      </c>
      <c r="D297" s="294">
        <f>D294</f>
        <v>0</v>
      </c>
      <c r="G297" s="406"/>
    </row>
    <row r="298" spans="1:7" x14ac:dyDescent="0.2">
      <c r="A298" s="452" t="s">
        <v>767</v>
      </c>
      <c r="B298" s="21" t="s">
        <v>776</v>
      </c>
      <c r="C298" s="294">
        <f t="shared" ref="C298:D300" si="22">C288</f>
        <v>0</v>
      </c>
      <c r="D298" s="294">
        <f t="shared" si="22"/>
        <v>0</v>
      </c>
      <c r="G298" s="406"/>
    </row>
    <row r="299" spans="1:7" x14ac:dyDescent="0.2">
      <c r="A299" s="452" t="s">
        <v>777</v>
      </c>
      <c r="B299" s="399" t="s">
        <v>778</v>
      </c>
      <c r="C299" s="294">
        <f t="shared" si="22"/>
        <v>233308</v>
      </c>
      <c r="D299" s="294">
        <f t="shared" si="22"/>
        <v>0</v>
      </c>
      <c r="G299" s="406"/>
    </row>
    <row r="300" spans="1:7" x14ac:dyDescent="0.2">
      <c r="A300" s="452" t="s">
        <v>779</v>
      </c>
      <c r="B300" s="399" t="s">
        <v>780</v>
      </c>
      <c r="C300" s="294">
        <f t="shared" si="22"/>
        <v>-1232509</v>
      </c>
      <c r="D300" s="294">
        <f t="shared" si="22"/>
        <v>0</v>
      </c>
      <c r="G300" s="406"/>
    </row>
    <row r="301" spans="1:7" x14ac:dyDescent="0.2">
      <c r="A301" s="399" t="s">
        <v>786</v>
      </c>
      <c r="C301" s="21">
        <f>C294+C295-C297+C298-C299+C300</f>
        <v>-1232509</v>
      </c>
      <c r="D301" s="21">
        <f>D294+D295-D297+D298-D299+D300</f>
        <v>0</v>
      </c>
      <c r="E301" s="21">
        <f t="shared" ref="E301" si="23">C301+D301</f>
        <v>-1232509</v>
      </c>
      <c r="F301" s="399" t="s">
        <v>787</v>
      </c>
      <c r="G301" s="406"/>
    </row>
    <row r="302" spans="1:7" x14ac:dyDescent="0.2">
      <c r="A302" s="418"/>
      <c r="G302" s="406"/>
    </row>
    <row r="303" spans="1:7" x14ac:dyDescent="0.2">
      <c r="A303" s="436" t="s">
        <v>788</v>
      </c>
      <c r="G303" s="406"/>
    </row>
    <row r="304" spans="1:7" x14ac:dyDescent="0.2">
      <c r="A304" s="21" t="s">
        <v>789</v>
      </c>
      <c r="B304" s="399" t="s">
        <v>790</v>
      </c>
      <c r="C304" s="443">
        <v>2091290929</v>
      </c>
      <c r="D304" s="443">
        <v>1353061734</v>
      </c>
      <c r="G304" s="406"/>
    </row>
    <row r="305" spans="1:8" x14ac:dyDescent="0.2">
      <c r="A305" s="21" t="s">
        <v>747</v>
      </c>
      <c r="G305" s="406"/>
    </row>
    <row r="306" spans="1:8" x14ac:dyDescent="0.2">
      <c r="A306" s="452" t="s">
        <v>791</v>
      </c>
      <c r="B306" s="399" t="s">
        <v>792</v>
      </c>
      <c r="C306" s="443">
        <v>522778</v>
      </c>
      <c r="D306" s="443">
        <v>-1681852</v>
      </c>
      <c r="G306" s="406"/>
    </row>
    <row r="307" spans="1:8" x14ac:dyDescent="0.2">
      <c r="A307" s="452" t="s">
        <v>793</v>
      </c>
      <c r="B307" s="399" t="s">
        <v>794</v>
      </c>
      <c r="C307" s="443">
        <v>0</v>
      </c>
      <c r="D307" s="443">
        <v>0</v>
      </c>
      <c r="G307" s="406"/>
    </row>
    <row r="308" spans="1:8" x14ac:dyDescent="0.2">
      <c r="A308" s="21" t="s">
        <v>789</v>
      </c>
      <c r="C308" s="21">
        <f>C304-C306+C307</f>
        <v>2090768151</v>
      </c>
      <c r="D308" s="21">
        <f>D304-D306+D307</f>
        <v>1354743586</v>
      </c>
      <c r="E308" s="21">
        <f>C308+D308</f>
        <v>3445511737</v>
      </c>
      <c r="F308" s="399" t="s">
        <v>795</v>
      </c>
      <c r="G308" s="406"/>
    </row>
    <row r="309" spans="1:8" x14ac:dyDescent="0.2">
      <c r="G309" s="406"/>
    </row>
    <row r="310" spans="1:8" x14ac:dyDescent="0.2">
      <c r="A310" s="21" t="s">
        <v>796</v>
      </c>
      <c r="E310" s="453">
        <v>0.10879999999999999</v>
      </c>
      <c r="F310" s="399" t="s">
        <v>966</v>
      </c>
      <c r="G310" s="406"/>
      <c r="H310" s="21" t="s">
        <v>797</v>
      </c>
    </row>
    <row r="311" spans="1:8" x14ac:dyDescent="0.2">
      <c r="G311" s="406"/>
    </row>
    <row r="312" spans="1:8" x14ac:dyDescent="0.2">
      <c r="A312" s="21" t="s">
        <v>798</v>
      </c>
      <c r="G312" s="406"/>
    </row>
    <row r="313" spans="1:8" x14ac:dyDescent="0.2">
      <c r="A313" s="399" t="s">
        <v>799</v>
      </c>
      <c r="G313" s="406"/>
    </row>
    <row r="314" spans="1:8" x14ac:dyDescent="0.2">
      <c r="A314" s="21" t="s">
        <v>800</v>
      </c>
      <c r="B314" s="399" t="s">
        <v>801</v>
      </c>
      <c r="C314" s="443">
        <v>18170492</v>
      </c>
      <c r="D314" s="443">
        <v>8273552</v>
      </c>
      <c r="E314" s="21">
        <f>C314+D314</f>
        <v>26444044</v>
      </c>
      <c r="F314" s="21" t="s">
        <v>802</v>
      </c>
      <c r="G314" s="406"/>
    </row>
    <row r="315" spans="1:8" x14ac:dyDescent="0.2">
      <c r="A315" s="21" t="s">
        <v>803</v>
      </c>
      <c r="B315" s="399" t="s">
        <v>804</v>
      </c>
      <c r="C315" s="443">
        <v>4790293</v>
      </c>
      <c r="D315" s="443">
        <v>2234308</v>
      </c>
      <c r="G315" s="406"/>
    </row>
    <row r="316" spans="1:8" x14ac:dyDescent="0.2">
      <c r="B316" s="399" t="s">
        <v>835</v>
      </c>
      <c r="C316" s="443">
        <v>1671482</v>
      </c>
      <c r="D316" s="443"/>
      <c r="G316" s="406"/>
    </row>
    <row r="317" spans="1:8" x14ac:dyDescent="0.2">
      <c r="B317" s="399" t="s">
        <v>836</v>
      </c>
      <c r="C317" s="443">
        <v>1520927</v>
      </c>
      <c r="D317" s="443"/>
      <c r="G317" s="406"/>
    </row>
    <row r="318" spans="1:8" x14ac:dyDescent="0.2">
      <c r="B318" s="399" t="s">
        <v>808</v>
      </c>
      <c r="C318" s="443"/>
      <c r="D318" s="443">
        <v>26851</v>
      </c>
      <c r="G318" s="406"/>
    </row>
    <row r="319" spans="1:8" x14ac:dyDescent="0.2">
      <c r="B319" s="399" t="s">
        <v>809</v>
      </c>
      <c r="C319" s="443"/>
      <c r="D319" s="443">
        <v>844833</v>
      </c>
      <c r="G319" s="406"/>
    </row>
    <row r="320" spans="1:8" x14ac:dyDescent="0.2">
      <c r="B320" s="399" t="s">
        <v>810</v>
      </c>
      <c r="C320" s="443">
        <v>134583</v>
      </c>
      <c r="D320" s="443"/>
      <c r="G320" s="406"/>
    </row>
    <row r="321" spans="2:7" x14ac:dyDescent="0.2">
      <c r="B321" s="399" t="s">
        <v>832</v>
      </c>
      <c r="C321" s="443"/>
      <c r="D321" s="443">
        <v>773209</v>
      </c>
      <c r="G321" s="406"/>
    </row>
    <row r="322" spans="2:7" x14ac:dyDescent="0.2">
      <c r="B322" s="399" t="s">
        <v>925</v>
      </c>
      <c r="C322" s="443">
        <v>57550</v>
      </c>
      <c r="D322" s="443"/>
      <c r="G322" s="406"/>
    </row>
    <row r="323" spans="2:7" x14ac:dyDescent="0.2">
      <c r="B323" s="399" t="s">
        <v>811</v>
      </c>
      <c r="C323" s="443"/>
      <c r="D323" s="443">
        <v>62653</v>
      </c>
      <c r="G323" s="406"/>
    </row>
    <row r="324" spans="2:7" x14ac:dyDescent="0.2">
      <c r="B324" s="399" t="s">
        <v>837</v>
      </c>
      <c r="C324" s="443">
        <v>199946</v>
      </c>
      <c r="D324" s="443">
        <v>90588</v>
      </c>
      <c r="G324" s="406"/>
    </row>
    <row r="325" spans="2:7" x14ac:dyDescent="0.2">
      <c r="B325" s="399" t="s">
        <v>833</v>
      </c>
      <c r="C325" s="443">
        <v>393132</v>
      </c>
      <c r="D325" s="443">
        <v>178040</v>
      </c>
      <c r="G325" s="406"/>
    </row>
    <row r="326" spans="2:7" x14ac:dyDescent="0.2">
      <c r="B326" s="399" t="s">
        <v>812</v>
      </c>
      <c r="C326" s="443">
        <v>19201</v>
      </c>
      <c r="D326" s="443">
        <v>8694</v>
      </c>
      <c r="G326" s="406"/>
    </row>
    <row r="327" spans="2:7" x14ac:dyDescent="0.2">
      <c r="B327" s="399" t="s">
        <v>813</v>
      </c>
      <c r="C327" s="443">
        <v>15893</v>
      </c>
      <c r="D327" s="443">
        <v>7215</v>
      </c>
      <c r="G327" s="406"/>
    </row>
    <row r="328" spans="2:7" x14ac:dyDescent="0.2">
      <c r="B328" s="399" t="s">
        <v>814</v>
      </c>
      <c r="C328" s="443">
        <v>289845</v>
      </c>
      <c r="D328" s="443">
        <v>131384</v>
      </c>
      <c r="G328" s="406"/>
    </row>
    <row r="329" spans="2:7" x14ac:dyDescent="0.2">
      <c r="B329" s="399" t="s">
        <v>815</v>
      </c>
      <c r="C329" s="443">
        <v>175620</v>
      </c>
      <c r="D329" s="443">
        <v>79557</v>
      </c>
      <c r="G329" s="406"/>
    </row>
    <row r="330" spans="2:7" x14ac:dyDescent="0.2">
      <c r="B330" s="399" t="s">
        <v>816</v>
      </c>
      <c r="C330" s="443">
        <v>40902</v>
      </c>
      <c r="D330" s="443">
        <v>18520</v>
      </c>
      <c r="G330" s="406"/>
    </row>
    <row r="331" spans="2:7" x14ac:dyDescent="0.2">
      <c r="B331" s="399" t="s">
        <v>817</v>
      </c>
      <c r="C331" s="443">
        <v>49389</v>
      </c>
      <c r="D331" s="443">
        <v>663271</v>
      </c>
      <c r="G331" s="406"/>
    </row>
    <row r="332" spans="2:7" x14ac:dyDescent="0.2">
      <c r="B332" s="399" t="s">
        <v>818</v>
      </c>
      <c r="C332" s="443">
        <v>1464198</v>
      </c>
      <c r="D332" s="443">
        <v>248095</v>
      </c>
      <c r="G332" s="406"/>
    </row>
    <row r="333" spans="2:7" x14ac:dyDescent="0.2">
      <c r="B333" s="399" t="s">
        <v>819</v>
      </c>
      <c r="C333" s="443">
        <v>547649</v>
      </c>
      <c r="D333" s="443">
        <v>186251</v>
      </c>
      <c r="G333" s="406"/>
    </row>
    <row r="334" spans="2:7" x14ac:dyDescent="0.2">
      <c r="B334" s="399" t="s">
        <v>820</v>
      </c>
      <c r="C334" s="443">
        <v>411097</v>
      </c>
      <c r="D334" s="443">
        <v>64776</v>
      </c>
      <c r="G334" s="406"/>
    </row>
    <row r="335" spans="2:7" x14ac:dyDescent="0.2">
      <c r="B335" s="399" t="s">
        <v>821</v>
      </c>
      <c r="C335" s="443">
        <v>142922</v>
      </c>
      <c r="D335" s="443">
        <v>28928</v>
      </c>
      <c r="G335" s="406"/>
    </row>
    <row r="336" spans="2:7" x14ac:dyDescent="0.2">
      <c r="B336" s="399" t="s">
        <v>822</v>
      </c>
      <c r="C336" s="443">
        <v>63881</v>
      </c>
      <c r="D336" s="443"/>
      <c r="G336" s="406"/>
    </row>
    <row r="337" spans="1:7" x14ac:dyDescent="0.2">
      <c r="B337" s="399"/>
      <c r="C337" s="443"/>
      <c r="D337" s="443"/>
      <c r="G337" s="406"/>
    </row>
    <row r="338" spans="1:7" x14ac:dyDescent="0.2">
      <c r="B338" s="399"/>
      <c r="C338" s="443"/>
      <c r="D338" s="443"/>
      <c r="G338" s="406"/>
    </row>
    <row r="339" spans="1:7" x14ac:dyDescent="0.2">
      <c r="B339" s="399"/>
      <c r="C339" s="443"/>
      <c r="D339" s="443"/>
      <c r="G339" s="406"/>
    </row>
    <row r="340" spans="1:7" x14ac:dyDescent="0.2">
      <c r="A340" s="399" t="s">
        <v>823</v>
      </c>
      <c r="B340" s="399" t="s">
        <v>824</v>
      </c>
      <c r="C340" s="443">
        <v>568118</v>
      </c>
      <c r="D340" s="443"/>
      <c r="G340" s="406"/>
    </row>
    <row r="341" spans="1:7" x14ac:dyDescent="0.2">
      <c r="B341" s="399"/>
      <c r="C341" s="443"/>
      <c r="D341" s="443"/>
      <c r="G341" s="406"/>
    </row>
    <row r="342" spans="1:7" x14ac:dyDescent="0.2">
      <c r="B342" s="399"/>
      <c r="C342" s="443"/>
      <c r="D342" s="443"/>
      <c r="G342" s="406"/>
    </row>
    <row r="343" spans="1:7" x14ac:dyDescent="0.2">
      <c r="A343" s="399" t="s">
        <v>825</v>
      </c>
      <c r="B343" s="399" t="s">
        <v>826</v>
      </c>
      <c r="C343" s="443"/>
      <c r="D343" s="443"/>
      <c r="G343" s="406"/>
    </row>
    <row r="344" spans="1:7" x14ac:dyDescent="0.2">
      <c r="A344" s="399" t="s">
        <v>827</v>
      </c>
      <c r="B344" s="399" t="s">
        <v>828</v>
      </c>
      <c r="C344" s="443">
        <v>22839</v>
      </c>
      <c r="D344" s="443">
        <v>10949</v>
      </c>
      <c r="G344" s="406"/>
    </row>
    <row r="345" spans="1:7" x14ac:dyDescent="0.2">
      <c r="B345" s="399" t="s">
        <v>805</v>
      </c>
      <c r="C345" s="443">
        <v>4080</v>
      </c>
      <c r="D345" s="443">
        <v>1815</v>
      </c>
      <c r="G345" s="406"/>
    </row>
    <row r="346" spans="1:7" x14ac:dyDescent="0.2">
      <c r="B346" s="399" t="s">
        <v>829</v>
      </c>
      <c r="C346" s="443"/>
      <c r="D346" s="443">
        <v>-6191</v>
      </c>
      <c r="G346" s="406"/>
    </row>
    <row r="347" spans="1:7" x14ac:dyDescent="0.2">
      <c r="B347" s="399" t="s">
        <v>830</v>
      </c>
      <c r="C347" s="443">
        <v>7896</v>
      </c>
      <c r="D347" s="443">
        <v>-39214</v>
      </c>
      <c r="G347" s="406"/>
    </row>
    <row r="348" spans="1:7" x14ac:dyDescent="0.2">
      <c r="B348" s="399" t="s">
        <v>807</v>
      </c>
      <c r="C348" s="443">
        <v>-22727</v>
      </c>
      <c r="D348" s="443"/>
      <c r="G348" s="406"/>
    </row>
    <row r="349" spans="1:7" x14ac:dyDescent="0.2">
      <c r="B349" s="399" t="s">
        <v>809</v>
      </c>
      <c r="C349" s="443">
        <v>3210</v>
      </c>
      <c r="D349" s="443"/>
      <c r="G349" s="406"/>
    </row>
    <row r="350" spans="1:7" x14ac:dyDescent="0.2">
      <c r="B350" s="399" t="s">
        <v>832</v>
      </c>
      <c r="C350" s="443">
        <v>-1110</v>
      </c>
      <c r="D350" s="443"/>
      <c r="G350" s="406"/>
    </row>
    <row r="351" spans="1:7" x14ac:dyDescent="0.2">
      <c r="B351" s="399" t="s">
        <v>926</v>
      </c>
      <c r="C351" s="443">
        <v>-86273</v>
      </c>
      <c r="D351" s="443">
        <v>-494</v>
      </c>
      <c r="G351" s="406"/>
    </row>
    <row r="352" spans="1:7" x14ac:dyDescent="0.2">
      <c r="B352" s="399" t="s">
        <v>927</v>
      </c>
      <c r="C352" s="443">
        <v>-14051</v>
      </c>
      <c r="D352" s="443">
        <v>1539</v>
      </c>
      <c r="G352" s="406"/>
    </row>
    <row r="353" spans="1:11" x14ac:dyDescent="0.2">
      <c r="A353" s="399" t="s">
        <v>834</v>
      </c>
      <c r="B353" s="399" t="s">
        <v>806</v>
      </c>
      <c r="C353" s="443"/>
      <c r="D353" s="443"/>
      <c r="G353" s="406"/>
    </row>
    <row r="354" spans="1:11" x14ac:dyDescent="0.2">
      <c r="B354" s="399" t="s">
        <v>928</v>
      </c>
      <c r="C354" s="443">
        <v>2993129</v>
      </c>
      <c r="D354" s="443"/>
      <c r="G354" s="406"/>
    </row>
    <row r="355" spans="1:11" x14ac:dyDescent="0.2">
      <c r="B355" s="399" t="s">
        <v>831</v>
      </c>
      <c r="C355" s="443">
        <v>476748</v>
      </c>
      <c r="D355" s="443">
        <v>143389</v>
      </c>
      <c r="G355" s="406"/>
    </row>
    <row r="356" spans="1:11" x14ac:dyDescent="0.2">
      <c r="B356" s="399" t="s">
        <v>925</v>
      </c>
      <c r="C356" s="443"/>
      <c r="D356" s="443">
        <v>1391429</v>
      </c>
      <c r="G356" s="406"/>
    </row>
    <row r="357" spans="1:11" x14ac:dyDescent="0.2">
      <c r="B357" s="399" t="s">
        <v>811</v>
      </c>
      <c r="C357" s="443">
        <v>307822</v>
      </c>
      <c r="D357" s="443"/>
      <c r="G357" s="406"/>
    </row>
    <row r="358" spans="1:11" x14ac:dyDescent="0.2">
      <c r="B358" s="399" t="s">
        <v>929</v>
      </c>
      <c r="C358" s="443"/>
      <c r="D358" s="443">
        <v>222762</v>
      </c>
      <c r="G358" s="406"/>
    </row>
    <row r="359" spans="1:11" x14ac:dyDescent="0.2">
      <c r="B359" s="399"/>
      <c r="C359" s="443"/>
      <c r="D359" s="443"/>
      <c r="G359" s="406"/>
    </row>
    <row r="360" spans="1:11" x14ac:dyDescent="0.2">
      <c r="B360" s="399"/>
      <c r="C360" s="443"/>
      <c r="D360" s="443"/>
      <c r="G360" s="406"/>
    </row>
    <row r="361" spans="1:11" x14ac:dyDescent="0.2">
      <c r="A361" s="399"/>
      <c r="B361" s="399"/>
      <c r="C361" s="443"/>
      <c r="D361" s="443"/>
      <c r="G361" s="406"/>
    </row>
    <row r="362" spans="1:11" x14ac:dyDescent="0.2">
      <c r="B362" s="399"/>
      <c r="C362" s="443"/>
      <c r="D362" s="443"/>
      <c r="G362" s="406"/>
    </row>
    <row r="363" spans="1:11" x14ac:dyDescent="0.2">
      <c r="A363" s="399" t="s">
        <v>838</v>
      </c>
      <c r="C363" s="294">
        <f>C314-SUM(C315:C362)</f>
        <v>1922301</v>
      </c>
      <c r="D363" s="294">
        <f>D314-SUM(D315:D362)</f>
        <v>900395</v>
      </c>
      <c r="E363" s="21">
        <f>C363+D363</f>
        <v>2822696</v>
      </c>
      <c r="F363" s="399" t="s">
        <v>839</v>
      </c>
      <c r="G363" s="406"/>
    </row>
    <row r="364" spans="1:11" x14ac:dyDescent="0.2">
      <c r="C364" s="21">
        <f>C314-C363</f>
        <v>16248191</v>
      </c>
      <c r="D364" s="21">
        <f>D314-D363</f>
        <v>7373157</v>
      </c>
      <c r="E364" s="21">
        <f>C364+D364</f>
        <v>23621348</v>
      </c>
      <c r="F364" s="21" t="s">
        <v>840</v>
      </c>
      <c r="G364" s="406"/>
    </row>
    <row r="366" spans="1:11" x14ac:dyDescent="0.2">
      <c r="A366" s="396"/>
      <c r="B366" s="396"/>
      <c r="C366" s="396"/>
      <c r="D366" s="396"/>
      <c r="E366" s="396"/>
      <c r="F366" s="396"/>
      <c r="G366" s="396"/>
      <c r="H366" s="396"/>
      <c r="I366" s="396"/>
      <c r="J366" s="396"/>
      <c r="K366" s="396"/>
    </row>
    <row r="367" spans="1:11" x14ac:dyDescent="0.2">
      <c r="A367" s="21" t="s">
        <v>841</v>
      </c>
      <c r="C367" s="454" t="s">
        <v>436</v>
      </c>
      <c r="D367" s="455" t="s">
        <v>842</v>
      </c>
    </row>
    <row r="368" spans="1:11" x14ac:dyDescent="0.2">
      <c r="D368" s="406"/>
    </row>
    <row r="369" spans="1:8" x14ac:dyDescent="0.2">
      <c r="A369" s="21" t="s">
        <v>843</v>
      </c>
      <c r="H369" s="21" t="s">
        <v>844</v>
      </c>
    </row>
    <row r="370" spans="1:8" x14ac:dyDescent="0.2">
      <c r="A370" s="456" t="s">
        <v>845</v>
      </c>
    </row>
    <row r="371" spans="1:8" ht="25.5" x14ac:dyDescent="0.2">
      <c r="A371" s="456" t="s">
        <v>846</v>
      </c>
      <c r="C371" s="457">
        <v>619339</v>
      </c>
      <c r="D371" s="457">
        <v>307468</v>
      </c>
      <c r="E371" s="21">
        <f t="shared" ref="E371:E372" si="24">C371+D371</f>
        <v>926807</v>
      </c>
      <c r="F371" s="399" t="s">
        <v>847</v>
      </c>
      <c r="H371" s="21" t="s">
        <v>848</v>
      </c>
    </row>
    <row r="372" spans="1:8" ht="25.5" x14ac:dyDescent="0.2">
      <c r="A372" s="456" t="s">
        <v>849</v>
      </c>
      <c r="C372" s="457">
        <v>-564025</v>
      </c>
      <c r="D372" s="457">
        <v>-278673</v>
      </c>
      <c r="E372" s="21">
        <f t="shared" si="24"/>
        <v>-842698</v>
      </c>
      <c r="F372" s="399" t="s">
        <v>850</v>
      </c>
      <c r="H372" s="21" t="s">
        <v>851</v>
      </c>
    </row>
    <row r="373" spans="1:8" x14ac:dyDescent="0.2">
      <c r="A373" s="456"/>
      <c r="C373" s="458"/>
      <c r="D373" s="458"/>
    </row>
    <row r="374" spans="1:8" ht="25.5" x14ac:dyDescent="0.2">
      <c r="A374" s="456" t="s">
        <v>852</v>
      </c>
      <c r="C374" s="458">
        <f>SUM(C371:C372)</f>
        <v>55314</v>
      </c>
      <c r="D374" s="458">
        <f>SUM(D371:D372)</f>
        <v>28795</v>
      </c>
      <c r="E374" s="21">
        <f t="shared" ref="E374" si="25">C374+D374</f>
        <v>84109</v>
      </c>
      <c r="F374" s="399" t="s">
        <v>853</v>
      </c>
    </row>
  </sheetData>
  <pageMargins left="0.7" right="0.7" top="0.75" bottom="0.75" header="0.3" footer="0.3"/>
  <pageSetup scale="42" fitToHeight="1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72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6"/>
      <c r="N1" s="95"/>
      <c r="O1" s="95"/>
      <c r="P1" s="95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6"/>
      <c r="N2" s="95"/>
      <c r="O2" s="95"/>
      <c r="P2" s="9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5"/>
      <c r="O3" s="95"/>
      <c r="P3" s="9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352" t="s">
        <v>918</v>
      </c>
      <c r="K4" s="4"/>
      <c r="L4" s="4"/>
      <c r="M4" s="4"/>
      <c r="N4" s="95"/>
      <c r="O4" s="95"/>
      <c r="P4" s="95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5">
      <c r="A5" s="353" t="s">
        <v>187</v>
      </c>
      <c r="B5" s="1"/>
      <c r="C5" s="2"/>
      <c r="D5" s="131"/>
      <c r="E5" s="1"/>
      <c r="F5" s="9"/>
      <c r="G5" s="9"/>
      <c r="H5" s="9"/>
      <c r="I5" s="2"/>
      <c r="J5" s="286" t="s">
        <v>124</v>
      </c>
      <c r="K5" s="300"/>
      <c r="L5" s="300"/>
      <c r="M5" s="4"/>
      <c r="N5" s="95"/>
      <c r="O5" s="95"/>
      <c r="P5" s="9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5"/>
      <c r="O6" s="95"/>
      <c r="P6" s="9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98"/>
      <c r="O7" s="98"/>
      <c r="P7" s="96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93"/>
      <c r="C8" s="219" t="s">
        <v>18</v>
      </c>
      <c r="D8" s="219" t="s">
        <v>19</v>
      </c>
      <c r="E8" s="219" t="s">
        <v>20</v>
      </c>
      <c r="F8" s="98" t="s">
        <v>0</v>
      </c>
      <c r="G8" s="98"/>
      <c r="H8" s="252" t="s">
        <v>21</v>
      </c>
      <c r="I8" s="98"/>
      <c r="J8" s="253" t="s">
        <v>22</v>
      </c>
      <c r="K8" s="98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/>
      <c r="C9" s="219"/>
      <c r="D9" s="91"/>
      <c r="E9" s="91"/>
      <c r="F9" s="91"/>
      <c r="G9" s="91"/>
      <c r="H9" s="91"/>
      <c r="I9" s="91"/>
      <c r="J9" s="91"/>
      <c r="K9" s="91"/>
      <c r="L9" s="254"/>
      <c r="M9" s="91"/>
      <c r="N9" s="91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x14ac:dyDescent="0.25">
      <c r="A10" s="93" t="s">
        <v>1</v>
      </c>
      <c r="C10" s="96"/>
      <c r="D10" s="255" t="s">
        <v>23</v>
      </c>
      <c r="E10" s="98"/>
      <c r="F10" s="98"/>
      <c r="G10" s="98"/>
      <c r="H10" s="93"/>
      <c r="I10" s="98"/>
      <c r="J10" s="254" t="s">
        <v>24</v>
      </c>
      <c r="K10" s="98"/>
      <c r="L10" s="254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6.5" thickBot="1" x14ac:dyDescent="0.3">
      <c r="A11" s="185" t="s">
        <v>3</v>
      </c>
      <c r="C11" s="96"/>
      <c r="D11" s="256" t="s">
        <v>25</v>
      </c>
      <c r="E11" s="254" t="s">
        <v>26</v>
      </c>
      <c r="F11" s="257"/>
      <c r="G11" s="258" t="s">
        <v>7</v>
      </c>
      <c r="H11" s="259"/>
      <c r="I11" s="257"/>
      <c r="J11" s="260" t="s">
        <v>28</v>
      </c>
      <c r="K11" s="98"/>
      <c r="L11" s="254"/>
      <c r="M11" s="261"/>
      <c r="N11" s="254"/>
      <c r="O11" s="98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C12" s="96"/>
      <c r="D12" s="98"/>
      <c r="E12" s="262"/>
      <c r="F12" s="263"/>
      <c r="G12" s="264"/>
      <c r="I12" s="263"/>
      <c r="J12" s="262"/>
      <c r="K12" s="98"/>
      <c r="L12" s="98"/>
      <c r="M12" s="98"/>
      <c r="N12" s="98"/>
      <c r="O12" s="98"/>
      <c r="P12" s="97"/>
      <c r="Q12" s="265"/>
      <c r="R12" s="97"/>
      <c r="S12" s="97"/>
      <c r="T12" s="97"/>
      <c r="U12" s="97"/>
      <c r="V12" s="232"/>
      <c r="W12" s="97"/>
      <c r="X12" s="266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x14ac:dyDescent="0.25">
      <c r="A13" s="93"/>
      <c r="C13" s="96" t="s">
        <v>55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99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1</v>
      </c>
      <c r="C14" s="209" t="s">
        <v>24</v>
      </c>
      <c r="D14" s="267" t="s">
        <v>385</v>
      </c>
      <c r="E14" s="187">
        <f>'OATT Input Data'!E176</f>
        <v>44727255.659999996</v>
      </c>
      <c r="F14" s="98"/>
      <c r="G14" s="98" t="s">
        <v>53</v>
      </c>
      <c r="H14" s="215">
        <f>'PTP Pg 4 of 5'!$J$25</f>
        <v>0.86341000000000001</v>
      </c>
      <c r="I14" s="98"/>
      <c r="J14" s="187">
        <f>ROUND(E14*H14,0)</f>
        <v>38617960</v>
      </c>
      <c r="K14" s="95"/>
      <c r="L14" s="98"/>
      <c r="M14" s="98"/>
      <c r="N14" s="98"/>
      <c r="O14" s="199"/>
      <c r="P14" s="186"/>
      <c r="Q14" s="18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>
        <v>2</v>
      </c>
      <c r="C15" s="209" t="s">
        <v>198</v>
      </c>
      <c r="D15" s="268" t="s">
        <v>274</v>
      </c>
      <c r="E15" s="188">
        <f>'OATT Input Data'!E177*-1</f>
        <v>-4284886</v>
      </c>
      <c r="F15" s="98"/>
      <c r="G15" s="98" t="s">
        <v>0</v>
      </c>
      <c r="H15" s="215">
        <v>1</v>
      </c>
      <c r="I15" s="98"/>
      <c r="J15" s="188">
        <f>ROUND(E15*H15,0)</f>
        <v>-4284886</v>
      </c>
      <c r="K15" s="95"/>
      <c r="L15" s="98"/>
      <c r="M15" s="98"/>
      <c r="N15" s="98"/>
      <c r="O15" s="200"/>
      <c r="P15" s="186"/>
      <c r="Q15" s="186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3</v>
      </c>
      <c r="C16" s="96" t="s">
        <v>56</v>
      </c>
      <c r="D16" s="268" t="s">
        <v>275</v>
      </c>
      <c r="E16" s="188">
        <f>'OATT Input Data'!E179</f>
        <v>185335907</v>
      </c>
      <c r="F16" s="98"/>
      <c r="G16" s="98" t="s">
        <v>36</v>
      </c>
      <c r="H16" s="215">
        <f>'PTP Pg 4 of 5'!$J$33</f>
        <v>6.2399999999999997E-2</v>
      </c>
      <c r="I16" s="98"/>
      <c r="J16" s="188">
        <f t="shared" ref="J16:J21" si="0">ROUND(E16*H16,0)</f>
        <v>11564961</v>
      </c>
      <c r="K16" s="98"/>
      <c r="L16" s="98" t="s">
        <v>0</v>
      </c>
      <c r="M16" s="98"/>
      <c r="N16" s="98"/>
      <c r="O16" s="200"/>
      <c r="P16" s="186"/>
      <c r="Q16" s="186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>
        <v>4</v>
      </c>
      <c r="C17" s="209" t="s">
        <v>200</v>
      </c>
      <c r="D17" s="268" t="s">
        <v>276</v>
      </c>
      <c r="E17" s="188">
        <f>'OATT Input Data'!E181*-1</f>
        <v>-593008</v>
      </c>
      <c r="F17" s="98"/>
      <c r="G17" s="98" t="str">
        <f>+G16</f>
        <v>W/S</v>
      </c>
      <c r="H17" s="215">
        <f>'PTP Pg 4 of 5'!$J$33</f>
        <v>6.2399999999999997E-2</v>
      </c>
      <c r="I17" s="98"/>
      <c r="J17" s="188">
        <f t="shared" si="0"/>
        <v>-37004</v>
      </c>
      <c r="K17" s="98"/>
      <c r="L17" s="98"/>
      <c r="M17" s="98"/>
      <c r="N17" s="98"/>
      <c r="O17" s="200"/>
      <c r="P17" s="186"/>
      <c r="Q17" s="186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31.5" x14ac:dyDescent="0.25">
      <c r="A18" s="362">
        <v>5</v>
      </c>
      <c r="C18" s="331" t="s">
        <v>279</v>
      </c>
      <c r="D18" s="363" t="s">
        <v>277</v>
      </c>
      <c r="E18" s="188">
        <f>'OATT Input Data'!E187*-1</f>
        <v>-8074403</v>
      </c>
      <c r="F18" s="364"/>
      <c r="G18" s="364" t="str">
        <f>+G17</f>
        <v>W/S</v>
      </c>
      <c r="H18" s="365">
        <f>'PTP Pg 4 of 5'!$J$33</f>
        <v>6.2399999999999997E-2</v>
      </c>
      <c r="I18" s="364"/>
      <c r="J18" s="188">
        <f t="shared" si="0"/>
        <v>-503843</v>
      </c>
      <c r="K18" s="98"/>
      <c r="L18" s="98"/>
      <c r="M18" s="98"/>
      <c r="N18" s="98"/>
      <c r="O18" s="96"/>
      <c r="P18" s="186"/>
      <c r="Q18" s="186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304" t="s">
        <v>278</v>
      </c>
      <c r="D19" s="306" t="s">
        <v>277</v>
      </c>
      <c r="E19" s="188">
        <f>'OATT Input Data'!E188</f>
        <v>315889</v>
      </c>
      <c r="F19" s="98"/>
      <c r="G19" s="269" t="str">
        <f>+G14</f>
        <v>TE</v>
      </c>
      <c r="H19" s="215">
        <f>'PTP Pg 4 of 5'!$J$25</f>
        <v>0.86341000000000001</v>
      </c>
      <c r="I19" s="98"/>
      <c r="J19" s="188">
        <f t="shared" si="0"/>
        <v>272742</v>
      </c>
      <c r="K19" s="98"/>
      <c r="L19" s="98"/>
      <c r="M19" s="98"/>
      <c r="O19" s="219"/>
      <c r="P19" s="186"/>
      <c r="Q19" s="18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x14ac:dyDescent="0.25">
      <c r="A20" s="93">
        <v>7</v>
      </c>
      <c r="C20" s="96" t="s">
        <v>43</v>
      </c>
      <c r="D20" s="268" t="s">
        <v>179</v>
      </c>
      <c r="E20" s="549">
        <f>'OATT Input Data'!E189</f>
        <v>0</v>
      </c>
      <c r="F20" s="98"/>
      <c r="G20" s="98" t="s">
        <v>38</v>
      </c>
      <c r="H20" s="215">
        <f>'PTP Pg 4 of 5'!$J$41</f>
        <v>5.799E-2</v>
      </c>
      <c r="I20" s="98"/>
      <c r="J20" s="549">
        <f t="shared" si="0"/>
        <v>0</v>
      </c>
      <c r="K20" s="98"/>
      <c r="L20" s="98"/>
      <c r="M20" s="98"/>
      <c r="N20" s="98"/>
      <c r="O20" s="219"/>
      <c r="P20" s="186"/>
      <c r="Q20" s="186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18" x14ac:dyDescent="0.4">
      <c r="A21" s="93">
        <v>8</v>
      </c>
      <c r="C21" s="96" t="s">
        <v>199</v>
      </c>
      <c r="D21" s="98"/>
      <c r="E21" s="550">
        <f>'OATT Input Data'!E190</f>
        <v>0</v>
      </c>
      <c r="F21" s="98"/>
      <c r="G21" s="98" t="s">
        <v>0</v>
      </c>
      <c r="H21" s="215">
        <v>1</v>
      </c>
      <c r="I21" s="98"/>
      <c r="J21" s="550">
        <f t="shared" si="0"/>
        <v>0</v>
      </c>
      <c r="K21" s="98"/>
      <c r="L21" s="98"/>
      <c r="M21" s="98"/>
      <c r="N21" s="98"/>
      <c r="O21" s="219"/>
      <c r="P21" s="186"/>
      <c r="Q21" s="18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>
        <v>9</v>
      </c>
      <c r="C22" s="209" t="s">
        <v>197</v>
      </c>
      <c r="D22" s="303" t="s">
        <v>322</v>
      </c>
      <c r="E22" s="270">
        <f>ROUND(SUM(E14:E21),0)</f>
        <v>217426755</v>
      </c>
      <c r="F22" s="98"/>
      <c r="G22" s="98"/>
      <c r="H22" s="98"/>
      <c r="I22" s="98"/>
      <c r="J22" s="270">
        <f>ROUND(SUM(J14:J21),0)</f>
        <v>45629930</v>
      </c>
      <c r="K22" s="98"/>
      <c r="L22" s="98"/>
      <c r="M22" s="98"/>
      <c r="N22" s="271"/>
      <c r="O22" s="98"/>
      <c r="P22" s="96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/>
      <c r="D23" s="98"/>
      <c r="E23" s="272"/>
      <c r="F23" s="98"/>
      <c r="G23" s="98"/>
      <c r="H23" s="98"/>
      <c r="I23" s="98"/>
      <c r="J23" s="272"/>
      <c r="K23" s="98"/>
      <c r="L23" s="98"/>
      <c r="M23" s="98"/>
      <c r="N23" s="98"/>
      <c r="O23" s="98"/>
      <c r="P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/>
      <c r="C24" s="209" t="s">
        <v>417</v>
      </c>
      <c r="D24" s="305" t="s">
        <v>252</v>
      </c>
      <c r="E24" s="272"/>
      <c r="F24" s="98"/>
      <c r="G24" s="98"/>
      <c r="H24" s="98"/>
      <c r="I24" s="98"/>
      <c r="J24" s="272"/>
      <c r="K24" s="98"/>
      <c r="L24" s="98"/>
      <c r="M24" s="98"/>
      <c r="N24" s="98"/>
      <c r="O24" s="98"/>
      <c r="P24" s="96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10</v>
      </c>
      <c r="C25" s="359" t="s">
        <v>415</v>
      </c>
      <c r="D25" s="303" t="s">
        <v>194</v>
      </c>
      <c r="E25" s="187">
        <f>'OATT Input Data'!$E$193</f>
        <v>20383429.07</v>
      </c>
      <c r="F25" s="98"/>
      <c r="G25" s="98" t="s">
        <v>9</v>
      </c>
      <c r="H25" s="215">
        <f>'PTP Pg 4 of 5'!$J$24</f>
        <v>0.95489000000000002</v>
      </c>
      <c r="I25" s="98"/>
      <c r="J25" s="187">
        <f t="shared" ref="J25" si="1">ROUND(H25*E25,0)</f>
        <v>19463933</v>
      </c>
      <c r="K25" s="98"/>
      <c r="L25" s="221"/>
      <c r="M25" s="98"/>
      <c r="N25" s="98"/>
      <c r="O25" s="219"/>
      <c r="P25" s="96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>
        <v>11</v>
      </c>
      <c r="C26" s="359" t="s">
        <v>400</v>
      </c>
      <c r="D26" s="303" t="s">
        <v>195</v>
      </c>
      <c r="E26" s="188">
        <f>'OATT Input Data'!$E$196</f>
        <v>19864914.129999999</v>
      </c>
      <c r="F26" s="98"/>
      <c r="G26" s="98" t="s">
        <v>36</v>
      </c>
      <c r="H26" s="215">
        <f>'PTP Pg 4 of 5'!$J$33</f>
        <v>6.2399999999999997E-2</v>
      </c>
      <c r="I26" s="98"/>
      <c r="J26" s="188">
        <f>ROUND(H26*E26,0)</f>
        <v>1239571</v>
      </c>
      <c r="K26" s="98"/>
      <c r="L26" s="221"/>
      <c r="M26" s="98"/>
      <c r="N26" s="210"/>
      <c r="O26" s="219"/>
      <c r="P26" s="96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>
        <v>12</v>
      </c>
      <c r="C27" s="359" t="s">
        <v>416</v>
      </c>
      <c r="D27" s="303" t="s">
        <v>196</v>
      </c>
      <c r="E27" s="218">
        <f>'OATT Input Data'!$E$197</f>
        <v>10805212.129999999</v>
      </c>
      <c r="F27" s="98"/>
      <c r="G27" s="98" t="s">
        <v>38</v>
      </c>
      <c r="H27" s="215">
        <f>'PTP Pg 4 of 5'!$J$41</f>
        <v>5.799E-2</v>
      </c>
      <c r="I27" s="98"/>
      <c r="J27" s="218">
        <f t="shared" ref="J27" si="2">ROUND(H27*E27,0)</f>
        <v>626594</v>
      </c>
      <c r="K27" s="98"/>
      <c r="L27" s="221"/>
      <c r="M27" s="98"/>
      <c r="N27" s="210"/>
      <c r="O27" s="219"/>
      <c r="P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>
        <v>13</v>
      </c>
      <c r="C28" s="209" t="s">
        <v>201</v>
      </c>
      <c r="D28" s="303" t="s">
        <v>336</v>
      </c>
      <c r="E28" s="270">
        <f>ROUND(SUM(E25:E27),0)</f>
        <v>51053555</v>
      </c>
      <c r="F28" s="98"/>
      <c r="G28" s="98"/>
      <c r="H28" s="98"/>
      <c r="I28" s="98"/>
      <c r="J28" s="270">
        <f>ROUND(SUM(J25:J27),0)</f>
        <v>21330098</v>
      </c>
      <c r="K28" s="98"/>
      <c r="L28" s="98"/>
      <c r="M28" s="98"/>
      <c r="N28" s="98"/>
      <c r="O28" s="98"/>
      <c r="P28" s="96"/>
      <c r="U28" s="273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/>
      <c r="C29" s="96"/>
      <c r="D29" s="98"/>
      <c r="E29" s="272"/>
      <c r="F29" s="98"/>
      <c r="G29" s="98"/>
      <c r="H29" s="98"/>
      <c r="I29" s="98"/>
      <c r="J29" s="272"/>
      <c r="K29" s="98"/>
      <c r="L29" s="98"/>
      <c r="M29" s="98"/>
      <c r="N29" s="98"/>
      <c r="O29" s="98"/>
      <c r="P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 t="s">
        <v>0</v>
      </c>
      <c r="C30" s="209" t="s">
        <v>281</v>
      </c>
      <c r="D30" s="127" t="s">
        <v>303</v>
      </c>
      <c r="E30" s="272"/>
      <c r="F30" s="98"/>
      <c r="G30" s="98"/>
      <c r="H30" s="98"/>
      <c r="I30" s="98"/>
      <c r="J30" s="272"/>
      <c r="K30" s="98"/>
      <c r="L30" s="98"/>
      <c r="M30" s="98"/>
      <c r="N30" s="98"/>
      <c r="O30" s="98"/>
      <c r="P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/>
      <c r="C31" s="96" t="s">
        <v>57</v>
      </c>
      <c r="D31" s="127"/>
      <c r="E31" s="272"/>
      <c r="F31" s="98"/>
      <c r="G31" s="98"/>
      <c r="I31" s="98"/>
      <c r="J31" s="272"/>
      <c r="K31" s="98"/>
      <c r="L31" s="221"/>
      <c r="M31" s="98"/>
      <c r="N31" s="207"/>
      <c r="O31" s="219"/>
      <c r="P31" s="9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x14ac:dyDescent="0.25">
      <c r="A32" s="93">
        <v>14</v>
      </c>
      <c r="C32" s="360" t="s">
        <v>59</v>
      </c>
      <c r="D32" s="305" t="s">
        <v>58</v>
      </c>
      <c r="E32" s="187">
        <f>'OATT Input Data'!$E$208</f>
        <v>15632079</v>
      </c>
      <c r="F32" s="98"/>
      <c r="G32" s="98" t="s">
        <v>36</v>
      </c>
      <c r="H32" s="215">
        <f>'PTP Pg 4 of 5'!$J$33</f>
        <v>6.2399999999999997E-2</v>
      </c>
      <c r="I32" s="98"/>
      <c r="J32" s="187">
        <f>ROUND(H32*E32,0)</f>
        <v>975442</v>
      </c>
      <c r="K32" s="98"/>
      <c r="L32" s="221"/>
      <c r="M32" s="98"/>
      <c r="N32" s="207"/>
      <c r="P32" s="219"/>
      <c r="Q32" s="219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15</v>
      </c>
      <c r="C33" s="360" t="s">
        <v>391</v>
      </c>
      <c r="D33" s="305" t="s">
        <v>58</v>
      </c>
      <c r="E33" s="549">
        <f>'OATT Input Data'!$E$209</f>
        <v>0</v>
      </c>
      <c r="F33" s="98"/>
      <c r="G33" s="98" t="str">
        <f>+G32</f>
        <v>W/S</v>
      </c>
      <c r="H33" s="215">
        <f>'PTP Pg 4 of 5'!$J$33</f>
        <v>6.2399999999999997E-2</v>
      </c>
      <c r="I33" s="98"/>
      <c r="J33" s="549">
        <f>ROUND(H33*E33,0)</f>
        <v>0</v>
      </c>
      <c r="K33" s="98"/>
      <c r="L33" s="221"/>
      <c r="M33" s="98"/>
      <c r="N33" s="207"/>
      <c r="P33" s="186"/>
      <c r="Q33" s="18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>
        <v>16</v>
      </c>
      <c r="C34" s="96" t="s">
        <v>60</v>
      </c>
      <c r="D34" s="305" t="s">
        <v>0</v>
      </c>
      <c r="E34" s="272"/>
      <c r="F34" s="98"/>
      <c r="G34" s="98"/>
      <c r="I34" s="98"/>
      <c r="J34" s="272"/>
      <c r="K34" s="98"/>
      <c r="L34" s="221"/>
      <c r="M34" s="98"/>
      <c r="N34" s="207"/>
      <c r="P34" s="186"/>
      <c r="Q34" s="18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>
        <v>17</v>
      </c>
      <c r="C35" s="360" t="s">
        <v>61</v>
      </c>
      <c r="D35" s="305" t="s">
        <v>58</v>
      </c>
      <c r="E35" s="188">
        <f>'OATT Input Data'!$E$211</f>
        <v>41409511</v>
      </c>
      <c r="F35" s="98"/>
      <c r="G35" s="98" t="s">
        <v>54</v>
      </c>
      <c r="H35" s="225">
        <f>'PTP Pg 2 of 5'!$H$19</f>
        <v>8.7929999999999994E-2</v>
      </c>
      <c r="I35" s="98"/>
      <c r="J35" s="188">
        <f>ROUND(H35*E35,0)</f>
        <v>3641138</v>
      </c>
      <c r="K35" s="98"/>
      <c r="L35" s="221"/>
      <c r="M35" s="98"/>
      <c r="N35" s="207"/>
      <c r="P35" s="186"/>
      <c r="Q35" s="18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>
        <v>18</v>
      </c>
      <c r="C36" s="360" t="s">
        <v>41</v>
      </c>
      <c r="D36" s="305" t="s">
        <v>58</v>
      </c>
      <c r="E36" s="188">
        <f>'OATT Input Data'!$E$217</f>
        <v>4698828</v>
      </c>
      <c r="F36" s="98"/>
      <c r="G36" s="98" t="str">
        <f>+G35</f>
        <v>GP</v>
      </c>
      <c r="H36" s="225">
        <f>'PTP Pg 2 of 5'!$H$19</f>
        <v>8.7929999999999994E-2</v>
      </c>
      <c r="I36" s="98"/>
      <c r="J36" s="188">
        <f>ROUND(H36*E36,0)</f>
        <v>413168</v>
      </c>
      <c r="K36" s="98"/>
      <c r="L36" s="221"/>
      <c r="M36" s="98"/>
      <c r="P36" s="201"/>
      <c r="Q36" s="201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19</v>
      </c>
      <c r="C37" s="360" t="s">
        <v>392</v>
      </c>
      <c r="D37" s="98"/>
      <c r="E37" s="551">
        <v>0</v>
      </c>
      <c r="F37" s="98"/>
      <c r="G37" s="98" t="s">
        <v>54</v>
      </c>
      <c r="H37" s="225">
        <f>'PTP Pg 2 of 5'!$H$19</f>
        <v>8.7929999999999994E-2</v>
      </c>
      <c r="I37" s="98"/>
      <c r="J37" s="551">
        <f>ROUND(H37*E37,0)</f>
        <v>0</v>
      </c>
      <c r="K37" s="98"/>
      <c r="L37" s="221"/>
      <c r="M37" s="98"/>
      <c r="N37" s="207"/>
      <c r="O37" s="207"/>
      <c r="P37" s="186"/>
      <c r="Q37" s="18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20</v>
      </c>
      <c r="C38" s="209" t="s">
        <v>202</v>
      </c>
      <c r="D38" s="303" t="s">
        <v>411</v>
      </c>
      <c r="E38" s="270">
        <f>ROUND(SUM(E32:E37),0)</f>
        <v>61740418</v>
      </c>
      <c r="F38" s="98"/>
      <c r="G38" s="98"/>
      <c r="H38" s="225"/>
      <c r="I38" s="98"/>
      <c r="J38" s="270">
        <f>ROUND(SUM(J32:J37),0)</f>
        <v>5029748</v>
      </c>
      <c r="K38" s="98"/>
      <c r="L38" s="98"/>
      <c r="M38" s="98"/>
      <c r="N38" s="192"/>
      <c r="O38" s="233"/>
      <c r="P38" s="186"/>
      <c r="Q38" s="18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5">
      <c r="A39" s="93"/>
      <c r="C39" s="96"/>
      <c r="D39" s="98"/>
      <c r="E39" s="272"/>
      <c r="F39" s="98"/>
      <c r="G39" s="98"/>
      <c r="H39" s="225"/>
      <c r="I39" s="98"/>
      <c r="J39" s="272"/>
      <c r="K39" s="98"/>
      <c r="L39" s="98"/>
      <c r="M39" s="98"/>
      <c r="N39" s="96"/>
      <c r="P39" s="219"/>
      <c r="Q39" s="219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 t="s">
        <v>62</v>
      </c>
      <c r="C40" s="96"/>
      <c r="D40" s="98"/>
      <c r="E40" s="272"/>
      <c r="F40" s="98"/>
      <c r="G40" s="98"/>
      <c r="H40" s="225"/>
      <c r="I40" s="98"/>
      <c r="J40" s="272"/>
      <c r="K40" s="98"/>
      <c r="L40" s="98"/>
      <c r="M40" s="98"/>
      <c r="N40" s="98"/>
      <c r="P40" s="219"/>
      <c r="Q40" s="219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 t="s">
        <v>0</v>
      </c>
      <c r="C41" s="209" t="s">
        <v>307</v>
      </c>
      <c r="D41" s="305" t="s">
        <v>305</v>
      </c>
      <c r="E41" s="272"/>
      <c r="F41" s="98"/>
      <c r="H41" s="220"/>
      <c r="I41" s="98"/>
      <c r="J41" s="272"/>
      <c r="K41" s="98"/>
      <c r="M41" s="98"/>
      <c r="N41" s="214"/>
      <c r="P41" s="219"/>
      <c r="Q41" s="219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>
        <v>21</v>
      </c>
      <c r="C42" s="341" t="s">
        <v>401</v>
      </c>
      <c r="D42" s="98"/>
      <c r="E42" s="275">
        <f>IF('OATT Input Data'!$B$221&gt;0,1-(((1-'OATT Input Data'!$B$222)*(1-'OATT Input Data'!$B$221))/(1-'OATT Input Data'!$B$222*'OATT Input Data'!$B$221*'OATT Input Data'!$B$223)),0)</f>
        <v>0.38900000000000001</v>
      </c>
      <c r="F42" s="98"/>
      <c r="H42" s="220"/>
      <c r="I42" s="98"/>
      <c r="J42" s="272"/>
      <c r="K42" s="98"/>
      <c r="M42" s="98"/>
      <c r="N42" s="98"/>
      <c r="P42" s="219"/>
      <c r="Q42" s="219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>
        <v>22</v>
      </c>
      <c r="C43" s="342" t="s">
        <v>402</v>
      </c>
      <c r="D43" s="98"/>
      <c r="E43" s="275">
        <f>IF('PTP Pg 4 of 5'!$J$56&gt;0,ROUND((E42/(1-E42))*(1-'PTP Pg 4 of 5'!$J$53/'PTP Pg 4 of 5'!$J$56),4),0)</f>
        <v>0.50680000000000003</v>
      </c>
      <c r="F43" s="98"/>
      <c r="H43" s="220"/>
      <c r="I43" s="98"/>
      <c r="J43" s="272"/>
      <c r="K43" s="98"/>
      <c r="M43" s="98"/>
      <c r="N43" s="98"/>
      <c r="O43" s="255"/>
      <c r="P43" s="219"/>
      <c r="Q43" s="219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/>
      <c r="C44" s="340" t="s">
        <v>337</v>
      </c>
      <c r="D44" s="303" t="s">
        <v>333</v>
      </c>
      <c r="E44" s="349">
        <f>'PTP Pg 4 of 5'!J53</f>
        <v>1.5599999999999999E-2</v>
      </c>
      <c r="F44" s="98"/>
      <c r="H44" s="220"/>
      <c r="I44" s="98"/>
      <c r="J44" s="272"/>
      <c r="K44" s="98"/>
      <c r="M44" s="98"/>
      <c r="O44" s="97"/>
      <c r="P44" s="186"/>
      <c r="Q44" s="97"/>
      <c r="R44" s="97"/>
      <c r="S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/>
      <c r="C45" s="340" t="s">
        <v>338</v>
      </c>
      <c r="D45" s="303" t="s">
        <v>334</v>
      </c>
      <c r="E45" s="349">
        <f>'PTP Pg 4 of 5'!J56</f>
        <v>7.6500000009999999E-2</v>
      </c>
      <c r="F45" s="98"/>
      <c r="H45" s="220"/>
      <c r="I45" s="98"/>
      <c r="J45" s="188"/>
      <c r="K45" s="98"/>
      <c r="M45" s="98"/>
      <c r="N45" s="98"/>
      <c r="O45" s="192"/>
      <c r="P45" s="186"/>
      <c r="Q45" s="97"/>
      <c r="R45" s="97"/>
      <c r="S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C46" s="340" t="s">
        <v>306</v>
      </c>
      <c r="D46" s="305" t="s">
        <v>305</v>
      </c>
      <c r="E46" s="272"/>
      <c r="F46" s="98"/>
      <c r="H46" s="220"/>
      <c r="I46" s="98"/>
      <c r="J46" s="188"/>
      <c r="K46" s="98"/>
      <c r="M46" s="98"/>
      <c r="N46" s="98"/>
      <c r="O46" s="192"/>
      <c r="P46" s="186"/>
      <c r="Q46" s="97"/>
      <c r="R46" s="97"/>
      <c r="S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23</v>
      </c>
      <c r="C47" s="274" t="s">
        <v>308</v>
      </c>
      <c r="D47" s="303" t="s">
        <v>381</v>
      </c>
      <c r="E47" s="369">
        <f>IF(E42&gt;0,ROUND(1/(1-E42),8),0)</f>
        <v>1.63666121</v>
      </c>
      <c r="F47" s="98"/>
      <c r="H47" s="220"/>
      <c r="I47" s="98"/>
      <c r="J47" s="188"/>
      <c r="K47" s="98"/>
      <c r="M47" s="98"/>
      <c r="N47" s="98"/>
      <c r="O47" s="192"/>
      <c r="P47" s="276"/>
      <c r="Q47" s="276"/>
      <c r="R47" s="97"/>
      <c r="S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24</v>
      </c>
      <c r="C48" s="209" t="s">
        <v>309</v>
      </c>
      <c r="D48" s="303" t="s">
        <v>393</v>
      </c>
      <c r="E48" s="549">
        <v>0</v>
      </c>
      <c r="F48" s="98"/>
      <c r="H48" s="220"/>
      <c r="I48" s="98"/>
      <c r="J48" s="188"/>
      <c r="K48" s="98"/>
      <c r="M48" s="98"/>
      <c r="N48" s="98"/>
      <c r="O48" s="192"/>
      <c r="P48" s="186"/>
      <c r="Q48" s="186"/>
      <c r="R48" s="97"/>
      <c r="S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50" x14ac:dyDescent="0.25">
      <c r="A49" s="93"/>
      <c r="C49" s="96"/>
      <c r="D49" s="98"/>
      <c r="E49" s="272"/>
      <c r="F49" s="98"/>
      <c r="H49" s="220"/>
      <c r="I49" s="98"/>
      <c r="J49" s="188"/>
      <c r="K49" s="98"/>
      <c r="M49" s="98"/>
      <c r="N49" s="98"/>
      <c r="O49" s="192"/>
      <c r="P49" s="192"/>
      <c r="Q49" s="97"/>
      <c r="R49" s="97"/>
      <c r="S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50" x14ac:dyDescent="0.25">
      <c r="A50" s="93">
        <v>25</v>
      </c>
      <c r="C50" s="274" t="s">
        <v>311</v>
      </c>
      <c r="D50" s="350" t="s">
        <v>412</v>
      </c>
      <c r="E50" s="270">
        <f>ROUND(E43*E54,0)</f>
        <v>235121288</v>
      </c>
      <c r="F50" s="98"/>
      <c r="G50" s="98"/>
      <c r="H50" s="225"/>
      <c r="I50" s="98"/>
      <c r="J50" s="187">
        <f>ROUND(E43*J54,0)</f>
        <v>19496266</v>
      </c>
      <c r="K50" s="98"/>
      <c r="L50" s="277" t="s">
        <v>0</v>
      </c>
      <c r="M50" s="98"/>
      <c r="N50" s="98"/>
      <c r="O50" s="192"/>
      <c r="P50" s="192"/>
      <c r="Q50" s="97"/>
      <c r="R50" s="97"/>
      <c r="S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50" ht="18" x14ac:dyDescent="0.4">
      <c r="A51" s="93">
        <v>26</v>
      </c>
      <c r="C51" s="241" t="s">
        <v>312</v>
      </c>
      <c r="D51" s="350" t="s">
        <v>413</v>
      </c>
      <c r="E51" s="552">
        <f>ROUND(E47*E48,0)</f>
        <v>0</v>
      </c>
      <c r="F51" s="98"/>
      <c r="G51" s="89" t="s">
        <v>46</v>
      </c>
      <c r="H51" s="225">
        <f>'PTP Pg 2 of 5'!$H$35</f>
        <v>8.2869999999999999E-2</v>
      </c>
      <c r="I51" s="98"/>
      <c r="J51" s="550">
        <f>ROUND(H53*E53,0)</f>
        <v>0</v>
      </c>
      <c r="K51" s="98"/>
      <c r="L51" s="277"/>
      <c r="M51" s="98"/>
      <c r="N51" s="98"/>
      <c r="O51" s="192"/>
      <c r="P51" s="192"/>
      <c r="Q51" s="97"/>
      <c r="R51" s="97"/>
      <c r="S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50" x14ac:dyDescent="0.25">
      <c r="A52" s="93">
        <v>27</v>
      </c>
      <c r="C52" s="278" t="s">
        <v>63</v>
      </c>
      <c r="D52" s="339" t="s">
        <v>414</v>
      </c>
      <c r="E52" s="279">
        <f>E50+E51</f>
        <v>235121288</v>
      </c>
      <c r="F52" s="98"/>
      <c r="G52" s="98" t="s">
        <v>0</v>
      </c>
      <c r="H52" s="225" t="s">
        <v>0</v>
      </c>
      <c r="I52" s="98"/>
      <c r="J52" s="279">
        <f>J50+J51</f>
        <v>19496266</v>
      </c>
      <c r="K52" s="98"/>
      <c r="L52" s="98"/>
      <c r="M52" s="98"/>
      <c r="N52" s="98"/>
      <c r="O52" s="98"/>
      <c r="P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50" x14ac:dyDescent="0.25">
      <c r="A53" s="93" t="s">
        <v>0</v>
      </c>
      <c r="D53" s="280"/>
      <c r="E53" s="272"/>
      <c r="F53" s="98"/>
      <c r="G53" s="98"/>
      <c r="H53" s="225"/>
      <c r="I53" s="98"/>
      <c r="J53" s="188"/>
      <c r="K53" s="98"/>
      <c r="L53" s="98"/>
      <c r="M53" s="98"/>
      <c r="N53" s="98"/>
      <c r="O53" s="98"/>
      <c r="P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50" ht="18" x14ac:dyDescent="0.4">
      <c r="A54" s="93">
        <v>28</v>
      </c>
      <c r="C54" s="209" t="s">
        <v>310</v>
      </c>
      <c r="D54" s="339" t="s">
        <v>339</v>
      </c>
      <c r="E54" s="281">
        <f>ROUND('PTP Pg 4 of 5'!$J$56*'PTP Pg 2 of 5'!$E$57,0)</f>
        <v>463933086</v>
      </c>
      <c r="F54" s="98"/>
      <c r="G54" s="98"/>
      <c r="H54" s="220"/>
      <c r="I54" s="98"/>
      <c r="J54" s="281">
        <f>ROUND('PTP Pg 4 of 5'!$J$56*'PTP Pg 2 of 5'!$J$57,0)</f>
        <v>38469348</v>
      </c>
      <c r="K54" s="98"/>
      <c r="M54" s="98"/>
      <c r="N54" s="98"/>
      <c r="O54" s="219"/>
      <c r="P54" s="98" t="s">
        <v>0</v>
      </c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50" x14ac:dyDescent="0.25">
      <c r="A55" s="93"/>
      <c r="C55" s="96"/>
      <c r="E55" s="272"/>
      <c r="F55" s="98"/>
      <c r="G55" s="98"/>
      <c r="H55" s="220"/>
      <c r="I55" s="98"/>
      <c r="J55" s="188"/>
      <c r="K55" s="98"/>
      <c r="L55" s="221"/>
      <c r="M55" s="98"/>
      <c r="N55" s="98"/>
      <c r="O55" s="219"/>
      <c r="P55" s="98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50" ht="18" x14ac:dyDescent="0.4">
      <c r="A56" s="93">
        <v>29</v>
      </c>
      <c r="C56" s="209" t="s">
        <v>203</v>
      </c>
      <c r="D56" s="303" t="s">
        <v>409</v>
      </c>
      <c r="E56" s="287">
        <f>ROUND(E54+E52+E38+E28+E22,0)</f>
        <v>1029275102</v>
      </c>
      <c r="F56" s="98"/>
      <c r="G56" s="98"/>
      <c r="H56" s="98"/>
      <c r="I56" s="98"/>
      <c r="J56" s="287">
        <f>ROUND(J54+J52+J38+J28+J22,0)</f>
        <v>129955390</v>
      </c>
      <c r="K56" s="95"/>
      <c r="L56" s="95"/>
      <c r="M56" s="95"/>
      <c r="N56" s="95"/>
      <c r="O56" s="95"/>
      <c r="P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50" x14ac:dyDescent="0.25">
      <c r="Q57" s="127"/>
      <c r="R57" s="127"/>
      <c r="S57" s="12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1:50" x14ac:dyDescent="0.25">
      <c r="Q58" s="127"/>
      <c r="R58" s="127"/>
      <c r="S58" s="12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1:50" x14ac:dyDescent="0.25">
      <c r="Q59" s="127"/>
      <c r="R59" s="127"/>
      <c r="S59" s="12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1:50" x14ac:dyDescent="0.25">
      <c r="Q60" s="127"/>
      <c r="R60" s="127"/>
      <c r="S60" s="12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1:50" x14ac:dyDescent="0.25">
      <c r="Q61" s="127"/>
      <c r="R61" s="127"/>
      <c r="S61" s="12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1:50" x14ac:dyDescent="0.25">
      <c r="Q62" s="127"/>
      <c r="R62" s="127"/>
      <c r="S62" s="12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1:50" x14ac:dyDescent="0.25">
      <c r="Q63" s="127"/>
      <c r="R63" s="127"/>
      <c r="S63" s="12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1:50" x14ac:dyDescent="0.25">
      <c r="Q64" s="127"/>
      <c r="R64" s="127"/>
      <c r="S64" s="12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17:50" x14ac:dyDescent="0.25">
      <c r="Q65" s="127"/>
      <c r="R65" s="127"/>
      <c r="S65" s="12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7:50" x14ac:dyDescent="0.25">
      <c r="Q66" s="127"/>
      <c r="R66" s="127"/>
      <c r="S66" s="12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7:50" x14ac:dyDescent="0.25">
      <c r="Q67" s="127"/>
      <c r="R67" s="127"/>
      <c r="S67" s="12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7:50" x14ac:dyDescent="0.25">
      <c r="Q68" s="127"/>
      <c r="R68" s="127"/>
      <c r="S68" s="12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7:50" x14ac:dyDescent="0.25"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7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7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7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7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7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7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7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7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7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7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7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:50" x14ac:dyDescent="0.25">
      <c r="A179" s="97"/>
      <c r="B179" s="97"/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:50" x14ac:dyDescent="0.25">
      <c r="A180" s="97"/>
      <c r="B180" s="97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Q180" s="129"/>
      <c r="R180" s="129"/>
      <c r="S180" s="129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:50" x14ac:dyDescent="0.25">
      <c r="A181" s="97"/>
      <c r="B181" s="97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:50" x14ac:dyDescent="0.25">
      <c r="A182" s="97"/>
      <c r="B182" s="97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:50" x14ac:dyDescent="0.25">
      <c r="A183" s="97"/>
      <c r="B183" s="97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:50" x14ac:dyDescent="0.25">
      <c r="A184" s="97"/>
      <c r="B184" s="97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:50" x14ac:dyDescent="0.25">
      <c r="A185" s="97"/>
      <c r="B185" s="97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:50" x14ac:dyDescent="0.25">
      <c r="A186" s="97"/>
      <c r="B186" s="97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:50" x14ac:dyDescent="0.25">
      <c r="A187" s="97"/>
      <c r="B187" s="97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:50" x14ac:dyDescent="0.25">
      <c r="A188" s="97"/>
      <c r="B188" s="97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:50" x14ac:dyDescent="0.25">
      <c r="A189" s="97"/>
      <c r="B189" s="97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:50" x14ac:dyDescent="0.25">
      <c r="A190" s="97"/>
      <c r="B190" s="97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:50" x14ac:dyDescent="0.25">
      <c r="A191" s="97"/>
      <c r="B191" s="97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:50" x14ac:dyDescent="0.25">
      <c r="A192" s="97"/>
      <c r="B192" s="97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A193" s="97"/>
      <c r="B193" s="97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A194" s="97"/>
      <c r="B194" s="97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A195" s="97"/>
      <c r="B195" s="97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A196" s="97"/>
      <c r="B196" s="97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A197" s="97"/>
      <c r="B197" s="97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A198" s="97"/>
      <c r="B198" s="97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A199" s="97"/>
      <c r="B199" s="97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A200" s="97"/>
      <c r="B200" s="97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A201" s="97"/>
      <c r="B201" s="97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A202" s="97"/>
      <c r="B202" s="97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AB347" s="97"/>
      <c r="AD347" s="97"/>
      <c r="AE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W348" s="97"/>
      <c r="X348" s="97"/>
      <c r="Y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W349" s="97"/>
      <c r="Y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Y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</row>
    <row r="353" spans="1:14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</row>
    <row r="354" spans="1:14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</row>
    <row r="355" spans="1:14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</row>
    <row r="356" spans="1:14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</row>
    <row r="357" spans="1:14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</row>
    <row r="358" spans="1:14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1:14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</row>
    <row r="360" spans="1:14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</row>
    <row r="361" spans="1:14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</row>
    <row r="362" spans="1:14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</row>
    <row r="363" spans="1:14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</row>
    <row r="364" spans="1:14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</row>
    <row r="366" spans="1:14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1:14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</row>
    <row r="368" spans="1:14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</row>
    <row r="369" spans="1:14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</row>
    <row r="370" spans="1:14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</row>
    <row r="371" spans="1:14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</row>
    <row r="372" spans="1:14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</row>
    <row r="373" spans="1:14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</row>
    <row r="374" spans="1:14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1:14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14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14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14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14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14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14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14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14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14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</sheetData>
  <printOptions horizontalCentered="1"/>
  <pageMargins left="0.75" right="0.75" top="0.54" bottom="0.49" header="0.5" footer="0.5"/>
  <pageSetup scale="39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9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s="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2"/>
      <c r="M1" s="283"/>
      <c r="N1" s="4"/>
      <c r="O1" s="4"/>
      <c r="P1" s="4"/>
    </row>
    <row r="2" spans="1:33" s="1" customFormat="1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2"/>
      <c r="M2" s="296"/>
      <c r="N2" s="4"/>
      <c r="O2" s="4"/>
      <c r="P2" s="4"/>
    </row>
    <row r="3" spans="1:33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33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K4" s="352" t="s">
        <v>918</v>
      </c>
      <c r="L4" s="4"/>
      <c r="M4" s="4"/>
      <c r="N4" s="4"/>
      <c r="O4" s="5"/>
      <c r="P4" s="4"/>
    </row>
    <row r="5" spans="1:33" s="1" customFormat="1" x14ac:dyDescent="0.25">
      <c r="A5" s="353" t="s">
        <v>187</v>
      </c>
      <c r="C5" s="2"/>
      <c r="D5" s="9"/>
      <c r="F5" s="9"/>
      <c r="G5" s="9"/>
      <c r="H5" s="9"/>
      <c r="I5" s="2"/>
      <c r="J5" s="2"/>
      <c r="K5" s="286" t="s">
        <v>125</v>
      </c>
      <c r="L5" s="300"/>
      <c r="M5" s="4"/>
      <c r="N5" s="4"/>
      <c r="O5" s="4"/>
      <c r="P5" s="4"/>
    </row>
    <row r="6" spans="1:33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3" s="1" customFormat="1" x14ac:dyDescent="0.25">
      <c r="A7" s="356" t="s">
        <v>130</v>
      </c>
      <c r="B7" s="298"/>
      <c r="C7" s="357"/>
      <c r="D7" s="357"/>
      <c r="E7" s="298"/>
      <c r="F7" s="357"/>
      <c r="G7" s="357"/>
      <c r="H7" s="357"/>
      <c r="I7" s="357"/>
      <c r="J7" s="357"/>
      <c r="K7" s="357"/>
      <c r="L7" s="2"/>
      <c r="M7" s="4"/>
      <c r="N7" s="4"/>
      <c r="O7" s="4"/>
      <c r="P7" s="4"/>
    </row>
    <row r="8" spans="1:33" x14ac:dyDescent="0.25">
      <c r="A8" s="358" t="s">
        <v>390</v>
      </c>
      <c r="B8" s="259"/>
      <c r="C8" s="259"/>
      <c r="D8" s="259"/>
      <c r="E8" s="259"/>
      <c r="F8" s="355"/>
      <c r="G8" s="355"/>
      <c r="H8" s="355"/>
      <c r="I8" s="355"/>
      <c r="J8" s="355"/>
      <c r="K8" s="302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 t="s">
        <v>1</v>
      </c>
      <c r="C9" s="184"/>
      <c r="D9" s="95"/>
      <c r="E9" s="95"/>
      <c r="F9" s="95"/>
      <c r="G9" s="95"/>
      <c r="H9" s="95"/>
      <c r="I9" s="95"/>
      <c r="J9" s="95"/>
      <c r="K9" s="98"/>
      <c r="L9" s="98"/>
      <c r="M9" s="98"/>
      <c r="N9" s="95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6.5" thickBot="1" x14ac:dyDescent="0.3">
      <c r="A10" s="185" t="s">
        <v>3</v>
      </c>
      <c r="C10" s="183" t="s">
        <v>204</v>
      </c>
      <c r="D10" s="114"/>
      <c r="E10" s="114"/>
      <c r="F10" s="114"/>
      <c r="G10" s="114"/>
      <c r="H10" s="114"/>
      <c r="I10" s="97"/>
      <c r="J10" s="97"/>
      <c r="K10" s="186"/>
      <c r="L10" s="98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x14ac:dyDescent="0.25">
      <c r="A11" s="93">
        <v>1</v>
      </c>
      <c r="C11" s="183" t="s">
        <v>205</v>
      </c>
      <c r="D11" s="114"/>
      <c r="E11" s="186"/>
      <c r="F11" s="186"/>
      <c r="G11" s="310" t="s">
        <v>331</v>
      </c>
      <c r="H11" s="186"/>
      <c r="I11" s="186"/>
      <c r="J11" s="187">
        <f>'PTP Pg 2 of 5'!E15</f>
        <v>1116349499</v>
      </c>
      <c r="K11" s="186"/>
      <c r="L11" s="98"/>
      <c r="M11" s="98"/>
      <c r="N11" s="95"/>
      <c r="O11" s="98"/>
      <c r="P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A12" s="93">
        <v>2</v>
      </c>
      <c r="C12" s="183" t="s">
        <v>207</v>
      </c>
      <c r="D12" s="97"/>
      <c r="E12" s="97"/>
      <c r="F12" s="97"/>
      <c r="G12" s="129" t="s">
        <v>206</v>
      </c>
      <c r="H12" s="97"/>
      <c r="I12" s="97"/>
      <c r="J12" s="188">
        <f>ROUND('VA Transmission'!$G$48,0)</f>
        <v>50360382</v>
      </c>
      <c r="K12" s="186"/>
      <c r="L12" s="98"/>
      <c r="M12" s="98"/>
      <c r="N12" s="95"/>
      <c r="O12" s="98"/>
      <c r="P12" s="189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8.75" thickBot="1" x14ac:dyDescent="0.45">
      <c r="A13" s="93">
        <v>3</v>
      </c>
      <c r="C13" s="308" t="s">
        <v>209</v>
      </c>
      <c r="D13" s="190"/>
      <c r="E13" s="191"/>
      <c r="F13" s="186"/>
      <c r="G13" s="307" t="s">
        <v>208</v>
      </c>
      <c r="H13" s="192"/>
      <c r="I13" s="186"/>
      <c r="J13" s="550">
        <v>0</v>
      </c>
      <c r="K13" s="186"/>
      <c r="L13" s="98"/>
      <c r="M13" s="98"/>
      <c r="N13" s="95"/>
      <c r="O13" s="98"/>
      <c r="P13" s="189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4</v>
      </c>
      <c r="C14" s="183" t="s">
        <v>340</v>
      </c>
      <c r="D14" s="114"/>
      <c r="E14" s="186"/>
      <c r="F14" s="186"/>
      <c r="G14" s="306" t="s">
        <v>210</v>
      </c>
      <c r="H14" s="192"/>
      <c r="I14" s="186"/>
      <c r="J14" s="187">
        <f>ROUND(J11-J12-J13,0)</f>
        <v>1065989117</v>
      </c>
      <c r="K14" s="186"/>
      <c r="L14" s="98"/>
      <c r="M14" s="98"/>
      <c r="N14" s="95"/>
      <c r="O14" s="98"/>
      <c r="P14" s="96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/>
      <c r="C15" s="97"/>
      <c r="D15" s="114"/>
      <c r="E15" s="186"/>
      <c r="F15" s="186"/>
      <c r="G15" s="186"/>
      <c r="H15" s="192"/>
      <c r="I15" s="186"/>
      <c r="J15" s="188"/>
      <c r="K15" s="186"/>
      <c r="L15" s="98"/>
      <c r="M15" s="98"/>
      <c r="N15" s="95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5</v>
      </c>
      <c r="C16" s="183" t="s">
        <v>341</v>
      </c>
      <c r="D16" s="194"/>
      <c r="E16" s="195"/>
      <c r="F16" s="195"/>
      <c r="G16" s="309" t="s">
        <v>211</v>
      </c>
      <c r="H16" s="196"/>
      <c r="I16" s="186" t="s">
        <v>64</v>
      </c>
      <c r="J16" s="197">
        <f>IF(J11&gt;0,ROUND(J14/J11,5),0)</f>
        <v>0.95489000000000002</v>
      </c>
      <c r="K16" s="186"/>
      <c r="L16" s="98"/>
      <c r="M16" s="98"/>
      <c r="N16" s="95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/>
      <c r="C17" s="97"/>
      <c r="D17" s="97"/>
      <c r="E17" s="97"/>
      <c r="F17" s="97"/>
      <c r="G17" s="97"/>
      <c r="H17" s="97"/>
      <c r="I17" s="97"/>
      <c r="J17" s="188"/>
      <c r="K17" s="186"/>
      <c r="L17" s="98"/>
      <c r="M17" s="98"/>
      <c r="N17" s="95"/>
      <c r="R17" s="198"/>
      <c r="S17" s="198"/>
      <c r="T17" s="198"/>
      <c r="U17" s="198"/>
      <c r="V17" s="198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x14ac:dyDescent="0.25">
      <c r="A18" s="93"/>
      <c r="C18" s="199" t="s">
        <v>65</v>
      </c>
      <c r="D18" s="97"/>
      <c r="E18" s="97"/>
      <c r="F18" s="97"/>
      <c r="G18" s="97"/>
      <c r="H18" s="97"/>
      <c r="I18" s="97"/>
      <c r="J18" s="188"/>
      <c r="K18" s="186"/>
      <c r="L18" s="98"/>
      <c r="M18" s="98"/>
      <c r="N18" s="95"/>
      <c r="R18" s="198"/>
      <c r="S18" s="198"/>
      <c r="T18" s="198"/>
      <c r="U18" s="198"/>
      <c r="V18" s="198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232" t="s">
        <v>216</v>
      </c>
      <c r="D19" s="97"/>
      <c r="E19" s="114"/>
      <c r="F19" s="114"/>
      <c r="G19" s="310" t="s">
        <v>332</v>
      </c>
      <c r="H19" s="200"/>
      <c r="I19" s="114"/>
      <c r="J19" s="187">
        <f>'PTP Pg 3 of 5'!E14</f>
        <v>44727255.659999996</v>
      </c>
      <c r="K19" s="186"/>
      <c r="L19" s="98"/>
      <c r="M19" s="98"/>
      <c r="N19" s="98"/>
      <c r="R19" s="201"/>
      <c r="S19" s="202"/>
      <c r="T19" s="198"/>
      <c r="U19" s="198"/>
      <c r="V19" s="198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8.75" thickBot="1" x14ac:dyDescent="0.45">
      <c r="A20" s="93">
        <v>7</v>
      </c>
      <c r="C20" s="308" t="s">
        <v>215</v>
      </c>
      <c r="D20" s="190"/>
      <c r="E20" s="191"/>
      <c r="F20" s="201"/>
      <c r="G20" s="307" t="s">
        <v>212</v>
      </c>
      <c r="H20" s="186"/>
      <c r="I20" s="186"/>
      <c r="J20" s="193">
        <f>'PTP Pg 3 of 5'!E15*-1</f>
        <v>4284886</v>
      </c>
      <c r="K20" s="186"/>
      <c r="L20" s="98"/>
      <c r="M20" s="98"/>
      <c r="N20" s="201"/>
      <c r="R20" s="201"/>
      <c r="S20" s="202"/>
      <c r="T20" s="198"/>
      <c r="U20" s="198"/>
      <c r="V20" s="1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x14ac:dyDescent="0.25">
      <c r="A21" s="93">
        <v>8</v>
      </c>
      <c r="C21" s="183" t="s">
        <v>214</v>
      </c>
      <c r="D21" s="194"/>
      <c r="E21" s="195"/>
      <c r="F21" s="195"/>
      <c r="G21" s="310" t="s">
        <v>213</v>
      </c>
      <c r="H21" s="196"/>
      <c r="I21" s="195"/>
      <c r="J21" s="187">
        <f>ROUND(J19-J20,0)</f>
        <v>40442370</v>
      </c>
      <c r="K21" s="97"/>
      <c r="M21" s="98"/>
      <c r="N21" s="98"/>
      <c r="S21" s="198"/>
      <c r="T21" s="198"/>
      <c r="U21" s="198"/>
      <c r="V21" s="198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/>
      <c r="C22" s="118"/>
      <c r="D22" s="114"/>
      <c r="E22" s="186"/>
      <c r="F22" s="186"/>
      <c r="G22" s="186"/>
      <c r="H22" s="186"/>
      <c r="I22" s="97"/>
      <c r="J22" s="97"/>
      <c r="K22" s="97"/>
      <c r="M22" s="98"/>
      <c r="N22" s="98"/>
      <c r="S22" s="198"/>
      <c r="T22" s="198"/>
      <c r="U22" s="198"/>
      <c r="V22" s="198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>
        <v>9</v>
      </c>
      <c r="C23" s="183" t="s">
        <v>220</v>
      </c>
      <c r="D23" s="114"/>
      <c r="E23" s="186"/>
      <c r="F23" s="186"/>
      <c r="G23" s="311" t="s">
        <v>217</v>
      </c>
      <c r="H23" s="186"/>
      <c r="I23" s="186"/>
      <c r="J23" s="203">
        <f>ROUND(J21/J19,5)</f>
        <v>0.9042</v>
      </c>
      <c r="K23" s="97"/>
      <c r="M23" s="98"/>
      <c r="N23" s="98"/>
      <c r="S23" s="204"/>
      <c r="T23" s="198"/>
      <c r="U23" s="198"/>
      <c r="V23" s="198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>
        <v>10</v>
      </c>
      <c r="C24" s="183" t="s">
        <v>341</v>
      </c>
      <c r="D24" s="114"/>
      <c r="E24" s="186"/>
      <c r="F24" s="186"/>
      <c r="G24" s="307" t="s">
        <v>218</v>
      </c>
      <c r="H24" s="186"/>
      <c r="I24" s="114" t="s">
        <v>9</v>
      </c>
      <c r="J24" s="205">
        <f>J16</f>
        <v>0.95489000000000002</v>
      </c>
      <c r="K24" s="97"/>
      <c r="M24" s="98"/>
      <c r="N24" s="98"/>
      <c r="S24" s="204"/>
      <c r="T24" s="198"/>
      <c r="U24" s="198"/>
      <c r="V24" s="198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11</v>
      </c>
      <c r="C25" s="183" t="s">
        <v>342</v>
      </c>
      <c r="D25" s="114"/>
      <c r="E25" s="114"/>
      <c r="F25" s="114"/>
      <c r="G25" s="307" t="s">
        <v>219</v>
      </c>
      <c r="H25" s="114"/>
      <c r="I25" s="114" t="s">
        <v>66</v>
      </c>
      <c r="J25" s="206">
        <f>ROUND(J24*J23,5)</f>
        <v>0.86341000000000001</v>
      </c>
      <c r="K25" s="97"/>
      <c r="M25" s="98"/>
      <c r="N25" s="98"/>
      <c r="S25" s="204"/>
      <c r="T25" s="198"/>
      <c r="U25" s="198"/>
      <c r="V25" s="198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/>
      <c r="D26" s="95"/>
      <c r="E26" s="98"/>
      <c r="F26" s="98"/>
      <c r="G26" s="98"/>
      <c r="H26" s="207"/>
      <c r="I26" s="98"/>
      <c r="M26" s="98"/>
      <c r="N26" s="98"/>
      <c r="S26" s="208"/>
      <c r="T26" s="198"/>
      <c r="U26" s="198"/>
      <c r="V26" s="198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 t="s">
        <v>0</v>
      </c>
      <c r="C27" s="209" t="s">
        <v>167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S27" s="202"/>
      <c r="T27" s="198"/>
      <c r="U27" s="198"/>
      <c r="V27" s="198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 t="s">
        <v>0</v>
      </c>
      <c r="C28" s="96"/>
      <c r="D28" s="316" t="s">
        <v>67</v>
      </c>
      <c r="E28" s="317" t="s">
        <v>230</v>
      </c>
      <c r="F28" s="317" t="s">
        <v>9</v>
      </c>
      <c r="G28" s="98"/>
      <c r="H28" s="317" t="s">
        <v>229</v>
      </c>
      <c r="I28" s="98"/>
      <c r="J28" s="98"/>
      <c r="K28" s="98"/>
      <c r="L28" s="98"/>
      <c r="M28" s="98"/>
      <c r="N28" s="98"/>
      <c r="S28" s="202"/>
      <c r="T28" s="198"/>
      <c r="U28" s="198"/>
      <c r="V28" s="198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>
        <v>12</v>
      </c>
      <c r="C29" s="96" t="s">
        <v>31</v>
      </c>
      <c r="D29" s="303" t="s">
        <v>174</v>
      </c>
      <c r="E29" s="228">
        <f>'OATT Input Data'!$E$250</f>
        <v>77513046</v>
      </c>
      <c r="F29" s="212">
        <v>0</v>
      </c>
      <c r="G29" s="212"/>
      <c r="H29" s="555">
        <f>ROUND(E29*F29,0)</f>
        <v>0</v>
      </c>
      <c r="I29" s="98"/>
      <c r="J29" s="98"/>
      <c r="K29" s="98"/>
      <c r="L29" s="98"/>
      <c r="M29" s="98"/>
      <c r="N29" s="214"/>
      <c r="S29" s="198"/>
      <c r="T29" s="198"/>
      <c r="U29" s="198"/>
      <c r="V29" s="198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>
        <v>13</v>
      </c>
      <c r="C30" s="96" t="s">
        <v>33</v>
      </c>
      <c r="D30" s="303" t="s">
        <v>221</v>
      </c>
      <c r="E30" s="211">
        <f>'OATT Input Data'!$E$251</f>
        <v>8552910</v>
      </c>
      <c r="F30" s="215">
        <f>+J16</f>
        <v>0.95489000000000002</v>
      </c>
      <c r="G30" s="212"/>
      <c r="H30" s="213">
        <f t="shared" ref="H30:H32" si="0">ROUND(E30*F30,0)</f>
        <v>8167088</v>
      </c>
      <c r="I30" s="98"/>
      <c r="J30" s="98"/>
      <c r="K30" s="98"/>
      <c r="L30" s="98"/>
      <c r="M30" s="95"/>
      <c r="N30" s="21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>
        <v>14</v>
      </c>
      <c r="C31" s="96" t="s">
        <v>34</v>
      </c>
      <c r="D31" s="303" t="s">
        <v>222</v>
      </c>
      <c r="E31" s="211">
        <f>'OATT Input Data'!$E$252</f>
        <v>27454926</v>
      </c>
      <c r="F31" s="212">
        <v>0</v>
      </c>
      <c r="G31" s="212"/>
      <c r="H31" s="556">
        <f t="shared" si="0"/>
        <v>0</v>
      </c>
      <c r="I31" s="98"/>
      <c r="J31" s="217" t="s">
        <v>68</v>
      </c>
      <c r="K31" s="98"/>
      <c r="L31" s="98"/>
      <c r="M31" s="98"/>
      <c r="N31" s="21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22.5" customHeight="1" x14ac:dyDescent="0.4">
      <c r="A32" s="93">
        <v>15</v>
      </c>
      <c r="C32" s="96" t="s">
        <v>69</v>
      </c>
      <c r="D32" s="303" t="s">
        <v>897</v>
      </c>
      <c r="E32" s="218">
        <f>'OATT Input Data'!$E$257</f>
        <v>17356671</v>
      </c>
      <c r="F32" s="212">
        <v>0</v>
      </c>
      <c r="G32" s="212"/>
      <c r="H32" s="552">
        <f t="shared" si="0"/>
        <v>0</v>
      </c>
      <c r="I32" s="98"/>
      <c r="J32" s="332" t="s">
        <v>394</v>
      </c>
      <c r="K32" s="98"/>
      <c r="L32" s="98"/>
      <c r="M32" s="98"/>
      <c r="N32" s="21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16</v>
      </c>
      <c r="C33" s="209" t="s">
        <v>223</v>
      </c>
      <c r="D33" s="305" t="s">
        <v>224</v>
      </c>
      <c r="E33" s="236">
        <f>ROUND(SUM(E29:E32),0)</f>
        <v>130877553</v>
      </c>
      <c r="F33" s="98"/>
      <c r="G33" s="98"/>
      <c r="H33" s="236">
        <f>ROUND(SUM(H29:H32),0)</f>
        <v>8167088</v>
      </c>
      <c r="I33" s="219" t="s">
        <v>70</v>
      </c>
      <c r="J33" s="215">
        <f>IF(H33&gt;0,ROUND(H33/E33,5),0)</f>
        <v>6.2399999999999997E-2</v>
      </c>
      <c r="K33" s="344" t="s">
        <v>323</v>
      </c>
      <c r="L33" s="98"/>
      <c r="M33" s="98"/>
      <c r="N33" s="98"/>
      <c r="O33" s="98"/>
      <c r="P33" s="9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/>
      <c r="C34" s="96"/>
      <c r="D34" s="305"/>
      <c r="E34" s="213"/>
      <c r="F34" s="98"/>
      <c r="G34" s="98"/>
      <c r="H34" s="98"/>
      <c r="I34" s="98"/>
      <c r="J34" s="98"/>
      <c r="K34" s="98"/>
      <c r="L34" s="98"/>
      <c r="M34" s="98" t="s">
        <v>0</v>
      </c>
      <c r="N34" s="98"/>
      <c r="O34" s="98"/>
      <c r="P34" s="9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/>
      <c r="C35" s="209" t="s">
        <v>225</v>
      </c>
      <c r="D35" s="305" t="s">
        <v>226</v>
      </c>
      <c r="E35" s="213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99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/>
      <c r="C36" s="96"/>
      <c r="D36" s="305"/>
      <c r="E36" s="314" t="s">
        <v>231</v>
      </c>
      <c r="F36" s="98"/>
      <c r="G36" s="98"/>
      <c r="H36" s="207"/>
      <c r="I36" s="220"/>
      <c r="J36" s="221"/>
      <c r="M36" s="98"/>
      <c r="N36" s="98"/>
      <c r="O36" s="98"/>
      <c r="P36" s="201"/>
      <c r="Q36" s="222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17</v>
      </c>
      <c r="C37" s="96" t="s">
        <v>71</v>
      </c>
      <c r="D37" s="305" t="s">
        <v>72</v>
      </c>
      <c r="E37" s="228">
        <f>ROUND('OATT Input Data'!E262,0)</f>
        <v>11023561714</v>
      </c>
      <c r="F37" s="98"/>
      <c r="H37" s="313"/>
      <c r="I37" s="223"/>
      <c r="J37" s="93"/>
      <c r="K37" s="98"/>
      <c r="L37" s="219"/>
      <c r="M37" s="98"/>
      <c r="N37" s="98"/>
      <c r="O37" s="98"/>
      <c r="P37" s="186"/>
      <c r="Q37" s="186"/>
      <c r="R37" s="224"/>
      <c r="S37" s="211"/>
      <c r="T37" s="224"/>
      <c r="U37" s="22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18</v>
      </c>
      <c r="C38" s="96" t="s">
        <v>73</v>
      </c>
      <c r="D38" s="305" t="s">
        <v>74</v>
      </c>
      <c r="E38" s="211">
        <f>ROUND('OATT Input Data'!E263,0)</f>
        <v>838406461</v>
      </c>
      <c r="F38" s="98"/>
      <c r="I38" s="207"/>
      <c r="K38" s="220"/>
      <c r="M38" s="98"/>
      <c r="N38" s="98"/>
      <c r="O38" s="98"/>
      <c r="P38" s="199"/>
      <c r="Q38" s="186"/>
      <c r="R38" s="211"/>
      <c r="S38" s="211"/>
      <c r="T38" s="224"/>
      <c r="U38" s="224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8" x14ac:dyDescent="0.4">
      <c r="A39" s="93">
        <v>19</v>
      </c>
      <c r="C39" s="226" t="s">
        <v>75</v>
      </c>
      <c r="D39" s="312" t="s">
        <v>76</v>
      </c>
      <c r="E39" s="550">
        <f>ROUND('OATT Input Data'!E264,0)</f>
        <v>0</v>
      </c>
      <c r="F39" s="98"/>
      <c r="G39" s="98"/>
      <c r="H39" s="98" t="s">
        <v>0</v>
      </c>
      <c r="I39" s="98"/>
      <c r="J39" s="98"/>
      <c r="K39" s="98"/>
      <c r="L39" s="98"/>
      <c r="M39" s="98"/>
      <c r="N39" s="98"/>
      <c r="O39" s="98"/>
      <c r="P39" s="199"/>
      <c r="Q39" s="97"/>
      <c r="R39" s="211"/>
      <c r="S39" s="211"/>
      <c r="T39" s="211"/>
      <c r="U39" s="211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>
        <v>20</v>
      </c>
      <c r="C40" s="209" t="s">
        <v>228</v>
      </c>
      <c r="D40" s="305" t="s">
        <v>227</v>
      </c>
      <c r="E40" s="236">
        <f>ROUND(SUM(E37:E39),0)</f>
        <v>11861968175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6"/>
      <c r="R40" s="213"/>
      <c r="S40" s="213"/>
      <c r="T40" s="213"/>
      <c r="U40" s="213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>
        <v>21</v>
      </c>
      <c r="C41" s="340" t="s">
        <v>313</v>
      </c>
      <c r="D41" s="305" t="s">
        <v>314</v>
      </c>
      <c r="F41" s="225">
        <f>IF(E40&gt;0,ROUND(E37/E40,5),0)</f>
        <v>0.92932000000000003</v>
      </c>
      <c r="G41" s="348" t="s">
        <v>324</v>
      </c>
      <c r="H41" s="225">
        <f>J33</f>
        <v>6.2399999999999997E-2</v>
      </c>
      <c r="I41" s="98"/>
      <c r="J41" s="225">
        <f>ROUND(H41*F41,5)</f>
        <v>5.799E-2</v>
      </c>
      <c r="K41" s="345" t="s">
        <v>315</v>
      </c>
      <c r="L41" s="98"/>
      <c r="M41" s="98"/>
      <c r="N41" s="98"/>
      <c r="O41" s="186"/>
      <c r="P41" s="199"/>
      <c r="Q41" s="97"/>
      <c r="R41" s="211"/>
      <c r="S41" s="211"/>
      <c r="T41" s="211"/>
      <c r="U41" s="211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/>
      <c r="C42" s="340"/>
      <c r="D42" s="305"/>
      <c r="F42" s="225"/>
      <c r="G42" s="343"/>
      <c r="H42" s="225"/>
      <c r="I42" s="98"/>
      <c r="J42" s="225"/>
      <c r="K42" s="345"/>
      <c r="L42" s="98"/>
      <c r="M42" s="98"/>
      <c r="N42" s="98"/>
      <c r="O42" s="186"/>
      <c r="P42" s="199"/>
      <c r="Q42" s="97"/>
      <c r="R42" s="211"/>
      <c r="S42" s="211"/>
      <c r="T42" s="211"/>
      <c r="U42" s="21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/>
      <c r="B43" s="91"/>
      <c r="C43" s="231" t="s">
        <v>316</v>
      </c>
      <c r="D43" s="98"/>
      <c r="E43" s="319" t="s">
        <v>232</v>
      </c>
      <c r="F43" s="98"/>
      <c r="G43" s="98"/>
      <c r="H43" s="98"/>
      <c r="I43" s="98"/>
      <c r="K43" s="98"/>
      <c r="L43" s="98"/>
      <c r="M43" s="98"/>
      <c r="N43" s="98"/>
      <c r="O43" s="186"/>
      <c r="P43" s="200"/>
      <c r="Q43" s="227"/>
      <c r="R43" s="211"/>
      <c r="S43" s="211"/>
      <c r="T43" s="211"/>
      <c r="U43" s="211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>
        <v>22</v>
      </c>
      <c r="B44" s="91"/>
      <c r="C44" s="346" t="s">
        <v>77</v>
      </c>
      <c r="D44" s="303" t="s">
        <v>343</v>
      </c>
      <c r="E44" s="228">
        <f>'OATT Input Data'!$E$277</f>
        <v>122043992</v>
      </c>
      <c r="F44" s="98"/>
      <c r="H44" s="98"/>
      <c r="I44" s="98"/>
      <c r="K44" s="98"/>
      <c r="L44" s="98"/>
      <c r="M44" s="98"/>
      <c r="N44" s="98"/>
      <c r="O44" s="229"/>
      <c r="P44" s="186"/>
      <c r="Q44" s="186"/>
      <c r="R44" s="224"/>
      <c r="S44" s="224"/>
      <c r="T44" s="224"/>
      <c r="U44" s="224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>
        <v>23</v>
      </c>
      <c r="B45" s="91"/>
      <c r="C45" s="346" t="s">
        <v>126</v>
      </c>
      <c r="D45" s="303" t="s">
        <v>233</v>
      </c>
      <c r="E45" s="553">
        <v>0</v>
      </c>
      <c r="F45" s="98"/>
      <c r="H45" s="98"/>
      <c r="I45" s="186"/>
      <c r="K45" s="98"/>
      <c r="L45" s="98"/>
      <c r="M45" s="98"/>
      <c r="N45" s="98"/>
      <c r="O45" s="186"/>
      <c r="P45" s="230"/>
      <c r="Q45" s="230"/>
      <c r="R45" s="211"/>
      <c r="S45" s="211"/>
      <c r="T45" s="211"/>
      <c r="U45" s="211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B46" s="91"/>
      <c r="C46" s="231" t="s">
        <v>129</v>
      </c>
      <c r="D46" s="98"/>
      <c r="E46" s="98"/>
      <c r="F46" s="98"/>
      <c r="G46" s="98"/>
      <c r="H46" s="98"/>
      <c r="I46" s="98"/>
      <c r="K46" s="98"/>
      <c r="L46" s="98"/>
      <c r="M46" s="98"/>
      <c r="N46" s="98"/>
      <c r="O46" s="186"/>
      <c r="P46" s="230"/>
      <c r="Q46" s="230"/>
      <c r="R46" s="224"/>
      <c r="S46" s="224"/>
      <c r="T46" s="224"/>
      <c r="U46" s="224"/>
      <c r="V46" s="232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24</v>
      </c>
      <c r="B47" s="91"/>
      <c r="C47" s="346" t="s">
        <v>78</v>
      </c>
      <c r="D47" s="303" t="s">
        <v>344</v>
      </c>
      <c r="E47" s="228">
        <f>'OATT Input Data'!$E$291</f>
        <v>4383281365</v>
      </c>
      <c r="F47" s="98"/>
      <c r="H47" s="98"/>
      <c r="I47" s="98"/>
      <c r="K47" s="98"/>
      <c r="L47" s="98"/>
      <c r="M47" s="98"/>
      <c r="N47" s="98"/>
      <c r="O47" s="186"/>
      <c r="P47" s="186"/>
      <c r="Q47" s="186"/>
      <c r="R47" s="224"/>
      <c r="S47" s="224"/>
      <c r="T47" s="224"/>
      <c r="U47" s="224"/>
      <c r="V47" s="232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25</v>
      </c>
      <c r="B48" s="91"/>
      <c r="C48" s="346" t="s">
        <v>318</v>
      </c>
      <c r="D48" s="303" t="s">
        <v>345</v>
      </c>
      <c r="E48" s="554">
        <f>-E54</f>
        <v>0</v>
      </c>
      <c r="F48" s="98"/>
      <c r="H48" s="98"/>
      <c r="I48" s="98"/>
      <c r="K48" s="98"/>
      <c r="L48" s="98"/>
      <c r="M48" s="98"/>
      <c r="N48" s="98"/>
      <c r="O48" s="186"/>
      <c r="P48" s="233"/>
      <c r="Q48" s="192"/>
      <c r="R48" s="224"/>
      <c r="S48" s="224"/>
      <c r="T48" s="224"/>
      <c r="U48" s="224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ht="33.75" x14ac:dyDescent="0.4">
      <c r="A49" s="93">
        <v>26</v>
      </c>
      <c r="B49" s="91"/>
      <c r="C49" s="347" t="s">
        <v>234</v>
      </c>
      <c r="D49" s="306" t="s">
        <v>235</v>
      </c>
      <c r="E49" s="193">
        <f>'OATT Input Data'!$E$301</f>
        <v>-1232509</v>
      </c>
      <c r="F49" s="186"/>
      <c r="H49" s="186"/>
      <c r="I49" s="186"/>
      <c r="K49" s="98"/>
      <c r="L49" s="98"/>
      <c r="M49" s="98"/>
      <c r="N49" s="98"/>
      <c r="O49" s="98"/>
      <c r="P49" s="219"/>
      <c r="Q49" s="234"/>
      <c r="R49" s="224"/>
      <c r="S49" s="224"/>
      <c r="T49" s="224"/>
      <c r="U49" s="224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5">
      <c r="A50" s="93">
        <v>27</v>
      </c>
      <c r="B50" s="91"/>
      <c r="C50" s="351" t="s">
        <v>346</v>
      </c>
      <c r="D50" s="326" t="s">
        <v>325</v>
      </c>
      <c r="E50" s="236">
        <f>ROUND(SUM(E47:E49),0)</f>
        <v>4382048856</v>
      </c>
      <c r="F50" s="91"/>
      <c r="H50" s="235"/>
      <c r="I50" s="91"/>
      <c r="K50" s="98"/>
      <c r="L50" s="98"/>
      <c r="M50" s="98"/>
      <c r="N50" s="98"/>
      <c r="O50" s="98"/>
      <c r="P50" s="186"/>
      <c r="Q50" s="186"/>
      <c r="R50" s="224"/>
      <c r="S50" s="224"/>
      <c r="T50" s="211"/>
      <c r="U50" s="211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5">
      <c r="A51" s="93"/>
      <c r="B51" s="91"/>
      <c r="C51" s="91"/>
      <c r="D51" s="98"/>
      <c r="E51" s="91"/>
      <c r="F51" s="91"/>
      <c r="G51" s="315"/>
      <c r="H51" s="93" t="s">
        <v>237</v>
      </c>
      <c r="I51" s="91"/>
      <c r="J51" s="236"/>
      <c r="K51" s="98"/>
      <c r="L51" s="98"/>
      <c r="M51" s="98"/>
      <c r="N51" s="98"/>
      <c r="O51" s="98"/>
      <c r="P51" s="186"/>
      <c r="Q51" s="186"/>
      <c r="R51" s="224"/>
      <c r="S51" s="224"/>
      <c r="T51" s="211"/>
      <c r="U51" s="211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5">
      <c r="A52" s="93"/>
      <c r="C52" s="96" t="s">
        <v>347</v>
      </c>
      <c r="D52" s="98"/>
      <c r="E52" s="320" t="s">
        <v>327</v>
      </c>
      <c r="F52" s="318" t="s">
        <v>79</v>
      </c>
      <c r="G52" s="98"/>
      <c r="H52" s="320" t="s">
        <v>138</v>
      </c>
      <c r="I52" s="98"/>
      <c r="J52" s="318" t="s">
        <v>80</v>
      </c>
      <c r="K52" s="98"/>
      <c r="L52" s="98"/>
      <c r="M52" s="98"/>
      <c r="N52" s="98"/>
      <c r="O52" s="186"/>
      <c r="P52" s="200"/>
      <c r="Q52" s="227"/>
      <c r="R52" s="211"/>
      <c r="S52" s="211"/>
      <c r="T52" s="211"/>
      <c r="U52" s="211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5">
      <c r="A53" s="93">
        <v>28</v>
      </c>
      <c r="C53" s="231" t="s">
        <v>282</v>
      </c>
      <c r="D53" s="339" t="s">
        <v>403</v>
      </c>
      <c r="E53" s="228">
        <f>'OATT Input Data'!$E$308</f>
        <v>3445511737</v>
      </c>
      <c r="F53" s="237">
        <f>ROUND(E53/E56,4)</f>
        <v>0.44019999999999998</v>
      </c>
      <c r="G53" s="238"/>
      <c r="H53" s="238">
        <f>IF(E53&gt;0.01,ROUND(E44/E53,4),0)</f>
        <v>3.5400000000000001E-2</v>
      </c>
      <c r="J53" s="371">
        <f>ROUND(F53*H53,4)</f>
        <v>1.5599999999999999E-2</v>
      </c>
      <c r="K53" s="344" t="s">
        <v>326</v>
      </c>
      <c r="M53" s="98"/>
      <c r="N53" s="98"/>
      <c r="O53" s="186"/>
      <c r="P53" s="200"/>
      <c r="Q53" s="227"/>
      <c r="R53" s="211"/>
      <c r="S53" s="211"/>
      <c r="T53" s="211"/>
      <c r="U53" s="211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5">
      <c r="A54" s="93">
        <v>29</v>
      </c>
      <c r="C54" s="231" t="s">
        <v>283</v>
      </c>
      <c r="D54" s="127" t="s">
        <v>236</v>
      </c>
      <c r="E54" s="553">
        <v>0</v>
      </c>
      <c r="F54" s="237">
        <f>ROUND(E54/E56,4)+0.000001</f>
        <v>9.9999999999999995E-7</v>
      </c>
      <c r="G54" s="238"/>
      <c r="H54" s="238">
        <f>IF(E54&gt;0.01,E45/E54,0.00001)</f>
        <v>1.0000000000000001E-5</v>
      </c>
      <c r="J54" s="371">
        <f>F54*H54</f>
        <v>1.0000000000000001E-11</v>
      </c>
      <c r="K54" s="98"/>
      <c r="M54" s="98"/>
      <c r="N54" s="98"/>
      <c r="O54" s="186"/>
      <c r="P54" s="200"/>
      <c r="Q54" s="227"/>
      <c r="R54" s="211"/>
      <c r="S54" s="211"/>
      <c r="T54" s="211"/>
      <c r="U54" s="211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5">
      <c r="A55" s="93">
        <v>30</v>
      </c>
      <c r="C55" s="231" t="s">
        <v>284</v>
      </c>
      <c r="D55" s="339" t="s">
        <v>348</v>
      </c>
      <c r="E55" s="368">
        <f>E50</f>
        <v>4382048856</v>
      </c>
      <c r="F55" s="237">
        <f>ROUND(E55/E56,4)</f>
        <v>0.55979999999999996</v>
      </c>
      <c r="G55" s="238"/>
      <c r="H55" s="239">
        <v>0.10879999999999999</v>
      </c>
      <c r="J55" s="370">
        <f t="shared" ref="J55" si="1">ROUND(F55*H55,4)</f>
        <v>6.0900000000000003E-2</v>
      </c>
      <c r="K55" s="98"/>
      <c r="M55" s="98"/>
      <c r="N55" s="98"/>
      <c r="O55" s="229"/>
      <c r="P55" s="230"/>
      <c r="Q55" s="230"/>
      <c r="R55" s="211"/>
      <c r="S55" s="211"/>
      <c r="T55" s="211"/>
      <c r="U55" s="211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5">
      <c r="A56" s="93">
        <v>31</v>
      </c>
      <c r="C56" s="209" t="s">
        <v>285</v>
      </c>
      <c r="D56" s="339" t="s">
        <v>328</v>
      </c>
      <c r="E56" s="236">
        <f>ROUND(SUM(E53:E55),0)</f>
        <v>7827560593</v>
      </c>
      <c r="F56" s="98" t="s">
        <v>0</v>
      </c>
      <c r="G56" s="98"/>
      <c r="H56" s="98"/>
      <c r="I56" s="98"/>
      <c r="J56" s="371">
        <f>SUM(J53:J55)</f>
        <v>7.6500000009999999E-2</v>
      </c>
      <c r="K56" s="344" t="s">
        <v>317</v>
      </c>
      <c r="M56" s="98"/>
      <c r="N56" s="98"/>
      <c r="O56" s="229"/>
      <c r="P56" s="230"/>
      <c r="Q56" s="230"/>
      <c r="R56" s="211"/>
      <c r="S56" s="211"/>
      <c r="T56" s="211"/>
      <c r="U56" s="211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5">
      <c r="A57" s="93"/>
      <c r="L57" s="98"/>
      <c r="M57" s="98"/>
      <c r="N57" s="98"/>
      <c r="O57" s="229"/>
      <c r="P57" s="186"/>
      <c r="Q57" s="186"/>
      <c r="R57" s="224"/>
      <c r="S57" s="211"/>
      <c r="T57" s="224"/>
      <c r="U57" s="224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5">
      <c r="A58" s="93"/>
      <c r="C58" s="90" t="s">
        <v>81</v>
      </c>
      <c r="D58" s="91"/>
      <c r="E58" s="91"/>
      <c r="F58" s="91"/>
      <c r="G58" s="91"/>
      <c r="H58" s="91"/>
      <c r="I58" s="91"/>
      <c r="J58" s="91"/>
      <c r="K58" s="91"/>
      <c r="L58" s="91"/>
      <c r="M58" s="98"/>
      <c r="N58" s="207"/>
      <c r="O58" s="97"/>
      <c r="P58" s="230"/>
      <c r="Q58" s="240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5">
      <c r="A59" s="93"/>
      <c r="C59" s="90" t="s">
        <v>83</v>
      </c>
      <c r="D59" s="91"/>
      <c r="G59" s="91"/>
      <c r="H59" s="89" t="s">
        <v>0</v>
      </c>
      <c r="I59" s="315"/>
      <c r="J59" s="318" t="s">
        <v>82</v>
      </c>
      <c r="K59" s="1"/>
      <c r="O59" s="186"/>
      <c r="P59" s="233"/>
      <c r="Q59" s="192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5">
      <c r="A60" s="93">
        <v>32</v>
      </c>
      <c r="C60" s="241" t="s">
        <v>404</v>
      </c>
      <c r="D60" s="91"/>
      <c r="F60" s="326" t="s">
        <v>319</v>
      </c>
      <c r="G60" s="91"/>
      <c r="J60" s="557">
        <v>0</v>
      </c>
      <c r="K60" s="242"/>
      <c r="O60" s="186"/>
      <c r="P60" s="199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ht="18" x14ac:dyDescent="0.4">
      <c r="A61" s="93">
        <v>33</v>
      </c>
      <c r="C61" s="366" t="s">
        <v>405</v>
      </c>
      <c r="D61" s="322"/>
      <c r="E61" s="321"/>
      <c r="F61" s="326" t="s">
        <v>330</v>
      </c>
      <c r="G61" s="325"/>
      <c r="I61" s="91"/>
      <c r="J61" s="561">
        <f>+J60</f>
        <v>0</v>
      </c>
      <c r="K61" s="243"/>
      <c r="O61" s="186"/>
      <c r="P61" s="199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5">
      <c r="A62" s="93">
        <v>34</v>
      </c>
      <c r="C62" s="241" t="s">
        <v>406</v>
      </c>
      <c r="D62" s="95"/>
      <c r="F62" s="327" t="s">
        <v>329</v>
      </c>
      <c r="G62" s="325"/>
      <c r="I62" s="91"/>
      <c r="J62" s="558">
        <f>+J60-J61</f>
        <v>0</v>
      </c>
      <c r="K62" s="242"/>
      <c r="O62" s="98"/>
      <c r="P62" s="96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5">
      <c r="A63" s="93"/>
      <c r="C63" s="241" t="s">
        <v>0</v>
      </c>
      <c r="D63" s="95"/>
      <c r="F63" s="91"/>
      <c r="G63" s="91"/>
      <c r="H63" s="244"/>
      <c r="I63" s="91"/>
      <c r="J63" s="65" t="s">
        <v>0</v>
      </c>
      <c r="K63" s="1"/>
      <c r="L63" s="245"/>
      <c r="M63" s="98"/>
      <c r="N63" s="207"/>
      <c r="O63" s="98"/>
      <c r="P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5">
      <c r="A64" s="93">
        <v>35</v>
      </c>
      <c r="C64" s="231" t="s">
        <v>241</v>
      </c>
      <c r="D64" s="95"/>
      <c r="F64" s="326" t="s">
        <v>239</v>
      </c>
      <c r="G64" s="91"/>
      <c r="H64" s="246"/>
      <c r="I64" s="91"/>
      <c r="J64" s="559">
        <v>0</v>
      </c>
      <c r="K64" s="1"/>
      <c r="L64" s="245"/>
      <c r="M64" s="98"/>
      <c r="N64" s="207"/>
      <c r="O64" s="98"/>
      <c r="P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50" x14ac:dyDescent="0.25">
      <c r="C65" s="231" t="s">
        <v>240</v>
      </c>
      <c r="D65" s="91"/>
      <c r="E65" s="315" t="s">
        <v>84</v>
      </c>
      <c r="F65" s="326" t="s">
        <v>407</v>
      </c>
      <c r="G65" s="91"/>
      <c r="H65" s="91"/>
      <c r="I65" s="91"/>
      <c r="J65" s="97"/>
      <c r="L65" s="247"/>
      <c r="M65" s="98"/>
      <c r="N65" s="207"/>
      <c r="O65" s="95"/>
      <c r="P65" s="20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50" x14ac:dyDescent="0.25">
      <c r="A66" s="93">
        <v>36</v>
      </c>
      <c r="C66" s="90" t="s">
        <v>85</v>
      </c>
      <c r="D66" s="98"/>
      <c r="E66" s="98"/>
      <c r="F66" s="98"/>
      <c r="G66" s="98"/>
      <c r="H66" s="98"/>
      <c r="I66" s="98"/>
      <c r="J66" s="248">
        <f>'OATT Input Data'!$E$314</f>
        <v>26444044</v>
      </c>
      <c r="K66" s="135"/>
      <c r="L66" s="247"/>
      <c r="M66" s="98"/>
      <c r="N66" s="207"/>
      <c r="O66" s="95"/>
      <c r="P66" s="249"/>
      <c r="Q66" s="249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50" ht="18" x14ac:dyDescent="0.4">
      <c r="A67" s="93">
        <v>37</v>
      </c>
      <c r="C67" s="324" t="s">
        <v>86</v>
      </c>
      <c r="D67" s="323"/>
      <c r="E67" s="323"/>
      <c r="F67" s="325"/>
      <c r="G67" s="325"/>
      <c r="H67" s="91"/>
      <c r="I67" s="91"/>
      <c r="J67" s="560">
        <f>'OATT Input Data'!$E$364</f>
        <v>23621348</v>
      </c>
      <c r="L67" s="250"/>
      <c r="M67" s="91"/>
      <c r="N67" s="93"/>
      <c r="O67" s="95"/>
      <c r="P67" s="251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50" x14ac:dyDescent="0.25">
      <c r="A68" s="93">
        <v>38</v>
      </c>
      <c r="C68" s="241" t="s">
        <v>238</v>
      </c>
      <c r="D68" s="93"/>
      <c r="E68" s="98"/>
      <c r="F68" s="327" t="s">
        <v>349</v>
      </c>
      <c r="G68" s="98"/>
      <c r="H68" s="98"/>
      <c r="I68" s="91"/>
      <c r="J68" s="152">
        <f>+J66-J67</f>
        <v>2822696</v>
      </c>
      <c r="K68" s="135"/>
      <c r="L68" s="9"/>
      <c r="M68" s="91"/>
      <c r="N68" s="93"/>
      <c r="O68" s="95"/>
      <c r="P68" s="251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50" x14ac:dyDescent="0.25">
      <c r="C69" s="241"/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7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7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7:50" x14ac:dyDescent="0.25"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7:50" x14ac:dyDescent="0.25">
      <c r="Q180" s="127"/>
      <c r="R180" s="127"/>
      <c r="S180" s="12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7:50" x14ac:dyDescent="0.25">
      <c r="Q181" s="127"/>
      <c r="R181" s="127"/>
      <c r="S181" s="12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7:50" x14ac:dyDescent="0.25">
      <c r="Q182" s="127"/>
      <c r="R182" s="127"/>
      <c r="S182" s="12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7:50" x14ac:dyDescent="0.25">
      <c r="Q183" s="127"/>
      <c r="R183" s="127"/>
      <c r="S183" s="12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7:50" x14ac:dyDescent="0.25">
      <c r="Q184" s="127"/>
      <c r="R184" s="127"/>
      <c r="S184" s="12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7:50" x14ac:dyDescent="0.25">
      <c r="Q185" s="127"/>
      <c r="R185" s="127"/>
      <c r="S185" s="12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7:50" x14ac:dyDescent="0.25">
      <c r="Q186" s="127"/>
      <c r="R186" s="127"/>
      <c r="S186" s="12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7:50" x14ac:dyDescent="0.25">
      <c r="Q187" s="127"/>
      <c r="R187" s="127"/>
      <c r="S187" s="12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7:50" x14ac:dyDescent="0.25">
      <c r="Q188" s="127"/>
      <c r="R188" s="127"/>
      <c r="S188" s="12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7:50" x14ac:dyDescent="0.25">
      <c r="Q189" s="127"/>
      <c r="R189" s="127"/>
      <c r="S189" s="12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7:50" x14ac:dyDescent="0.25">
      <c r="Q190" s="127"/>
      <c r="R190" s="127"/>
      <c r="S190" s="12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7:50" x14ac:dyDescent="0.25">
      <c r="Q191" s="127"/>
      <c r="R191" s="127"/>
      <c r="S191" s="12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7:50" x14ac:dyDescent="0.25">
      <c r="Q192" s="127"/>
      <c r="R192" s="127"/>
      <c r="S192" s="12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Q193" s="127"/>
      <c r="R193" s="127"/>
      <c r="S193" s="12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Q194" s="127"/>
      <c r="R194" s="127"/>
      <c r="S194" s="12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Q195" s="127"/>
      <c r="R195" s="127"/>
      <c r="S195" s="12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Q196" s="127"/>
      <c r="R196" s="127"/>
      <c r="S196" s="12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Q197" s="127"/>
      <c r="R197" s="127"/>
      <c r="S197" s="12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Q198" s="127"/>
      <c r="R198" s="127"/>
      <c r="S198" s="12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Q199" s="127"/>
      <c r="R199" s="127"/>
      <c r="S199" s="12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Q200" s="127"/>
      <c r="R200" s="127"/>
      <c r="S200" s="12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Q201" s="127"/>
      <c r="R201" s="127"/>
      <c r="S201" s="12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Q202" s="127"/>
      <c r="R202" s="127"/>
      <c r="S202" s="12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Q203" s="127"/>
      <c r="R203" s="127"/>
      <c r="S203" s="12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129"/>
      <c r="Q260" s="129"/>
      <c r="R260" s="129"/>
      <c r="S260" s="129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</row>
    <row r="353" spans="1:50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</row>
    <row r="354" spans="1:50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</row>
    <row r="355" spans="1:50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</row>
    <row r="356" spans="1:50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</row>
    <row r="357" spans="1:50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</row>
    <row r="358" spans="1:50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</row>
    <row r="359" spans="1:50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</row>
    <row r="360" spans="1:50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</row>
    <row r="361" spans="1:50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</row>
    <row r="362" spans="1:50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</row>
    <row r="363" spans="1:50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</row>
    <row r="364" spans="1:50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</row>
    <row r="365" spans="1:50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</row>
    <row r="366" spans="1:50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</row>
    <row r="367" spans="1:50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</row>
    <row r="368" spans="1:50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</row>
    <row r="369" spans="1:50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</row>
    <row r="370" spans="1:50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</row>
    <row r="371" spans="1:50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AB371" s="97"/>
      <c r="AD371" s="97"/>
      <c r="AE371" s="97"/>
    </row>
    <row r="372" spans="1:50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W372" s="97"/>
      <c r="X372" s="97"/>
      <c r="Y372" s="97"/>
    </row>
    <row r="373" spans="1:50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W373" s="97"/>
      <c r="Y373" s="97"/>
    </row>
    <row r="374" spans="1:50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Y374" s="97"/>
    </row>
    <row r="375" spans="1:50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50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50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50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50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50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50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50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50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50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1:14" x14ac:dyDescent="0.2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  <row r="574" spans="1:14" x14ac:dyDescent="0.2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</row>
    <row r="575" spans="1:14" x14ac:dyDescent="0.2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</row>
    <row r="576" spans="1:14" x14ac:dyDescent="0.2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</row>
    <row r="577" spans="1:14" x14ac:dyDescent="0.2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</row>
    <row r="578" spans="1:14" x14ac:dyDescent="0.2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</row>
    <row r="579" spans="1:14" x14ac:dyDescent="0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</row>
    <row r="580" spans="1:14" x14ac:dyDescent="0.2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</row>
    <row r="581" spans="1:14" x14ac:dyDescent="0.2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</row>
    <row r="582" spans="1:14" x14ac:dyDescent="0.2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1:14" x14ac:dyDescent="0.2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  <row r="584" spans="1:14" x14ac:dyDescent="0.2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</row>
    <row r="585" spans="1:14" x14ac:dyDescent="0.2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</row>
    <row r="586" spans="1:14" x14ac:dyDescent="0.2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</row>
    <row r="587" spans="1:14" x14ac:dyDescent="0.2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</row>
    <row r="588" spans="1:14" x14ac:dyDescent="0.2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</row>
    <row r="589" spans="1:14" x14ac:dyDescent="0.2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</row>
    <row r="590" spans="1:14" x14ac:dyDescent="0.2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</row>
    <row r="591" spans="1:14" x14ac:dyDescent="0.2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</row>
    <row r="592" spans="1:14" x14ac:dyDescent="0.2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</row>
    <row r="593" spans="1:14" x14ac:dyDescent="0.2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</row>
    <row r="594" spans="1:14" x14ac:dyDescent="0.2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</row>
    <row r="595" spans="1:14" x14ac:dyDescent="0.2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1:14" x14ac:dyDescent="0.2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</sheetData>
  <printOptions horizontalCentered="1"/>
  <pageMargins left="0.75" right="0.75" top="0.53" bottom="0.5" header="0.5" footer="0.5"/>
  <pageSetup scale="48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FF99"/>
  </sheetPr>
  <dimension ref="A1:AX60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0.1640625" style="89" customWidth="1"/>
    <col min="4" max="4" width="31.1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86"/>
      <c r="N1" s="95"/>
      <c r="O1" s="95"/>
      <c r="P1" s="96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94"/>
      <c r="N2" s="95"/>
      <c r="O2" s="95"/>
      <c r="P2" s="9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5">
      <c r="A3" s="298" t="s">
        <v>249</v>
      </c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96"/>
      <c r="N3" s="95"/>
      <c r="O3" s="95"/>
      <c r="P3" s="9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5">
      <c r="A4" s="1"/>
      <c r="B4" s="1"/>
      <c r="C4" s="7"/>
      <c r="D4" s="2"/>
      <c r="E4" s="3"/>
      <c r="F4" s="2"/>
      <c r="G4" s="2"/>
      <c r="H4" s="2"/>
      <c r="I4" s="4"/>
      <c r="J4" s="4"/>
      <c r="K4" s="4"/>
      <c r="L4" s="4"/>
      <c r="M4" s="297"/>
      <c r="N4" s="95"/>
      <c r="O4" s="95"/>
      <c r="P4" s="95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5">
      <c r="A5" s="1" t="s">
        <v>186</v>
      </c>
      <c r="B5" s="1"/>
      <c r="C5" s="2"/>
      <c r="D5" s="2"/>
      <c r="E5" s="8"/>
      <c r="F5" s="2"/>
      <c r="G5" s="2"/>
      <c r="H5" s="2"/>
      <c r="I5" s="4"/>
      <c r="J5" s="1"/>
      <c r="K5" s="4"/>
      <c r="L5" s="352" t="s">
        <v>918</v>
      </c>
      <c r="M5" s="95"/>
      <c r="N5" s="95"/>
      <c r="O5" s="95"/>
      <c r="P5" s="9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x14ac:dyDescent="0.25">
      <c r="A6" s="353" t="s">
        <v>187</v>
      </c>
      <c r="B6" s="1"/>
      <c r="C6" s="2"/>
      <c r="D6" s="9"/>
      <c r="E6" s="1"/>
      <c r="F6" s="9"/>
      <c r="G6" s="9"/>
      <c r="H6" s="9"/>
      <c r="I6" s="2"/>
      <c r="J6" s="2"/>
      <c r="K6" s="2"/>
      <c r="L6" s="286" t="s">
        <v>382</v>
      </c>
      <c r="M6" s="95"/>
      <c r="N6" s="95"/>
      <c r="O6" s="95"/>
      <c r="P6" s="9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x14ac:dyDescent="0.25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91"/>
      <c r="N7" s="93"/>
      <c r="O7" s="95"/>
      <c r="P7" s="95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356" t="s">
        <v>130</v>
      </c>
      <c r="B8" s="299"/>
      <c r="C8" s="300"/>
      <c r="D8" s="300"/>
      <c r="E8" s="299"/>
      <c r="F8" s="300"/>
      <c r="G8" s="300"/>
      <c r="H8" s="300"/>
      <c r="I8" s="300"/>
      <c r="J8" s="300"/>
      <c r="K8" s="300"/>
      <c r="L8" s="300"/>
      <c r="M8" s="91"/>
      <c r="N8" s="93"/>
      <c r="O8" s="95"/>
      <c r="P8" s="95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/>
      <c r="B9" s="91"/>
      <c r="C9" s="99"/>
      <c r="D9" s="93"/>
      <c r="E9" s="98"/>
      <c r="F9" s="98"/>
      <c r="G9" s="98"/>
      <c r="H9" s="98"/>
      <c r="I9" s="91"/>
      <c r="J9" s="100"/>
      <c r="K9" s="1"/>
      <c r="L9" s="9"/>
      <c r="M9" s="91"/>
      <c r="N9" s="93"/>
      <c r="O9" s="95"/>
      <c r="P9" s="95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8.75" x14ac:dyDescent="0.3">
      <c r="A10" s="101"/>
      <c r="B10" s="102"/>
      <c r="C10" s="395" t="s">
        <v>428</v>
      </c>
      <c r="D10" s="101"/>
      <c r="E10" s="104"/>
      <c r="F10" s="104"/>
      <c r="G10" s="104"/>
      <c r="H10" s="104"/>
      <c r="I10" s="102"/>
      <c r="J10" s="104"/>
      <c r="K10" s="104"/>
      <c r="L10" s="104"/>
      <c r="M10" s="104"/>
      <c r="N10" s="104"/>
      <c r="O10" s="104"/>
      <c r="P10" s="95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8.75" x14ac:dyDescent="0.3">
      <c r="A11" s="101"/>
      <c r="B11" s="102"/>
      <c r="C11" s="103" t="s">
        <v>87</v>
      </c>
      <c r="D11" s="101"/>
      <c r="E11" s="104"/>
      <c r="F11" s="104"/>
      <c r="G11" s="104"/>
      <c r="H11" s="104"/>
      <c r="I11" s="102"/>
      <c r="J11" s="104"/>
      <c r="K11" s="104"/>
      <c r="L11" s="104"/>
      <c r="M11" s="104"/>
      <c r="N11" s="104"/>
      <c r="O11" s="104"/>
      <c r="P11" s="95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18.75" x14ac:dyDescent="0.3">
      <c r="A12" s="101" t="s">
        <v>88</v>
      </c>
      <c r="B12" s="102"/>
      <c r="C12" s="103"/>
      <c r="D12" s="102"/>
      <c r="E12" s="104"/>
      <c r="F12" s="104"/>
      <c r="G12" s="104"/>
      <c r="H12" s="104"/>
      <c r="I12" s="102"/>
      <c r="J12" s="104"/>
      <c r="K12" s="104"/>
      <c r="L12" s="104"/>
      <c r="M12" s="104"/>
      <c r="N12" s="104"/>
      <c r="O12" s="104"/>
      <c r="P12" s="95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21.75" thickBot="1" x14ac:dyDescent="0.4">
      <c r="A13" s="107" t="s">
        <v>89</v>
      </c>
      <c r="B13" s="102"/>
      <c r="C13" s="103"/>
      <c r="D13" s="102"/>
      <c r="E13" s="104"/>
      <c r="F13" s="104"/>
      <c r="G13" s="104"/>
      <c r="H13" s="104"/>
      <c r="I13" s="102"/>
      <c r="J13" s="104"/>
      <c r="K13" s="105"/>
      <c r="L13" s="106"/>
      <c r="M13" s="105"/>
      <c r="N13" s="101"/>
      <c r="O13" s="95"/>
      <c r="P13" s="95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21" x14ac:dyDescent="0.35">
      <c r="A14" s="101" t="s">
        <v>90</v>
      </c>
      <c r="B14" s="102"/>
      <c r="C14" s="108" t="s">
        <v>386</v>
      </c>
      <c r="D14" s="109"/>
      <c r="E14" s="110"/>
      <c r="F14" s="110"/>
      <c r="G14" s="110"/>
      <c r="H14" s="110"/>
      <c r="I14" s="109"/>
      <c r="J14" s="110"/>
      <c r="K14" s="111"/>
      <c r="L14" s="112"/>
      <c r="M14" s="111"/>
      <c r="N14" s="113"/>
      <c r="O14" s="114"/>
      <c r="P14" s="95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21" x14ac:dyDescent="0.35">
      <c r="A15" s="101" t="s">
        <v>91</v>
      </c>
      <c r="B15" s="102"/>
      <c r="C15" s="108" t="s">
        <v>421</v>
      </c>
      <c r="D15" s="109"/>
      <c r="E15" s="110"/>
      <c r="F15" s="110"/>
      <c r="G15" s="110"/>
      <c r="H15" s="110"/>
      <c r="I15" s="109"/>
      <c r="J15" s="110"/>
      <c r="K15" s="111"/>
      <c r="L15" s="112"/>
      <c r="M15" s="111"/>
      <c r="N15" s="113"/>
      <c r="O15" s="114"/>
      <c r="P15" s="95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ht="21" x14ac:dyDescent="0.35">
      <c r="A16" s="101" t="s">
        <v>92</v>
      </c>
      <c r="B16" s="102"/>
      <c r="C16" s="108" t="s">
        <v>387</v>
      </c>
      <c r="D16" s="109"/>
      <c r="E16" s="109"/>
      <c r="F16" s="109"/>
      <c r="G16" s="109"/>
      <c r="H16" s="109"/>
      <c r="I16" s="109"/>
      <c r="J16" s="110"/>
      <c r="K16" s="111"/>
      <c r="L16" s="111"/>
      <c r="M16" s="111"/>
      <c r="N16" s="115"/>
      <c r="O16" s="114"/>
      <c r="P16" s="95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ht="21" x14ac:dyDescent="0.35">
      <c r="A17" s="101" t="s">
        <v>93</v>
      </c>
      <c r="B17" s="102"/>
      <c r="C17" s="108" t="s">
        <v>250</v>
      </c>
      <c r="D17" s="109"/>
      <c r="E17" s="109"/>
      <c r="F17" s="109"/>
      <c r="G17" s="109"/>
      <c r="H17" s="109"/>
      <c r="I17" s="109"/>
      <c r="J17" s="110"/>
      <c r="K17" s="111"/>
      <c r="L17" s="111"/>
      <c r="M17" s="111"/>
      <c r="N17" s="115"/>
      <c r="O17" s="114"/>
      <c r="P17" s="95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21" x14ac:dyDescent="0.35">
      <c r="A18" s="101" t="s">
        <v>94</v>
      </c>
      <c r="B18" s="102"/>
      <c r="C18" s="109" t="s">
        <v>95</v>
      </c>
      <c r="D18" s="109"/>
      <c r="E18" s="109"/>
      <c r="F18" s="109"/>
      <c r="G18" s="109"/>
      <c r="H18" s="109"/>
      <c r="I18" s="109"/>
      <c r="J18" s="109"/>
      <c r="K18" s="111"/>
      <c r="L18" s="111"/>
      <c r="M18" s="111"/>
      <c r="N18" s="113"/>
      <c r="O18" s="114"/>
      <c r="P18" s="95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ht="21" x14ac:dyDescent="0.35">
      <c r="A19" s="101" t="s">
        <v>96</v>
      </c>
      <c r="B19" s="102"/>
      <c r="C19" s="109" t="s">
        <v>351</v>
      </c>
      <c r="D19" s="109"/>
      <c r="E19" s="109"/>
      <c r="F19" s="109"/>
      <c r="G19" s="109"/>
      <c r="H19" s="109"/>
      <c r="I19" s="109"/>
      <c r="J19" s="109"/>
      <c r="K19" s="111"/>
      <c r="L19" s="111"/>
      <c r="M19" s="111"/>
      <c r="N19" s="113"/>
      <c r="O19" s="114"/>
      <c r="P19" s="95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21" x14ac:dyDescent="0.35">
      <c r="A20" s="101"/>
      <c r="B20" s="102"/>
      <c r="C20" s="108" t="s">
        <v>418</v>
      </c>
      <c r="D20" s="109"/>
      <c r="E20" s="109"/>
      <c r="F20" s="109"/>
      <c r="G20" s="109"/>
      <c r="H20" s="109"/>
      <c r="I20" s="109"/>
      <c r="J20" s="109"/>
      <c r="K20" s="111"/>
      <c r="L20" s="111"/>
      <c r="M20" s="111"/>
      <c r="N20" s="113"/>
      <c r="O20" s="114"/>
      <c r="P20" s="95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21" x14ac:dyDescent="0.35">
      <c r="A21" s="101"/>
      <c r="B21" s="102"/>
      <c r="C21" s="108" t="s">
        <v>419</v>
      </c>
      <c r="D21" s="109"/>
      <c r="E21" s="109"/>
      <c r="F21" s="109"/>
      <c r="G21" s="109"/>
      <c r="H21" s="109"/>
      <c r="I21" s="109"/>
      <c r="J21" s="109"/>
      <c r="K21" s="111"/>
      <c r="L21" s="111"/>
      <c r="M21" s="111"/>
      <c r="N21" s="113"/>
      <c r="O21" s="114"/>
      <c r="P21" s="95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ht="21" x14ac:dyDescent="0.35">
      <c r="A22" s="101" t="s">
        <v>97</v>
      </c>
      <c r="B22" s="102"/>
      <c r="C22" s="109" t="s">
        <v>98</v>
      </c>
      <c r="D22" s="109"/>
      <c r="E22" s="109"/>
      <c r="F22" s="109"/>
      <c r="G22" s="109"/>
      <c r="H22" s="109"/>
      <c r="I22" s="109"/>
      <c r="J22" s="109"/>
      <c r="K22" s="111"/>
      <c r="L22" s="111"/>
      <c r="M22" s="111"/>
      <c r="N22" s="113"/>
      <c r="O22" s="114"/>
      <c r="P22" s="95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ht="21" x14ac:dyDescent="0.35">
      <c r="A23" s="101" t="s">
        <v>99</v>
      </c>
      <c r="B23" s="102"/>
      <c r="C23" s="108" t="s">
        <v>352</v>
      </c>
      <c r="D23" s="109"/>
      <c r="E23" s="109"/>
      <c r="F23" s="109"/>
      <c r="G23" s="109"/>
      <c r="H23" s="109"/>
      <c r="I23" s="109"/>
      <c r="J23" s="109"/>
      <c r="K23" s="111"/>
      <c r="L23" s="111"/>
      <c r="M23" s="111"/>
      <c r="N23" s="113"/>
      <c r="O23" s="114"/>
      <c r="P23" s="95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ht="21" x14ac:dyDescent="0.35">
      <c r="A24" s="101"/>
      <c r="B24" s="102"/>
      <c r="C24" s="108" t="s">
        <v>353</v>
      </c>
      <c r="D24" s="109"/>
      <c r="E24" s="109"/>
      <c r="F24" s="109"/>
      <c r="G24" s="109"/>
      <c r="H24" s="109"/>
      <c r="I24" s="109"/>
      <c r="J24" s="109"/>
      <c r="K24" s="111"/>
      <c r="L24" s="111"/>
      <c r="M24" s="111"/>
      <c r="N24" s="113"/>
      <c r="O24" s="114"/>
      <c r="P24" s="95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ht="21" x14ac:dyDescent="0.35">
      <c r="A25" s="101" t="s">
        <v>100</v>
      </c>
      <c r="B25" s="102"/>
      <c r="C25" s="108" t="s">
        <v>354</v>
      </c>
      <c r="D25" s="109"/>
      <c r="E25" s="109"/>
      <c r="F25" s="109"/>
      <c r="G25" s="109"/>
      <c r="H25" s="109"/>
      <c r="I25" s="109"/>
      <c r="J25" s="109"/>
      <c r="K25" s="111"/>
      <c r="L25" s="111"/>
      <c r="M25" s="111"/>
      <c r="N25" s="113"/>
      <c r="O25" s="114"/>
      <c r="P25" s="95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ht="21" x14ac:dyDescent="0.35">
      <c r="A26" s="101"/>
      <c r="B26" s="102"/>
      <c r="C26" s="170" t="s">
        <v>388</v>
      </c>
      <c r="D26" s="109"/>
      <c r="E26" s="109"/>
      <c r="F26" s="109"/>
      <c r="G26" s="109"/>
      <c r="H26" s="109"/>
      <c r="I26" s="109"/>
      <c r="J26" s="109"/>
      <c r="K26" s="111"/>
      <c r="L26" s="111"/>
      <c r="M26" s="111"/>
      <c r="N26" s="113"/>
      <c r="P26" s="95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ht="21" x14ac:dyDescent="0.35">
      <c r="A27" s="101"/>
      <c r="B27" s="102"/>
      <c r="C27" s="108" t="s">
        <v>355</v>
      </c>
      <c r="D27" s="109"/>
      <c r="E27" s="109"/>
      <c r="F27" s="109"/>
      <c r="G27" s="109"/>
      <c r="H27" s="109"/>
      <c r="I27" s="109"/>
      <c r="J27" s="109"/>
      <c r="K27" s="111"/>
      <c r="L27" s="111"/>
      <c r="M27" s="111"/>
      <c r="N27" s="113"/>
      <c r="O27" s="114"/>
      <c r="P27" s="114"/>
      <c r="Q27" s="95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ht="21" x14ac:dyDescent="0.35">
      <c r="A28" s="101" t="s">
        <v>101</v>
      </c>
      <c r="B28" s="102"/>
      <c r="C28" s="108" t="s">
        <v>356</v>
      </c>
      <c r="D28" s="109"/>
      <c r="E28" s="109"/>
      <c r="F28" s="109"/>
      <c r="G28" s="109"/>
      <c r="H28" s="109"/>
      <c r="I28" s="109"/>
      <c r="J28" s="109"/>
      <c r="K28" s="111"/>
      <c r="L28" s="111"/>
      <c r="M28" s="111"/>
      <c r="N28" s="113"/>
      <c r="O28" s="114"/>
      <c r="P28" s="95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ht="21" x14ac:dyDescent="0.35">
      <c r="A29" s="101" t="s">
        <v>102</v>
      </c>
      <c r="B29" s="102"/>
      <c r="C29" s="109" t="s">
        <v>357</v>
      </c>
      <c r="D29" s="109"/>
      <c r="E29" s="109"/>
      <c r="F29" s="109"/>
      <c r="G29" s="109"/>
      <c r="H29" s="109"/>
      <c r="I29" s="109"/>
      <c r="J29" s="109"/>
      <c r="K29" s="111"/>
      <c r="L29" s="111"/>
      <c r="M29" s="111"/>
      <c r="N29" s="113"/>
      <c r="O29" s="114"/>
      <c r="P29" s="95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ht="21" x14ac:dyDescent="0.35">
      <c r="A30" s="101"/>
      <c r="B30" s="102"/>
      <c r="C30" s="108" t="s">
        <v>358</v>
      </c>
      <c r="D30" s="109"/>
      <c r="E30" s="109"/>
      <c r="F30" s="109"/>
      <c r="G30" s="109"/>
      <c r="H30" s="109"/>
      <c r="I30" s="109"/>
      <c r="J30" s="109"/>
      <c r="K30" s="111"/>
      <c r="L30" s="111"/>
      <c r="M30" s="111"/>
      <c r="N30" s="113"/>
      <c r="O30" s="114"/>
      <c r="P30" s="95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ht="21" x14ac:dyDescent="0.35">
      <c r="A31" s="101"/>
      <c r="B31" s="102"/>
      <c r="C31" s="108" t="s">
        <v>359</v>
      </c>
      <c r="D31" s="109"/>
      <c r="E31" s="109"/>
      <c r="F31" s="109"/>
      <c r="G31" s="109"/>
      <c r="H31" s="109"/>
      <c r="I31" s="109"/>
      <c r="J31" s="109"/>
      <c r="K31" s="111"/>
      <c r="L31" s="111"/>
      <c r="M31" s="111"/>
      <c r="N31" s="113"/>
      <c r="O31" s="114"/>
      <c r="P31" s="95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21" x14ac:dyDescent="0.35">
      <c r="A32" s="101"/>
      <c r="B32" s="102"/>
      <c r="C32" s="109" t="s">
        <v>360</v>
      </c>
      <c r="D32" s="109"/>
      <c r="E32" s="109"/>
      <c r="F32" s="109"/>
      <c r="G32" s="109"/>
      <c r="H32" s="109"/>
      <c r="I32" s="109"/>
      <c r="J32" s="109"/>
      <c r="K32" s="111"/>
      <c r="L32" s="111"/>
      <c r="M32" s="111"/>
      <c r="N32" s="113"/>
      <c r="O32" s="114"/>
      <c r="P32" s="95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ht="21" x14ac:dyDescent="0.35">
      <c r="A33" s="101"/>
      <c r="B33" s="102"/>
      <c r="C33" s="108" t="s">
        <v>361</v>
      </c>
      <c r="D33" s="109"/>
      <c r="E33" s="109"/>
      <c r="F33" s="109"/>
      <c r="G33" s="109"/>
      <c r="H33" s="109"/>
      <c r="I33" s="109"/>
      <c r="J33" s="109"/>
      <c r="K33" s="111"/>
      <c r="L33" s="111"/>
      <c r="M33" s="111"/>
      <c r="N33" s="113"/>
      <c r="O33" s="114"/>
      <c r="P33" s="95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ht="21" x14ac:dyDescent="0.35">
      <c r="A34" s="101"/>
      <c r="B34" s="102"/>
      <c r="C34" s="108" t="s">
        <v>362</v>
      </c>
      <c r="D34" s="109"/>
      <c r="E34" s="109"/>
      <c r="F34" s="109"/>
      <c r="G34" s="109"/>
      <c r="H34" s="109"/>
      <c r="I34" s="109"/>
      <c r="J34" s="109"/>
      <c r="K34" s="111"/>
      <c r="L34" s="111"/>
      <c r="M34" s="111"/>
      <c r="N34" s="113"/>
      <c r="O34" s="114"/>
      <c r="P34" s="95"/>
      <c r="V34" s="97"/>
      <c r="W34" s="97"/>
      <c r="X34" s="97"/>
      <c r="Y34" s="97"/>
      <c r="AB34" s="97"/>
      <c r="AD34" s="97"/>
      <c r="AE34" s="97"/>
    </row>
    <row r="35" spans="1:33" ht="21" x14ac:dyDescent="0.35">
      <c r="A35" s="101"/>
      <c r="B35" s="102"/>
      <c r="C35" s="108" t="s">
        <v>430</v>
      </c>
      <c r="D35" s="109"/>
      <c r="E35" s="109"/>
      <c r="F35" s="109"/>
      <c r="G35" s="109"/>
      <c r="H35" s="109"/>
      <c r="I35" s="109"/>
      <c r="J35" s="109"/>
      <c r="K35" s="111"/>
      <c r="L35" s="111"/>
      <c r="M35" s="111"/>
      <c r="N35" s="113"/>
      <c r="O35" s="114"/>
      <c r="P35" s="95"/>
      <c r="V35" s="97"/>
      <c r="W35" s="97"/>
      <c r="X35" s="97"/>
      <c r="Y35" s="97"/>
      <c r="AB35" s="97"/>
      <c r="AD35" s="97"/>
      <c r="AE35" s="97"/>
    </row>
    <row r="36" spans="1:33" ht="21" x14ac:dyDescent="0.35">
      <c r="A36" s="101" t="s">
        <v>0</v>
      </c>
      <c r="B36" s="102"/>
      <c r="C36" s="109" t="s">
        <v>103</v>
      </c>
      <c r="D36" s="109" t="s">
        <v>104</v>
      </c>
      <c r="E36" s="117">
        <v>0.35</v>
      </c>
      <c r="F36" s="109"/>
      <c r="G36" s="109"/>
      <c r="H36" s="109"/>
      <c r="I36" s="109"/>
      <c r="J36" s="109"/>
      <c r="K36" s="111"/>
      <c r="L36" s="111"/>
      <c r="M36" s="111"/>
      <c r="N36" s="113"/>
      <c r="O36" s="114"/>
      <c r="P36" s="95"/>
      <c r="W36" s="97"/>
      <c r="X36" s="97"/>
      <c r="Y36" s="97"/>
    </row>
    <row r="37" spans="1:33" ht="21" x14ac:dyDescent="0.35">
      <c r="A37" s="101"/>
      <c r="B37" s="102"/>
      <c r="C37" s="109"/>
      <c r="D37" s="109" t="s">
        <v>105</v>
      </c>
      <c r="E37" s="117">
        <v>0.06</v>
      </c>
      <c r="F37" s="109" t="s">
        <v>106</v>
      </c>
      <c r="G37" s="109"/>
      <c r="H37" s="109"/>
      <c r="I37" s="109"/>
      <c r="J37" s="109"/>
      <c r="K37" s="111"/>
      <c r="L37" s="111"/>
      <c r="M37" s="111"/>
      <c r="N37" s="113"/>
      <c r="O37" s="114"/>
      <c r="P37" s="95"/>
      <c r="W37" s="97"/>
      <c r="Y37" s="97"/>
    </row>
    <row r="38" spans="1:33" ht="21" x14ac:dyDescent="0.35">
      <c r="A38" s="101"/>
      <c r="B38" s="102"/>
      <c r="C38" s="109"/>
      <c r="D38" s="109" t="s">
        <v>107</v>
      </c>
      <c r="E38" s="117">
        <v>0</v>
      </c>
      <c r="F38" s="109" t="s">
        <v>108</v>
      </c>
      <c r="G38" s="109"/>
      <c r="H38" s="109"/>
      <c r="I38" s="109"/>
      <c r="J38" s="109"/>
      <c r="K38" s="111"/>
      <c r="L38" s="111"/>
      <c r="M38" s="111"/>
      <c r="N38" s="113"/>
      <c r="O38" s="114"/>
      <c r="P38" s="328"/>
      <c r="Y38" s="97"/>
    </row>
    <row r="39" spans="1:33" ht="21" x14ac:dyDescent="0.35">
      <c r="A39" s="101" t="s">
        <v>109</v>
      </c>
      <c r="B39" s="102"/>
      <c r="C39" s="109" t="s">
        <v>110</v>
      </c>
      <c r="D39" s="109"/>
      <c r="E39" s="109"/>
      <c r="F39" s="109"/>
      <c r="G39" s="109"/>
      <c r="H39" s="109"/>
      <c r="I39" s="109"/>
      <c r="J39" s="109"/>
      <c r="K39" s="111"/>
      <c r="L39" s="111"/>
      <c r="M39" s="111"/>
      <c r="N39" s="113"/>
      <c r="O39" s="114"/>
      <c r="P39" s="95"/>
    </row>
    <row r="40" spans="1:33" ht="21" x14ac:dyDescent="0.35">
      <c r="A40" s="101" t="s">
        <v>111</v>
      </c>
      <c r="B40" s="102"/>
      <c r="C40" s="109" t="s">
        <v>363</v>
      </c>
      <c r="D40" s="109"/>
      <c r="E40" s="109"/>
      <c r="F40" s="109"/>
      <c r="G40" s="109"/>
      <c r="H40" s="109"/>
      <c r="I40" s="109"/>
      <c r="J40" s="109"/>
      <c r="K40" s="111"/>
      <c r="L40" s="111"/>
      <c r="M40" s="111"/>
      <c r="N40" s="113"/>
      <c r="O40" s="114"/>
      <c r="P40" s="95"/>
    </row>
    <row r="41" spans="1:33" ht="21" x14ac:dyDescent="0.35">
      <c r="A41" s="101"/>
      <c r="B41" s="102"/>
      <c r="C41" s="109" t="s">
        <v>364</v>
      </c>
      <c r="D41" s="109"/>
      <c r="E41" s="109"/>
      <c r="F41" s="109"/>
      <c r="G41" s="109"/>
      <c r="H41" s="109"/>
      <c r="I41" s="109"/>
      <c r="J41" s="109"/>
      <c r="K41" s="111"/>
      <c r="L41" s="111"/>
      <c r="M41" s="111"/>
      <c r="N41" s="113"/>
      <c r="O41" s="114"/>
      <c r="P41" s="95"/>
    </row>
    <row r="42" spans="1:33" ht="21" x14ac:dyDescent="0.35">
      <c r="A42" s="101" t="s">
        <v>112</v>
      </c>
      <c r="B42" s="102"/>
      <c r="C42" s="109" t="s">
        <v>365</v>
      </c>
      <c r="D42" s="109"/>
      <c r="E42" s="109"/>
      <c r="F42" s="109"/>
      <c r="G42" s="109"/>
      <c r="H42" s="109"/>
      <c r="I42" s="109"/>
      <c r="J42" s="109"/>
      <c r="K42" s="111"/>
      <c r="L42" s="111"/>
      <c r="M42" s="111"/>
      <c r="N42" s="113"/>
      <c r="O42" s="114"/>
      <c r="P42" s="95"/>
    </row>
    <row r="43" spans="1:33" ht="21" x14ac:dyDescent="0.35">
      <c r="A43" s="101"/>
      <c r="B43" s="102"/>
      <c r="C43" s="108" t="s">
        <v>366</v>
      </c>
      <c r="D43" s="109"/>
      <c r="E43" s="109"/>
      <c r="F43" s="109"/>
      <c r="G43" s="109"/>
      <c r="H43" s="109"/>
      <c r="I43" s="109"/>
      <c r="J43" s="109"/>
      <c r="K43" s="111"/>
      <c r="L43" s="111"/>
      <c r="M43" s="111"/>
      <c r="N43" s="113"/>
      <c r="O43" s="114"/>
      <c r="P43" s="95"/>
    </row>
    <row r="44" spans="1:33" ht="21" x14ac:dyDescent="0.35">
      <c r="A44" s="101"/>
      <c r="B44" s="102"/>
      <c r="C44" s="109" t="s">
        <v>367</v>
      </c>
      <c r="D44" s="109"/>
      <c r="E44" s="109"/>
      <c r="F44" s="109"/>
      <c r="G44" s="109"/>
      <c r="H44" s="109"/>
      <c r="I44" s="109"/>
      <c r="J44" s="109"/>
      <c r="K44" s="111"/>
      <c r="L44" s="111"/>
      <c r="M44" s="111"/>
      <c r="N44" s="113"/>
      <c r="O44" s="114"/>
      <c r="P44" s="95"/>
    </row>
    <row r="45" spans="1:33" ht="21" x14ac:dyDescent="0.35">
      <c r="A45" s="101"/>
      <c r="B45" s="102"/>
      <c r="C45" s="109" t="s">
        <v>368</v>
      </c>
      <c r="D45" s="109"/>
      <c r="E45" s="109"/>
      <c r="F45" s="109"/>
      <c r="G45" s="109"/>
      <c r="H45" s="109"/>
      <c r="I45" s="109"/>
      <c r="J45" s="109"/>
      <c r="K45" s="111"/>
      <c r="L45" s="111"/>
      <c r="M45" s="111"/>
      <c r="N45" s="113"/>
      <c r="O45" s="114"/>
      <c r="P45" s="95"/>
    </row>
    <row r="46" spans="1:33" ht="21" x14ac:dyDescent="0.35">
      <c r="A46" s="101" t="s">
        <v>113</v>
      </c>
      <c r="B46" s="102"/>
      <c r="C46" s="108" t="s">
        <v>396</v>
      </c>
      <c r="D46" s="109"/>
      <c r="E46" s="109"/>
      <c r="F46" s="109"/>
      <c r="G46" s="109"/>
      <c r="H46" s="109"/>
      <c r="I46" s="109"/>
      <c r="J46" s="109"/>
      <c r="K46" s="111"/>
      <c r="L46" s="111"/>
      <c r="M46" s="111"/>
      <c r="N46" s="113"/>
      <c r="O46" s="114"/>
      <c r="P46" s="95"/>
    </row>
    <row r="47" spans="1:33" ht="21" x14ac:dyDescent="0.35">
      <c r="A47" s="101" t="s">
        <v>114</v>
      </c>
      <c r="B47" s="102"/>
      <c r="C47" s="108" t="s">
        <v>397</v>
      </c>
      <c r="D47" s="109"/>
      <c r="E47" s="109"/>
      <c r="F47" s="109"/>
      <c r="G47" s="109"/>
      <c r="H47" s="109"/>
      <c r="I47" s="109"/>
      <c r="J47" s="109"/>
      <c r="K47" s="111"/>
      <c r="L47" s="111"/>
      <c r="M47" s="111"/>
      <c r="N47" s="113"/>
      <c r="O47" s="114"/>
      <c r="P47" s="95"/>
    </row>
    <row r="48" spans="1:33" ht="21" x14ac:dyDescent="0.35">
      <c r="A48" s="101"/>
      <c r="B48" s="102"/>
      <c r="C48" s="109" t="s">
        <v>369</v>
      </c>
      <c r="D48" s="109"/>
      <c r="E48" s="109"/>
      <c r="F48" s="109"/>
      <c r="G48" s="109"/>
      <c r="H48" s="109"/>
      <c r="I48" s="109"/>
      <c r="J48" s="109"/>
      <c r="K48" s="111"/>
      <c r="L48" s="111"/>
      <c r="M48" s="111"/>
      <c r="N48" s="113"/>
      <c r="O48" s="114"/>
      <c r="P48" s="95"/>
    </row>
    <row r="49" spans="1:19" ht="21" x14ac:dyDescent="0.35">
      <c r="A49" s="101" t="s">
        <v>115</v>
      </c>
      <c r="B49" s="102"/>
      <c r="C49" s="108" t="s">
        <v>370</v>
      </c>
      <c r="D49" s="109"/>
      <c r="E49" s="109"/>
      <c r="F49" s="109"/>
      <c r="G49" s="109"/>
      <c r="H49" s="109"/>
      <c r="I49" s="109"/>
      <c r="J49" s="109"/>
      <c r="K49" s="111"/>
      <c r="L49" s="111"/>
      <c r="M49" s="111"/>
      <c r="N49" s="113"/>
      <c r="O49" s="114"/>
      <c r="P49" s="95"/>
    </row>
    <row r="50" spans="1:19" ht="21" x14ac:dyDescent="0.35">
      <c r="A50" s="101"/>
      <c r="B50" s="102"/>
      <c r="C50" s="109" t="s">
        <v>371</v>
      </c>
      <c r="D50" s="109"/>
      <c r="E50" s="109"/>
      <c r="F50" s="109"/>
      <c r="G50" s="109"/>
      <c r="H50" s="109"/>
      <c r="I50" s="109"/>
      <c r="J50" s="109"/>
      <c r="K50" s="111"/>
      <c r="L50" s="111"/>
      <c r="M50" s="111"/>
      <c r="N50" s="113"/>
      <c r="O50" s="114"/>
      <c r="P50" s="95"/>
    </row>
    <row r="51" spans="1:19" ht="21" x14ac:dyDescent="0.35">
      <c r="A51" s="101" t="s">
        <v>116</v>
      </c>
      <c r="B51" s="102"/>
      <c r="C51" s="109" t="s">
        <v>117</v>
      </c>
      <c r="D51" s="109"/>
      <c r="E51" s="109"/>
      <c r="F51" s="109"/>
      <c r="G51" s="109"/>
      <c r="H51" s="109"/>
      <c r="I51" s="109"/>
      <c r="J51" s="109"/>
      <c r="K51" s="111"/>
      <c r="L51" s="111"/>
      <c r="M51" s="111"/>
      <c r="N51" s="113"/>
      <c r="O51" s="114"/>
      <c r="P51" s="95"/>
    </row>
    <row r="52" spans="1:19" ht="18.75" x14ac:dyDescent="0.3">
      <c r="A52" s="101" t="s">
        <v>118</v>
      </c>
      <c r="B52" s="91"/>
      <c r="C52" s="109" t="s">
        <v>254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92"/>
      <c r="O52" s="114"/>
      <c r="P52" s="95"/>
    </row>
    <row r="53" spans="1:19" ht="18.75" x14ac:dyDescent="0.3">
      <c r="A53" s="119" t="s">
        <v>119</v>
      </c>
      <c r="B53" s="120"/>
      <c r="C53" s="121" t="s">
        <v>372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95"/>
    </row>
    <row r="54" spans="1:19" ht="18.75" x14ac:dyDescent="0.3">
      <c r="A54" s="120"/>
      <c r="B54" s="120"/>
      <c r="C54" s="121" t="s">
        <v>373</v>
      </c>
      <c r="D54" s="122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95"/>
    </row>
    <row r="55" spans="1:19" ht="18.75" x14ac:dyDescent="0.3">
      <c r="A55" s="120"/>
      <c r="B55" s="120"/>
      <c r="C55" s="121" t="s">
        <v>374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95"/>
    </row>
    <row r="56" spans="1:19" ht="18.75" x14ac:dyDescent="0.3">
      <c r="A56" s="120"/>
      <c r="B56" s="120"/>
      <c r="C56" s="121" t="s">
        <v>375</v>
      </c>
      <c r="D56" s="124"/>
      <c r="E56" s="125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6"/>
      <c r="Q56" s="127"/>
      <c r="R56" s="127"/>
      <c r="S56" s="127"/>
    </row>
    <row r="57" spans="1:19" ht="18.75" x14ac:dyDescent="0.3">
      <c r="A57" s="119" t="s">
        <v>120</v>
      </c>
      <c r="B57" s="120"/>
      <c r="C57" s="123" t="s">
        <v>121</v>
      </c>
      <c r="D57" s="126"/>
      <c r="E57" s="126"/>
      <c r="F57" s="126"/>
      <c r="G57" s="126"/>
      <c r="H57" s="126"/>
      <c r="I57" s="126"/>
      <c r="J57" s="124"/>
      <c r="K57" s="124"/>
      <c r="L57" s="124"/>
      <c r="M57" s="124"/>
      <c r="P57" s="126"/>
      <c r="Q57" s="127"/>
      <c r="R57" s="127"/>
      <c r="S57" s="127"/>
    </row>
    <row r="58" spans="1:19" ht="18.75" x14ac:dyDescent="0.3">
      <c r="A58" s="128" t="s">
        <v>122</v>
      </c>
      <c r="B58" s="116"/>
      <c r="C58" s="329" t="s">
        <v>376</v>
      </c>
      <c r="D58" s="124"/>
      <c r="E58" s="124"/>
      <c r="F58" s="124"/>
      <c r="G58" s="124"/>
      <c r="H58" s="124"/>
      <c r="I58" s="124"/>
      <c r="J58" s="124"/>
      <c r="K58" s="124"/>
      <c r="L58" s="124"/>
      <c r="M58" s="126"/>
      <c r="N58" s="126"/>
      <c r="O58" s="126"/>
    </row>
    <row r="59" spans="1:19" ht="18.75" x14ac:dyDescent="0.3">
      <c r="A59" s="128"/>
      <c r="B59" s="116"/>
      <c r="C59" s="329" t="s">
        <v>377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6"/>
      <c r="N59" s="126"/>
      <c r="O59" s="126"/>
    </row>
    <row r="60" spans="1:19" ht="18.75" x14ac:dyDescent="0.3">
      <c r="A60" s="119" t="s">
        <v>286</v>
      </c>
      <c r="B60" s="116"/>
      <c r="C60" s="329" t="s">
        <v>408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6"/>
      <c r="N60" s="126"/>
      <c r="O60" s="126"/>
      <c r="P60" s="126"/>
      <c r="Q60" s="127"/>
      <c r="R60" s="127"/>
      <c r="S60" s="127"/>
    </row>
    <row r="61" spans="1:19" ht="18.75" x14ac:dyDescent="0.3">
      <c r="A61" s="119"/>
      <c r="B61" s="116"/>
      <c r="C61" s="329" t="s">
        <v>398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6"/>
      <c r="N61" s="126"/>
      <c r="O61" s="126"/>
      <c r="P61" s="126"/>
      <c r="Q61" s="127"/>
      <c r="R61" s="127"/>
      <c r="S61" s="127"/>
    </row>
    <row r="62" spans="1:19" ht="18.75" x14ac:dyDescent="0.3">
      <c r="A62" s="119" t="s">
        <v>132</v>
      </c>
      <c r="B62" s="120"/>
      <c r="C62" s="329" t="s">
        <v>422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7"/>
      <c r="R62" s="127"/>
      <c r="S62" s="127"/>
    </row>
    <row r="63" spans="1:19" ht="18.75" x14ac:dyDescent="0.3">
      <c r="A63" s="119"/>
      <c r="B63" s="120"/>
      <c r="C63" s="329" t="s">
        <v>423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/>
      <c r="R63" s="127"/>
      <c r="S63" s="127"/>
    </row>
    <row r="64" spans="1:19" ht="18.75" x14ac:dyDescent="0.3">
      <c r="A64" s="119" t="s">
        <v>251</v>
      </c>
      <c r="B64" s="120"/>
      <c r="C64" s="329" t="s">
        <v>350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7"/>
      <c r="R64" s="127"/>
      <c r="S64" s="127"/>
    </row>
    <row r="65" spans="1:50" ht="18.75" x14ac:dyDescent="0.3">
      <c r="A65" s="119" t="s">
        <v>304</v>
      </c>
      <c r="B65" s="120"/>
      <c r="C65" s="329" t="s">
        <v>395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6"/>
      <c r="Q65" s="127"/>
      <c r="R65" s="127"/>
      <c r="S65" s="127"/>
      <c r="Z65" s="97"/>
      <c r="AA65" s="97"/>
      <c r="AC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:50" ht="18.75" x14ac:dyDescent="0.3">
      <c r="A66" s="120"/>
      <c r="B66" s="120"/>
      <c r="C66" s="361" t="s">
        <v>399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V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:50" ht="18.75" x14ac:dyDescent="0.3">
      <c r="A67" s="120"/>
      <c r="B67" s="120"/>
      <c r="C67" s="120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V67" s="97"/>
      <c r="X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:50" ht="18.75" x14ac:dyDescent="0.3">
      <c r="A68" s="120"/>
      <c r="B68" s="120"/>
      <c r="C68" s="120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V68" s="97"/>
      <c r="W68" s="97"/>
      <c r="X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:50" ht="18.75" x14ac:dyDescent="0.3">
      <c r="A69" s="120"/>
      <c r="B69" s="120"/>
      <c r="C69" s="120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ht="18.75" x14ac:dyDescent="0.3">
      <c r="A70" s="120"/>
      <c r="B70" s="120"/>
      <c r="C70" s="120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ht="18.75" x14ac:dyDescent="0.3">
      <c r="A71" s="120"/>
      <c r="B71" s="120"/>
      <c r="P71" s="127"/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ht="149.25" customHeight="1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7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7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7:50" x14ac:dyDescent="0.25"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7:50" x14ac:dyDescent="0.25">
      <c r="Q180" s="127"/>
      <c r="R180" s="127"/>
      <c r="S180" s="12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7:50" x14ac:dyDescent="0.25">
      <c r="Q181" s="127"/>
      <c r="R181" s="127"/>
      <c r="S181" s="12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7:50" x14ac:dyDescent="0.25">
      <c r="Q182" s="127"/>
      <c r="R182" s="127"/>
      <c r="S182" s="12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7:50" x14ac:dyDescent="0.25">
      <c r="Q183" s="127"/>
      <c r="R183" s="127"/>
      <c r="S183" s="12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7:50" x14ac:dyDescent="0.25">
      <c r="Q184" s="127"/>
      <c r="R184" s="127"/>
      <c r="S184" s="12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7:50" x14ac:dyDescent="0.25">
      <c r="Q185" s="127"/>
      <c r="R185" s="127"/>
      <c r="S185" s="12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7:50" x14ac:dyDescent="0.25">
      <c r="Q186" s="127"/>
      <c r="R186" s="127"/>
      <c r="S186" s="12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7:50" x14ac:dyDescent="0.25">
      <c r="Q187" s="127"/>
      <c r="R187" s="127"/>
      <c r="S187" s="12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7:50" x14ac:dyDescent="0.25">
      <c r="Q188" s="127"/>
      <c r="R188" s="127"/>
      <c r="S188" s="12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7:50" x14ac:dyDescent="0.25">
      <c r="Q189" s="127"/>
      <c r="R189" s="127"/>
      <c r="S189" s="12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7:50" x14ac:dyDescent="0.25">
      <c r="Q190" s="127"/>
      <c r="R190" s="127"/>
      <c r="S190" s="12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7:50" x14ac:dyDescent="0.25">
      <c r="Q191" s="127"/>
      <c r="R191" s="127"/>
      <c r="S191" s="12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7:50" x14ac:dyDescent="0.25">
      <c r="Q192" s="127"/>
      <c r="R192" s="127"/>
      <c r="S192" s="12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7:50" x14ac:dyDescent="0.25">
      <c r="Q193" s="127"/>
      <c r="R193" s="127"/>
      <c r="S193" s="12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7:50" x14ac:dyDescent="0.25">
      <c r="Q194" s="127"/>
      <c r="R194" s="127"/>
      <c r="S194" s="12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7:50" x14ac:dyDescent="0.25">
      <c r="Q195" s="127"/>
      <c r="R195" s="127"/>
      <c r="S195" s="12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7:50" x14ac:dyDescent="0.25">
      <c r="Q196" s="127"/>
      <c r="R196" s="127"/>
      <c r="S196" s="12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7:50" x14ac:dyDescent="0.25">
      <c r="Q197" s="127"/>
      <c r="R197" s="127"/>
      <c r="S197" s="12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7:50" x14ac:dyDescent="0.25">
      <c r="Q198" s="127"/>
      <c r="R198" s="127"/>
      <c r="S198" s="12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7:50" x14ac:dyDescent="0.25">
      <c r="Q199" s="127"/>
      <c r="R199" s="127"/>
      <c r="S199" s="12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7:50" x14ac:dyDescent="0.25">
      <c r="Q200" s="127"/>
      <c r="R200" s="127"/>
      <c r="S200" s="12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7:50" x14ac:dyDescent="0.25">
      <c r="Q201" s="127"/>
      <c r="R201" s="127"/>
      <c r="S201" s="12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7:50" x14ac:dyDescent="0.25">
      <c r="Q202" s="127"/>
      <c r="R202" s="127"/>
      <c r="S202" s="12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7:50" x14ac:dyDescent="0.25">
      <c r="Q203" s="127"/>
      <c r="R203" s="127"/>
      <c r="S203" s="12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7:50" x14ac:dyDescent="0.25">
      <c r="Q204" s="127"/>
      <c r="R204" s="127"/>
      <c r="S204" s="12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7:50" x14ac:dyDescent="0.25">
      <c r="Q205" s="127"/>
      <c r="R205" s="127"/>
      <c r="S205" s="12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7:50" x14ac:dyDescent="0.25">
      <c r="Q206" s="127"/>
      <c r="R206" s="127"/>
      <c r="S206" s="12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7:50" x14ac:dyDescent="0.25">
      <c r="Q207" s="127"/>
      <c r="R207" s="127"/>
      <c r="S207" s="12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7:50" x14ac:dyDescent="0.25">
      <c r="Q208" s="127"/>
      <c r="R208" s="127"/>
      <c r="S208" s="12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Q209" s="127"/>
      <c r="R209" s="127"/>
      <c r="S209" s="12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Q210" s="127"/>
      <c r="R210" s="127"/>
      <c r="S210" s="12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Q211" s="127"/>
      <c r="R211" s="127"/>
      <c r="S211" s="12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Q212" s="127"/>
      <c r="R212" s="127"/>
      <c r="S212" s="12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Q213" s="127"/>
      <c r="R213" s="127"/>
      <c r="S213" s="12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129"/>
      <c r="Q270" s="129"/>
      <c r="R270" s="129"/>
      <c r="S270" s="129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</row>
    <row r="353" spans="1:50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</row>
    <row r="354" spans="1:50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</row>
    <row r="355" spans="1:50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</row>
    <row r="356" spans="1:50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</row>
    <row r="357" spans="1:50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</row>
    <row r="358" spans="1:50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</row>
    <row r="359" spans="1:50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</row>
    <row r="360" spans="1:50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</row>
    <row r="361" spans="1:50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</row>
    <row r="362" spans="1:50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</row>
    <row r="363" spans="1:50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</row>
    <row r="364" spans="1:50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</row>
    <row r="365" spans="1:50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</row>
    <row r="366" spans="1:50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</row>
    <row r="367" spans="1:50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</row>
    <row r="368" spans="1:50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</row>
    <row r="369" spans="1:50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</row>
    <row r="370" spans="1:50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</row>
    <row r="371" spans="1:50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</row>
    <row r="372" spans="1:50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</row>
    <row r="373" spans="1:50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</row>
    <row r="374" spans="1:50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</row>
    <row r="375" spans="1:50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</row>
    <row r="376" spans="1:50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</row>
    <row r="377" spans="1:50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</row>
    <row r="378" spans="1:50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</row>
    <row r="379" spans="1:50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</row>
    <row r="380" spans="1:50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</row>
    <row r="381" spans="1:50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AB381" s="97"/>
      <c r="AD381" s="97"/>
      <c r="AE381" s="97"/>
    </row>
    <row r="382" spans="1:50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W382" s="97"/>
      <c r="X382" s="97"/>
      <c r="Y382" s="97"/>
    </row>
    <row r="383" spans="1:50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W383" s="97"/>
      <c r="Y383" s="97"/>
    </row>
    <row r="384" spans="1:50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Y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1:14" x14ac:dyDescent="0.2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  <row r="574" spans="1:14" x14ac:dyDescent="0.2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</row>
    <row r="575" spans="1:14" x14ac:dyDescent="0.2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</row>
    <row r="576" spans="1:14" x14ac:dyDescent="0.2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</row>
    <row r="577" spans="1:14" x14ac:dyDescent="0.2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</row>
    <row r="578" spans="1:14" x14ac:dyDescent="0.2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</row>
    <row r="579" spans="1:14" x14ac:dyDescent="0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</row>
    <row r="580" spans="1:14" x14ac:dyDescent="0.2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</row>
    <row r="581" spans="1:14" x14ac:dyDescent="0.2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</row>
    <row r="582" spans="1:14" x14ac:dyDescent="0.2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1:14" x14ac:dyDescent="0.2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  <row r="584" spans="1:14" x14ac:dyDescent="0.2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</row>
    <row r="585" spans="1:14" x14ac:dyDescent="0.2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</row>
    <row r="586" spans="1:14" x14ac:dyDescent="0.2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</row>
    <row r="587" spans="1:14" x14ac:dyDescent="0.2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</row>
    <row r="588" spans="1:14" x14ac:dyDescent="0.2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</row>
    <row r="589" spans="1:14" x14ac:dyDescent="0.2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</row>
    <row r="590" spans="1:14" x14ac:dyDescent="0.2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</row>
    <row r="591" spans="1:14" x14ac:dyDescent="0.2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</row>
    <row r="592" spans="1:14" x14ac:dyDescent="0.2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</row>
    <row r="593" spans="1:14" x14ac:dyDescent="0.2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</row>
    <row r="594" spans="1:14" x14ac:dyDescent="0.2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</row>
    <row r="595" spans="1:14" x14ac:dyDescent="0.2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1:14" x14ac:dyDescent="0.2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  <row r="597" spans="1:14" x14ac:dyDescent="0.2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</row>
    <row r="598" spans="1:14" x14ac:dyDescent="0.2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</row>
    <row r="599" spans="1:14" x14ac:dyDescent="0.2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</row>
    <row r="600" spans="1:14" x14ac:dyDescent="0.2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</row>
    <row r="601" spans="1:14" x14ac:dyDescent="0.2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</row>
    <row r="602" spans="1:14" x14ac:dyDescent="0.2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</row>
    <row r="603" spans="1:14" x14ac:dyDescent="0.2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</row>
    <row r="604" spans="1:14" x14ac:dyDescent="0.2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</row>
    <row r="605" spans="1:14" x14ac:dyDescent="0.25">
      <c r="A605" s="97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</row>
    <row r="606" spans="1:14" x14ac:dyDescent="0.25">
      <c r="A606" s="97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</row>
  </sheetData>
  <printOptions horizontalCentered="1"/>
  <pageMargins left="0.75" right="0.25" top="0.52" bottom="0.49" header="0.5" footer="0.5"/>
  <pageSetup scale="47" orientation="portrait" r:id="rId1"/>
  <headerFooter alignWithMargins="0"/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/>
  </sheetViews>
  <sheetFormatPr defaultColWidth="9.33203125" defaultRowHeight="12.75" x14ac:dyDescent="0.2"/>
  <cols>
    <col min="1" max="1" width="9.33203125" style="130"/>
    <col min="2" max="2" width="54" style="130" bestFit="1" customWidth="1"/>
    <col min="3" max="3" width="10.5" style="130" bestFit="1" customWidth="1"/>
    <col min="4" max="16384" width="9.33203125" style="130"/>
  </cols>
  <sheetData>
    <row r="1" spans="1:5" ht="15.75" x14ac:dyDescent="0.25">
      <c r="A1" s="372" t="s">
        <v>139</v>
      </c>
    </row>
    <row r="3" spans="1:5" ht="15.75" x14ac:dyDescent="0.25">
      <c r="A3" s="373" t="s">
        <v>140</v>
      </c>
    </row>
    <row r="5" spans="1:5" ht="15.75" x14ac:dyDescent="0.25">
      <c r="A5" s="374"/>
      <c r="B5" s="374"/>
      <c r="C5" s="375" t="s">
        <v>141</v>
      </c>
    </row>
    <row r="6" spans="1:5" ht="15.75" x14ac:dyDescent="0.25">
      <c r="A6" s="374"/>
      <c r="B6" s="374"/>
      <c r="C6" s="375" t="s">
        <v>142</v>
      </c>
    </row>
    <row r="7" spans="1:5" ht="15.75" x14ac:dyDescent="0.25">
      <c r="A7" s="573" t="s">
        <v>143</v>
      </c>
      <c r="B7" s="573"/>
      <c r="C7" s="376" t="s">
        <v>144</v>
      </c>
    </row>
    <row r="8" spans="1:5" ht="15.75" x14ac:dyDescent="0.25">
      <c r="A8" s="377"/>
      <c r="B8" s="377"/>
      <c r="C8" s="378"/>
    </row>
    <row r="9" spans="1:5" ht="15.75" x14ac:dyDescent="0.25">
      <c r="A9" s="194"/>
      <c r="B9" s="374"/>
      <c r="C9" s="374"/>
    </row>
    <row r="10" spans="1:5" ht="15.75" x14ac:dyDescent="0.25">
      <c r="A10" s="379" t="s">
        <v>145</v>
      </c>
      <c r="B10" s="374"/>
      <c r="C10" s="380"/>
    </row>
    <row r="11" spans="1:5" ht="15.75" x14ac:dyDescent="0.25">
      <c r="A11" s="374"/>
      <c r="B11" s="374" t="s">
        <v>146</v>
      </c>
      <c r="C11" s="381">
        <v>9.7999999999999997E-3</v>
      </c>
      <c r="E11" s="333"/>
    </row>
    <row r="12" spans="1:5" ht="15.75" x14ac:dyDescent="0.25">
      <c r="A12" s="374"/>
      <c r="B12" s="374" t="s">
        <v>147</v>
      </c>
      <c r="C12" s="381">
        <v>0</v>
      </c>
      <c r="E12" s="333"/>
    </row>
    <row r="13" spans="1:5" ht="15.75" x14ac:dyDescent="0.25">
      <c r="A13" s="374"/>
      <c r="B13" s="374" t="s">
        <v>148</v>
      </c>
      <c r="C13" s="380">
        <v>1.54E-2</v>
      </c>
      <c r="E13" s="334"/>
    </row>
    <row r="14" spans="1:5" ht="15.75" x14ac:dyDescent="0.25">
      <c r="A14" s="374"/>
      <c r="B14" s="374" t="s">
        <v>149</v>
      </c>
      <c r="C14" s="380">
        <v>1.43E-2</v>
      </c>
      <c r="E14" s="334"/>
    </row>
    <row r="15" spans="1:5" ht="15.75" x14ac:dyDescent="0.25">
      <c r="A15" s="374"/>
      <c r="B15" s="374" t="s">
        <v>150</v>
      </c>
      <c r="C15" s="380">
        <v>1.9800000000000002E-2</v>
      </c>
      <c r="E15" s="333"/>
    </row>
    <row r="16" spans="1:5" ht="15.75" x14ac:dyDescent="0.25">
      <c r="A16" s="374"/>
      <c r="B16" s="374" t="s">
        <v>151</v>
      </c>
      <c r="C16" s="380">
        <v>4.5999999999999999E-3</v>
      </c>
      <c r="E16" s="333"/>
    </row>
    <row r="17" spans="1:5" ht="15.75" x14ac:dyDescent="0.25">
      <c r="A17" s="374"/>
      <c r="B17" s="382" t="s">
        <v>152</v>
      </c>
      <c r="C17" s="380">
        <v>1.21E-2</v>
      </c>
      <c r="E17" s="333"/>
    </row>
    <row r="18" spans="1:5" ht="15.75" x14ac:dyDescent="0.25">
      <c r="A18" s="374"/>
      <c r="B18" s="382" t="s">
        <v>153</v>
      </c>
      <c r="C18" s="380">
        <v>2.2800000000000001E-2</v>
      </c>
      <c r="E18" s="333"/>
    </row>
    <row r="19" spans="1:5" ht="15.75" x14ac:dyDescent="0.25">
      <c r="A19" s="374"/>
      <c r="B19" s="374" t="s">
        <v>154</v>
      </c>
      <c r="C19" s="380">
        <v>1.7899999999999999E-2</v>
      </c>
      <c r="E19" s="333"/>
    </row>
    <row r="20" spans="1:5" ht="15.75" x14ac:dyDescent="0.25">
      <c r="A20" s="374"/>
      <c r="B20" s="374" t="s">
        <v>155</v>
      </c>
      <c r="C20" s="380">
        <v>2.5999999999999999E-2</v>
      </c>
      <c r="E20" s="333"/>
    </row>
    <row r="21" spans="1:5" ht="15.75" x14ac:dyDescent="0.25">
      <c r="A21" s="374"/>
      <c r="B21" s="382" t="s">
        <v>156</v>
      </c>
      <c r="C21" s="380">
        <v>1.26E-2</v>
      </c>
      <c r="E21" s="333"/>
    </row>
    <row r="22" spans="1:5" ht="15.75" x14ac:dyDescent="0.25">
      <c r="A22" s="374"/>
      <c r="B22" s="390" t="s">
        <v>424</v>
      </c>
      <c r="C22" s="383"/>
    </row>
    <row r="23" spans="1:5" ht="15.75" x14ac:dyDescent="0.25">
      <c r="A23" s="374"/>
      <c r="B23" s="379" t="s">
        <v>157</v>
      </c>
      <c r="C23" s="380"/>
    </row>
    <row r="26" spans="1:5" ht="15.75" x14ac:dyDescent="0.25">
      <c r="A26" s="373" t="s">
        <v>158</v>
      </c>
    </row>
    <row r="28" spans="1:5" ht="15.75" x14ac:dyDescent="0.25">
      <c r="A28" s="384"/>
      <c r="B28" s="384"/>
      <c r="C28" s="375" t="s">
        <v>141</v>
      </c>
    </row>
    <row r="29" spans="1:5" ht="15.75" x14ac:dyDescent="0.25">
      <c r="A29" s="384"/>
      <c r="B29" s="367"/>
      <c r="C29" s="375" t="s">
        <v>142</v>
      </c>
    </row>
    <row r="30" spans="1:5" ht="15.75" x14ac:dyDescent="0.25">
      <c r="A30" s="573" t="s">
        <v>143</v>
      </c>
      <c r="B30" s="573"/>
      <c r="C30" s="376" t="s">
        <v>144</v>
      </c>
    </row>
    <row r="31" spans="1:5" ht="15.75" x14ac:dyDescent="0.25">
      <c r="A31" s="384"/>
      <c r="B31" s="384"/>
      <c r="C31" s="378"/>
    </row>
    <row r="32" spans="1:5" ht="15.75" x14ac:dyDescent="0.25">
      <c r="A32" s="385" t="s">
        <v>159</v>
      </c>
      <c r="B32" s="384"/>
      <c r="C32" s="386"/>
    </row>
    <row r="33" spans="1:5" ht="15.75" x14ac:dyDescent="0.25">
      <c r="A33" s="387" t="s">
        <v>160</v>
      </c>
      <c r="B33" s="388"/>
      <c r="C33" s="389"/>
    </row>
    <row r="34" spans="1:5" ht="15.75" x14ac:dyDescent="0.25">
      <c r="A34" s="384"/>
      <c r="B34" s="390" t="s">
        <v>161</v>
      </c>
      <c r="C34" s="391">
        <v>0</v>
      </c>
      <c r="E34" s="335"/>
    </row>
    <row r="35" spans="1:5" ht="15.75" x14ac:dyDescent="0.25">
      <c r="A35" s="384"/>
      <c r="B35" s="390" t="s">
        <v>146</v>
      </c>
      <c r="C35" s="392">
        <v>3.9199999999999999E-2</v>
      </c>
      <c r="E35" s="335"/>
    </row>
    <row r="36" spans="1:5" ht="15.75" x14ac:dyDescent="0.25">
      <c r="A36" s="384"/>
      <c r="B36" s="390" t="s">
        <v>162</v>
      </c>
      <c r="C36" s="392">
        <v>1.17E-2</v>
      </c>
      <c r="E36" s="335"/>
    </row>
    <row r="37" spans="1:5" ht="15.75" x14ac:dyDescent="0.25">
      <c r="A37" s="384"/>
      <c r="B37" s="390" t="s">
        <v>150</v>
      </c>
      <c r="C37" s="393">
        <v>1.32E-2</v>
      </c>
      <c r="E37" s="335"/>
    </row>
    <row r="38" spans="1:5" ht="15.75" x14ac:dyDescent="0.25">
      <c r="A38" s="384"/>
      <c r="B38" s="390" t="s">
        <v>152</v>
      </c>
      <c r="C38" s="392">
        <v>1.38E-2</v>
      </c>
      <c r="E38" s="335"/>
    </row>
    <row r="39" spans="1:5" ht="15.75" x14ac:dyDescent="0.25">
      <c r="A39" s="384"/>
      <c r="B39" s="390" t="s">
        <v>153</v>
      </c>
      <c r="C39" s="392">
        <v>2.9499999999999998E-2</v>
      </c>
      <c r="E39" s="335"/>
    </row>
    <row r="40" spans="1:5" ht="15.75" x14ac:dyDescent="0.25">
      <c r="A40" s="384"/>
      <c r="B40" s="390" t="s">
        <v>163</v>
      </c>
      <c r="C40" s="392">
        <v>2.52E-2</v>
      </c>
      <c r="E40" s="335"/>
    </row>
    <row r="41" spans="1:5" ht="15.75" x14ac:dyDescent="0.25">
      <c r="A41" s="384"/>
      <c r="B41" s="390" t="s">
        <v>155</v>
      </c>
      <c r="C41" s="392">
        <v>1.8499999999999999E-2</v>
      </c>
      <c r="E41" s="335"/>
    </row>
    <row r="42" spans="1:5" ht="15.75" x14ac:dyDescent="0.25">
      <c r="A42" s="384"/>
      <c r="B42" s="390" t="s">
        <v>156</v>
      </c>
      <c r="C42" s="392">
        <v>3.6499999999999998E-2</v>
      </c>
      <c r="E42" s="335"/>
    </row>
    <row r="43" spans="1:5" ht="15.75" x14ac:dyDescent="0.25">
      <c r="A43" s="384"/>
      <c r="B43" s="390" t="s">
        <v>424</v>
      </c>
      <c r="C43" s="392"/>
    </row>
    <row r="44" spans="1:5" ht="15.75" x14ac:dyDescent="0.25">
      <c r="A44" s="388"/>
      <c r="B44" s="379" t="s">
        <v>157</v>
      </c>
      <c r="C44" s="391"/>
    </row>
    <row r="47" spans="1:5" x14ac:dyDescent="0.2">
      <c r="B47" s="394" t="s">
        <v>425</v>
      </c>
    </row>
    <row r="48" spans="1:5" x14ac:dyDescent="0.2">
      <c r="B48" s="130" t="s">
        <v>426</v>
      </c>
    </row>
    <row r="49" spans="2:2" x14ac:dyDescent="0.2">
      <c r="B49" s="130" t="s">
        <v>427</v>
      </c>
    </row>
  </sheetData>
  <mergeCells count="2">
    <mergeCell ref="A7:B7"/>
    <mergeCell ref="A30:B30"/>
  </mergeCells>
  <pageMargins left="0.7" right="0.7" top="0.75" bottom="0.75" header="0.3" footer="0.3"/>
  <pageSetup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3:F223"/>
  <sheetViews>
    <sheetView tabSelected="1" topLeftCell="A16" workbookViewId="0">
      <selection activeCell="D33" sqref="D33"/>
    </sheetView>
  </sheetViews>
  <sheetFormatPr defaultColWidth="9.33203125" defaultRowHeight="15" x14ac:dyDescent="0.25"/>
  <cols>
    <col min="1" max="1" width="9.33203125" style="502"/>
    <col min="2" max="2" width="61" style="511" customWidth="1"/>
    <col min="3" max="3" width="20.83203125" style="505" bestFit="1" customWidth="1"/>
    <col min="4" max="4" width="12.1640625" style="505" customWidth="1"/>
    <col min="5" max="5" width="15.6640625" style="505" customWidth="1"/>
    <col min="6" max="6" width="14.33203125" style="510" customWidth="1"/>
    <col min="7" max="16384" width="9.33203125" style="505"/>
  </cols>
  <sheetData>
    <row r="3" spans="1:6" x14ac:dyDescent="0.25">
      <c r="A3" s="502" t="s">
        <v>130</v>
      </c>
      <c r="B3" s="503"/>
      <c r="C3" s="504"/>
      <c r="D3" s="504"/>
      <c r="E3" s="504"/>
      <c r="F3" s="504"/>
    </row>
    <row r="4" spans="1:6" x14ac:dyDescent="0.25">
      <c r="A4" s="506" t="s">
        <v>933</v>
      </c>
      <c r="B4" s="503"/>
      <c r="C4" s="504"/>
      <c r="D4" s="504"/>
      <c r="E4" s="504"/>
      <c r="F4" s="504"/>
    </row>
    <row r="5" spans="1:6" x14ac:dyDescent="0.25">
      <c r="B5" s="503"/>
      <c r="C5" s="504"/>
      <c r="D5" s="504"/>
      <c r="E5" s="504"/>
      <c r="F5" s="504"/>
    </row>
    <row r="8" spans="1:6" x14ac:dyDescent="0.25">
      <c r="B8" s="503"/>
      <c r="C8" s="504"/>
      <c r="D8" s="504"/>
      <c r="E8" s="504"/>
      <c r="F8" s="507"/>
    </row>
    <row r="9" spans="1:6" x14ac:dyDescent="0.25">
      <c r="A9" s="502" t="s">
        <v>934</v>
      </c>
      <c r="B9" s="508" t="s">
        <v>935</v>
      </c>
      <c r="C9" s="509" t="s">
        <v>936</v>
      </c>
      <c r="D9" s="509" t="s">
        <v>6</v>
      </c>
    </row>
    <row r="10" spans="1:6" x14ac:dyDescent="0.25">
      <c r="A10" s="502" t="s">
        <v>937</v>
      </c>
      <c r="C10" s="505" t="s">
        <v>938</v>
      </c>
    </row>
    <row r="11" spans="1:6" x14ac:dyDescent="0.25">
      <c r="A11" s="512">
        <v>1</v>
      </c>
      <c r="B11" s="511" t="s">
        <v>939</v>
      </c>
      <c r="C11" s="513"/>
      <c r="D11" s="514"/>
    </row>
    <row r="12" spans="1:6" x14ac:dyDescent="0.25">
      <c r="A12" s="512">
        <v>2</v>
      </c>
      <c r="B12" s="515" t="s">
        <v>940</v>
      </c>
      <c r="C12" s="513" t="s">
        <v>941</v>
      </c>
      <c r="D12" s="514">
        <f>'OATT Input Data'!E238</f>
        <v>3509317</v>
      </c>
    </row>
    <row r="13" spans="1:6" ht="16.5" customHeight="1" x14ac:dyDescent="0.25">
      <c r="A13" s="512">
        <v>3</v>
      </c>
      <c r="B13" s="515" t="s">
        <v>942</v>
      </c>
      <c r="C13" s="513" t="s">
        <v>943</v>
      </c>
      <c r="D13" s="514">
        <f>'OATT Input Data'!E239</f>
        <v>393096</v>
      </c>
    </row>
    <row r="14" spans="1:6" x14ac:dyDescent="0.25">
      <c r="A14" s="512">
        <v>4</v>
      </c>
      <c r="B14" s="515" t="s">
        <v>944</v>
      </c>
      <c r="C14" s="513" t="s">
        <v>945</v>
      </c>
      <c r="D14" s="514">
        <f>'OATT Input Data'!E240</f>
        <v>226118</v>
      </c>
    </row>
    <row r="15" spans="1:6" x14ac:dyDescent="0.25">
      <c r="A15" s="512">
        <v>5</v>
      </c>
      <c r="B15" s="515" t="s">
        <v>946</v>
      </c>
      <c r="C15" s="513" t="s">
        <v>947</v>
      </c>
      <c r="D15" s="514">
        <f>'OATT Input Data'!E241</f>
        <v>0</v>
      </c>
    </row>
    <row r="16" spans="1:6" x14ac:dyDescent="0.25">
      <c r="A16" s="512">
        <v>6</v>
      </c>
      <c r="B16" s="515" t="s">
        <v>948</v>
      </c>
      <c r="C16" s="513" t="s">
        <v>949</v>
      </c>
      <c r="D16" s="514">
        <f>'OATT Input Data'!E242</f>
        <v>1336556</v>
      </c>
    </row>
    <row r="17" spans="1:6" x14ac:dyDescent="0.25">
      <c r="A17" s="512">
        <v>7</v>
      </c>
      <c r="B17" s="515" t="s">
        <v>950</v>
      </c>
      <c r="C17" s="513" t="s">
        <v>951</v>
      </c>
      <c r="D17" s="514">
        <f>'OATT Input Data'!E243</f>
        <v>11438</v>
      </c>
    </row>
    <row r="18" spans="1:6" x14ac:dyDescent="0.25">
      <c r="A18" s="512">
        <v>8</v>
      </c>
      <c r="B18" s="515" t="s">
        <v>952</v>
      </c>
      <c r="C18" s="513" t="s">
        <v>953</v>
      </c>
      <c r="D18" s="514">
        <f>'OATT Input Data'!E244</f>
        <v>0</v>
      </c>
    </row>
    <row r="19" spans="1:6" ht="12.75" customHeight="1" x14ac:dyDescent="0.25">
      <c r="A19" s="512">
        <v>9</v>
      </c>
      <c r="B19" s="515" t="s">
        <v>954</v>
      </c>
      <c r="C19" s="513" t="s">
        <v>955</v>
      </c>
      <c r="D19" s="514">
        <f>'OATT Input Data'!E245</f>
        <v>0</v>
      </c>
    </row>
    <row r="20" spans="1:6" x14ac:dyDescent="0.25">
      <c r="A20" s="512"/>
      <c r="B20" s="516"/>
      <c r="C20" s="507"/>
      <c r="D20" s="517"/>
    </row>
    <row r="21" spans="1:6" x14ac:dyDescent="0.25">
      <c r="A21" s="512">
        <v>10</v>
      </c>
      <c r="B21" s="515" t="s">
        <v>956</v>
      </c>
      <c r="C21" s="513"/>
      <c r="D21" s="517">
        <f>SUM(D11:D19)</f>
        <v>5476525</v>
      </c>
    </row>
    <row r="22" spans="1:6" x14ac:dyDescent="0.25">
      <c r="A22" s="502" t="s">
        <v>845</v>
      </c>
      <c r="B22" s="515"/>
      <c r="C22" s="503"/>
      <c r="D22" s="517"/>
      <c r="E22" s="517"/>
      <c r="F22" s="517"/>
    </row>
    <row r="23" spans="1:6" x14ac:dyDescent="0.25">
      <c r="A23" s="512">
        <v>11</v>
      </c>
      <c r="B23" s="515" t="s">
        <v>846</v>
      </c>
      <c r="C23" s="513">
        <v>398</v>
      </c>
      <c r="D23" s="517">
        <f>'OATT Input Data'!E371</f>
        <v>926807</v>
      </c>
    </row>
    <row r="24" spans="1:6" x14ac:dyDescent="0.25">
      <c r="A24" s="512">
        <v>12</v>
      </c>
      <c r="B24" s="515" t="s">
        <v>849</v>
      </c>
      <c r="C24" s="503"/>
      <c r="D24" s="517">
        <f>'OATT Input Data'!E372</f>
        <v>-842698</v>
      </c>
    </row>
    <row r="25" spans="1:6" x14ac:dyDescent="0.25">
      <c r="A25" s="512"/>
      <c r="B25" s="515"/>
      <c r="C25" s="513"/>
      <c r="D25" s="517"/>
    </row>
    <row r="26" spans="1:6" x14ac:dyDescent="0.25">
      <c r="A26" s="512">
        <v>13</v>
      </c>
      <c r="B26" s="515" t="s">
        <v>852</v>
      </c>
      <c r="C26" s="513" t="s">
        <v>957</v>
      </c>
      <c r="D26" s="517">
        <f>SUM(D23:D24)</f>
        <v>84109</v>
      </c>
    </row>
    <row r="27" spans="1:6" x14ac:dyDescent="0.25">
      <c r="A27" s="512"/>
      <c r="B27" s="515"/>
      <c r="C27" s="513"/>
      <c r="D27" s="517"/>
      <c r="E27" s="517"/>
      <c r="F27" s="517"/>
    </row>
    <row r="28" spans="1:6" x14ac:dyDescent="0.25">
      <c r="A28" s="512">
        <v>14</v>
      </c>
      <c r="B28" s="515" t="s">
        <v>958</v>
      </c>
      <c r="C28" s="513" t="s">
        <v>959</v>
      </c>
      <c r="D28" s="518">
        <f>D21-D26</f>
        <v>5392416</v>
      </c>
      <c r="E28" s="518"/>
      <c r="F28" s="518"/>
    </row>
    <row r="29" spans="1:6" x14ac:dyDescent="0.25">
      <c r="A29" s="512"/>
      <c r="B29" s="515"/>
      <c r="C29" s="513"/>
      <c r="F29" s="517"/>
    </row>
    <row r="30" spans="1:6" x14ac:dyDescent="0.25">
      <c r="A30" s="512">
        <v>15</v>
      </c>
      <c r="B30" s="516" t="s">
        <v>960</v>
      </c>
      <c r="C30" s="507" t="s">
        <v>961</v>
      </c>
      <c r="D30" s="517">
        <f>'NITS Pg 1 of 5'!$J$30</f>
        <v>6757064</v>
      </c>
      <c r="E30" s="517"/>
      <c r="F30" s="517"/>
    </row>
    <row r="31" spans="1:6" x14ac:dyDescent="0.25">
      <c r="A31" s="512"/>
      <c r="B31" s="519"/>
      <c r="C31" s="520"/>
      <c r="D31" s="510"/>
      <c r="E31" s="521"/>
      <c r="F31" s="517"/>
    </row>
    <row r="32" spans="1:6" x14ac:dyDescent="0.25">
      <c r="A32" s="512">
        <v>16</v>
      </c>
      <c r="B32" s="516" t="s">
        <v>962</v>
      </c>
      <c r="C32" s="507" t="s">
        <v>963</v>
      </c>
      <c r="D32" s="522">
        <f>D28/D30</f>
        <v>0.79804127946694003</v>
      </c>
      <c r="E32" s="510"/>
    </row>
    <row r="33" spans="1:6" x14ac:dyDescent="0.25">
      <c r="A33" s="512">
        <v>17</v>
      </c>
      <c r="B33" s="516" t="s">
        <v>964</v>
      </c>
      <c r="C33" s="520" t="s">
        <v>965</v>
      </c>
      <c r="D33" s="522">
        <f>ROUND(D32/12,4)</f>
        <v>6.6500000000000004E-2</v>
      </c>
      <c r="E33" s="510"/>
    </row>
    <row r="34" spans="1:6" x14ac:dyDescent="0.25">
      <c r="A34" s="512"/>
      <c r="B34" s="519"/>
      <c r="C34" s="520"/>
      <c r="D34" s="510"/>
      <c r="E34" s="510"/>
      <c r="F34" s="517"/>
    </row>
    <row r="35" spans="1:6" x14ac:dyDescent="0.25">
      <c r="A35" s="512"/>
      <c r="B35" s="519"/>
      <c r="C35" s="520"/>
      <c r="D35" s="510"/>
      <c r="E35" s="521"/>
      <c r="F35" s="517"/>
    </row>
    <row r="36" spans="1:6" x14ac:dyDescent="0.25">
      <c r="A36" s="512"/>
      <c r="B36" s="516"/>
      <c r="C36" s="520"/>
      <c r="D36" s="510"/>
      <c r="E36" s="517"/>
      <c r="F36" s="517"/>
    </row>
    <row r="37" spans="1:6" x14ac:dyDescent="0.25">
      <c r="A37" s="512"/>
      <c r="B37" s="523"/>
      <c r="C37" s="524"/>
      <c r="D37" s="525"/>
      <c r="E37" s="525"/>
      <c r="F37" s="526"/>
    </row>
    <row r="38" spans="1:6" x14ac:dyDescent="0.25">
      <c r="A38" s="512"/>
      <c r="B38" s="527"/>
      <c r="C38" s="524"/>
      <c r="D38" s="525"/>
      <c r="E38" s="528"/>
      <c r="F38" s="526"/>
    </row>
    <row r="39" spans="1:6" x14ac:dyDescent="0.25">
      <c r="A39" s="512"/>
      <c r="B39" s="516"/>
      <c r="C39" s="520"/>
      <c r="D39" s="510"/>
      <c r="E39" s="510"/>
      <c r="F39" s="517"/>
    </row>
    <row r="40" spans="1:6" x14ac:dyDescent="0.25">
      <c r="A40" s="512"/>
      <c r="B40" s="516"/>
      <c r="C40" s="520"/>
      <c r="D40" s="517"/>
      <c r="E40" s="517"/>
      <c r="F40" s="517"/>
    </row>
    <row r="41" spans="1:6" x14ac:dyDescent="0.25">
      <c r="A41" s="512"/>
      <c r="B41" s="516"/>
      <c r="C41" s="520"/>
      <c r="D41" s="517"/>
      <c r="E41" s="517"/>
      <c r="F41" s="517"/>
    </row>
    <row r="42" spans="1:6" x14ac:dyDescent="0.25">
      <c r="A42" s="512"/>
      <c r="B42" s="516"/>
      <c r="C42" s="520"/>
      <c r="D42" s="517"/>
      <c r="E42" s="517"/>
      <c r="F42" s="517"/>
    </row>
    <row r="43" spans="1:6" x14ac:dyDescent="0.25">
      <c r="A43" s="512"/>
      <c r="B43" s="516"/>
      <c r="C43" s="520"/>
      <c r="D43" s="517"/>
      <c r="E43" s="517"/>
      <c r="F43" s="517"/>
    </row>
    <row r="44" spans="1:6" x14ac:dyDescent="0.25">
      <c r="A44" s="512"/>
      <c r="B44" s="516"/>
      <c r="C44" s="507"/>
      <c r="D44" s="529"/>
      <c r="E44" s="529"/>
      <c r="F44" s="529"/>
    </row>
    <row r="45" spans="1:6" x14ac:dyDescent="0.25">
      <c r="A45" s="512"/>
      <c r="B45" s="516"/>
      <c r="C45" s="507"/>
      <c r="D45" s="530"/>
      <c r="E45" s="530"/>
      <c r="F45" s="530"/>
    </row>
    <row r="46" spans="1:6" x14ac:dyDescent="0.25">
      <c r="A46" s="512"/>
      <c r="B46" s="516"/>
      <c r="C46" s="520"/>
      <c r="D46" s="510"/>
      <c r="E46" s="510"/>
    </row>
    <row r="47" spans="1:6" x14ac:dyDescent="0.25">
      <c r="A47" s="512"/>
      <c r="B47" s="516"/>
      <c r="C47" s="507"/>
      <c r="D47" s="517"/>
      <c r="E47" s="517"/>
      <c r="F47" s="517"/>
    </row>
    <row r="48" spans="1:6" x14ac:dyDescent="0.25">
      <c r="A48" s="512"/>
      <c r="B48" s="516"/>
      <c r="C48" s="507"/>
      <c r="D48" s="517"/>
      <c r="E48" s="517"/>
      <c r="F48" s="517"/>
    </row>
    <row r="49" spans="1:6" x14ac:dyDescent="0.25">
      <c r="A49" s="512"/>
      <c r="B49" s="516"/>
      <c r="C49" s="507"/>
      <c r="D49" s="517"/>
      <c r="E49" s="517"/>
      <c r="F49" s="517"/>
    </row>
    <row r="50" spans="1:6" x14ac:dyDescent="0.25">
      <c r="A50" s="512"/>
      <c r="B50" s="516"/>
      <c r="C50" s="507"/>
      <c r="D50" s="517"/>
      <c r="E50" s="517"/>
      <c r="F50" s="517"/>
    </row>
    <row r="51" spans="1:6" x14ac:dyDescent="0.25">
      <c r="A51" s="512"/>
      <c r="B51" s="516"/>
      <c r="C51" s="507"/>
      <c r="D51" s="529"/>
      <c r="E51" s="529"/>
      <c r="F51" s="529"/>
    </row>
    <row r="52" spans="1:6" x14ac:dyDescent="0.25">
      <c r="A52" s="512"/>
      <c r="B52" s="516"/>
      <c r="C52" s="520"/>
      <c r="D52" s="517"/>
      <c r="E52" s="517"/>
      <c r="F52" s="517"/>
    </row>
    <row r="53" spans="1:6" x14ac:dyDescent="0.25">
      <c r="A53" s="512"/>
      <c r="B53" s="516"/>
      <c r="C53" s="520"/>
      <c r="D53" s="510"/>
      <c r="E53" s="510"/>
    </row>
    <row r="54" spans="1:6" x14ac:dyDescent="0.25">
      <c r="A54" s="512"/>
      <c r="B54" s="516"/>
      <c r="C54" s="520"/>
      <c r="D54" s="517"/>
      <c r="E54" s="517"/>
      <c r="F54" s="517"/>
    </row>
    <row r="55" spans="1:6" x14ac:dyDescent="0.25">
      <c r="A55" s="512"/>
      <c r="B55" s="516"/>
      <c r="C55" s="520"/>
      <c r="D55" s="517"/>
      <c r="E55" s="517"/>
      <c r="F55" s="517"/>
    </row>
    <row r="56" spans="1:6" x14ac:dyDescent="0.25">
      <c r="A56" s="512"/>
      <c r="B56" s="516"/>
      <c r="C56" s="520"/>
      <c r="D56" s="517"/>
      <c r="E56" s="517"/>
      <c r="F56" s="517"/>
    </row>
    <row r="57" spans="1:6" x14ac:dyDescent="0.25">
      <c r="A57" s="512"/>
      <c r="B57" s="516"/>
      <c r="C57" s="520"/>
      <c r="D57" s="517"/>
      <c r="E57" s="517"/>
      <c r="F57" s="517"/>
    </row>
    <row r="58" spans="1:6" x14ac:dyDescent="0.25">
      <c r="A58" s="512"/>
      <c r="B58" s="516"/>
      <c r="C58" s="520"/>
      <c r="D58" s="529"/>
      <c r="E58" s="529"/>
      <c r="F58" s="529"/>
    </row>
    <row r="59" spans="1:6" x14ac:dyDescent="0.25">
      <c r="A59" s="512"/>
      <c r="B59" s="519"/>
      <c r="C59" s="520"/>
      <c r="D59" s="517"/>
      <c r="E59" s="517"/>
      <c r="F59" s="517"/>
    </row>
    <row r="60" spans="1:6" x14ac:dyDescent="0.25">
      <c r="A60" s="512"/>
      <c r="B60" s="516"/>
      <c r="C60" s="520"/>
      <c r="D60" s="510"/>
      <c r="E60" s="510"/>
    </row>
    <row r="61" spans="1:6" x14ac:dyDescent="0.25">
      <c r="A61" s="512"/>
      <c r="B61" s="519"/>
      <c r="C61" s="507"/>
      <c r="D61" s="517"/>
      <c r="E61" s="517"/>
      <c r="F61" s="517"/>
    </row>
    <row r="62" spans="1:6" x14ac:dyDescent="0.25">
      <c r="A62" s="512"/>
      <c r="B62" s="516"/>
      <c r="C62" s="507"/>
      <c r="D62" s="517"/>
      <c r="E62" s="517"/>
      <c r="F62" s="517"/>
    </row>
    <row r="63" spans="1:6" x14ac:dyDescent="0.25">
      <c r="A63" s="512"/>
      <c r="B63" s="516"/>
      <c r="C63" s="507"/>
      <c r="D63" s="517"/>
      <c r="E63" s="517"/>
      <c r="F63" s="517"/>
    </row>
    <row r="64" spans="1:6" x14ac:dyDescent="0.25">
      <c r="A64" s="512"/>
      <c r="B64" s="516"/>
      <c r="C64" s="507"/>
      <c r="D64" s="517"/>
      <c r="E64" s="517"/>
      <c r="F64" s="517"/>
    </row>
    <row r="65" spans="1:6" x14ac:dyDescent="0.25">
      <c r="A65" s="512"/>
      <c r="B65" s="516"/>
      <c r="C65" s="507"/>
      <c r="D65" s="529"/>
      <c r="E65" s="529"/>
      <c r="F65" s="529"/>
    </row>
    <row r="66" spans="1:6" x14ac:dyDescent="0.25">
      <c r="A66" s="512"/>
      <c r="B66" s="516"/>
      <c r="C66" s="520"/>
      <c r="D66" s="517"/>
      <c r="E66" s="517"/>
      <c r="F66" s="517"/>
    </row>
    <row r="67" spans="1:6" x14ac:dyDescent="0.25">
      <c r="A67" s="512"/>
      <c r="B67" s="516"/>
      <c r="C67" s="507"/>
      <c r="D67" s="517"/>
      <c r="E67" s="517"/>
      <c r="F67" s="517"/>
    </row>
    <row r="68" spans="1:6" x14ac:dyDescent="0.25">
      <c r="A68" s="512"/>
      <c r="B68" s="516"/>
      <c r="C68" s="520"/>
      <c r="D68" s="510"/>
      <c r="E68" s="510"/>
    </row>
    <row r="69" spans="1:6" x14ac:dyDescent="0.25">
      <c r="A69" s="512"/>
      <c r="B69" s="516"/>
      <c r="C69" s="507"/>
      <c r="D69" s="517"/>
      <c r="E69" s="517"/>
      <c r="F69" s="517"/>
    </row>
    <row r="70" spans="1:6" x14ac:dyDescent="0.25">
      <c r="A70" s="512"/>
      <c r="B70" s="516"/>
      <c r="C70" s="507"/>
      <c r="D70" s="517"/>
      <c r="E70" s="517"/>
      <c r="F70" s="517"/>
    </row>
    <row r="71" spans="1:6" ht="17.25" x14ac:dyDescent="0.4">
      <c r="A71" s="512"/>
      <c r="B71" s="516"/>
      <c r="C71" s="507"/>
      <c r="D71" s="529"/>
      <c r="E71" s="529"/>
      <c r="F71" s="531"/>
    </row>
    <row r="72" spans="1:6" x14ac:dyDescent="0.25">
      <c r="A72" s="512"/>
      <c r="B72" s="516"/>
      <c r="C72" s="520"/>
      <c r="D72" s="530"/>
      <c r="E72" s="530"/>
      <c r="F72" s="530"/>
    </row>
    <row r="73" spans="1:6" ht="15.75" thickBot="1" x14ac:dyDescent="0.3">
      <c r="A73" s="512"/>
      <c r="B73" s="532"/>
      <c r="C73" s="533"/>
      <c r="D73" s="534"/>
      <c r="E73" s="534"/>
      <c r="F73" s="534"/>
    </row>
    <row r="74" spans="1:6" x14ac:dyDescent="0.25">
      <c r="B74" s="535"/>
      <c r="C74" s="510"/>
      <c r="D74" s="510"/>
      <c r="E74" s="510"/>
    </row>
    <row r="75" spans="1:6" x14ac:dyDescent="0.25">
      <c r="A75" s="512"/>
      <c r="B75" s="516"/>
      <c r="C75" s="510"/>
      <c r="D75" s="517"/>
      <c r="E75" s="517"/>
      <c r="F75" s="517"/>
    </row>
    <row r="76" spans="1:6" x14ac:dyDescent="0.25">
      <c r="A76" s="512"/>
      <c r="B76" s="516"/>
      <c r="C76" s="510"/>
      <c r="D76" s="517"/>
      <c r="E76" s="517"/>
      <c r="F76" s="517"/>
    </row>
    <row r="77" spans="1:6" x14ac:dyDescent="0.25">
      <c r="A77" s="512"/>
      <c r="B77" s="516"/>
      <c r="C77" s="510"/>
      <c r="D77" s="517"/>
      <c r="E77" s="517"/>
      <c r="F77" s="517"/>
    </row>
    <row r="78" spans="1:6" x14ac:dyDescent="0.25">
      <c r="A78" s="512"/>
      <c r="B78" s="516"/>
      <c r="C78" s="510"/>
      <c r="D78" s="517"/>
      <c r="E78" s="517"/>
      <c r="F78" s="517"/>
    </row>
    <row r="79" spans="1:6" x14ac:dyDescent="0.25">
      <c r="A79" s="512"/>
      <c r="B79" s="516"/>
      <c r="C79" s="510"/>
      <c r="D79" s="517"/>
      <c r="E79" s="517"/>
      <c r="F79" s="517"/>
    </row>
    <row r="80" spans="1:6" x14ac:dyDescent="0.25">
      <c r="A80" s="512"/>
      <c r="B80" s="516"/>
      <c r="C80" s="510"/>
      <c r="D80" s="517"/>
      <c r="E80" s="517"/>
      <c r="F80" s="517"/>
    </row>
    <row r="81" spans="1:6" x14ac:dyDescent="0.25">
      <c r="A81" s="512"/>
      <c r="B81" s="516"/>
      <c r="C81" s="510"/>
      <c r="D81" s="517"/>
      <c r="E81" s="517"/>
      <c r="F81" s="517"/>
    </row>
    <row r="82" spans="1:6" ht="17.25" x14ac:dyDescent="0.4">
      <c r="A82" s="512"/>
      <c r="B82" s="516"/>
      <c r="C82" s="510"/>
      <c r="D82" s="531"/>
      <c r="E82" s="531"/>
      <c r="F82" s="531"/>
    </row>
    <row r="83" spans="1:6" x14ac:dyDescent="0.25">
      <c r="A83" s="512"/>
      <c r="B83" s="516"/>
      <c r="C83" s="510"/>
      <c r="D83" s="530"/>
      <c r="E83" s="530"/>
      <c r="F83" s="530"/>
    </row>
    <row r="84" spans="1:6" x14ac:dyDescent="0.25">
      <c r="B84" s="516"/>
      <c r="C84" s="510"/>
      <c r="D84" s="510"/>
      <c r="E84" s="510"/>
    </row>
    <row r="85" spans="1:6" x14ac:dyDescent="0.25">
      <c r="A85" s="512"/>
      <c r="B85" s="519"/>
      <c r="C85" s="510"/>
      <c r="D85" s="517"/>
      <c r="E85" s="517"/>
      <c r="F85" s="517"/>
    </row>
    <row r="86" spans="1:6" x14ac:dyDescent="0.25">
      <c r="A86" s="512"/>
      <c r="B86" s="516"/>
      <c r="C86" s="510"/>
      <c r="D86" s="517"/>
      <c r="E86" s="517"/>
      <c r="F86" s="517"/>
    </row>
    <row r="87" spans="1:6" ht="17.25" x14ac:dyDescent="0.4">
      <c r="A87" s="512"/>
      <c r="B87" s="516"/>
      <c r="C87" s="510"/>
      <c r="D87" s="529"/>
      <c r="E87" s="531"/>
      <c r="F87" s="531"/>
    </row>
    <row r="88" spans="1:6" x14ac:dyDescent="0.25">
      <c r="A88" s="512"/>
      <c r="B88" s="516"/>
      <c r="C88" s="510"/>
      <c r="D88" s="530"/>
      <c r="E88" s="530"/>
      <c r="F88" s="530"/>
    </row>
    <row r="89" spans="1:6" x14ac:dyDescent="0.25">
      <c r="A89" s="512"/>
      <c r="B89" s="516"/>
      <c r="C89" s="510"/>
      <c r="D89" s="510"/>
      <c r="E89" s="510"/>
    </row>
    <row r="90" spans="1:6" x14ac:dyDescent="0.25">
      <c r="B90" s="516"/>
      <c r="C90" s="510"/>
      <c r="D90" s="510"/>
      <c r="E90" s="510"/>
    </row>
    <row r="91" spans="1:6" x14ac:dyDescent="0.25">
      <c r="A91" s="512"/>
      <c r="B91" s="516"/>
      <c r="C91" s="510"/>
      <c r="D91" s="517"/>
      <c r="E91" s="517"/>
      <c r="F91" s="517"/>
    </row>
    <row r="92" spans="1:6" x14ac:dyDescent="0.25">
      <c r="A92" s="512"/>
      <c r="B92" s="516"/>
      <c r="C92" s="510"/>
      <c r="D92" s="517"/>
      <c r="E92" s="517"/>
      <c r="F92" s="517"/>
    </row>
    <row r="93" spans="1:6" x14ac:dyDescent="0.25">
      <c r="A93" s="512"/>
      <c r="B93" s="516"/>
      <c r="C93" s="510"/>
      <c r="D93" s="510"/>
      <c r="E93" s="510"/>
    </row>
    <row r="94" spans="1:6" x14ac:dyDescent="0.25">
      <c r="A94" s="512"/>
      <c r="B94" s="516"/>
      <c r="C94" s="510"/>
      <c r="D94" s="517"/>
      <c r="E94" s="517"/>
      <c r="F94" s="517"/>
    </row>
    <row r="95" spans="1:6" x14ac:dyDescent="0.25">
      <c r="A95" s="512"/>
      <c r="B95" s="516"/>
      <c r="C95" s="510"/>
      <c r="D95" s="517"/>
      <c r="E95" s="517"/>
      <c r="F95" s="517"/>
    </row>
    <row r="96" spans="1:6" x14ac:dyDescent="0.25">
      <c r="A96" s="512"/>
      <c r="B96" s="516"/>
      <c r="C96" s="510"/>
      <c r="D96" s="517"/>
      <c r="E96" s="517"/>
      <c r="F96" s="517"/>
    </row>
    <row r="97" spans="1:6" ht="17.25" x14ac:dyDescent="0.4">
      <c r="A97" s="512"/>
      <c r="B97" s="516"/>
      <c r="C97" s="510"/>
      <c r="D97" s="529"/>
      <c r="E97" s="529"/>
      <c r="F97" s="531"/>
    </row>
    <row r="98" spans="1:6" x14ac:dyDescent="0.25">
      <c r="A98" s="512"/>
      <c r="B98" s="516"/>
      <c r="C98" s="510"/>
      <c r="D98" s="517"/>
      <c r="E98" s="517"/>
      <c r="F98" s="517"/>
    </row>
    <row r="99" spans="1:6" x14ac:dyDescent="0.25">
      <c r="B99" s="516"/>
      <c r="C99" s="510"/>
      <c r="D99" s="510"/>
      <c r="E99" s="510"/>
    </row>
    <row r="100" spans="1:6" x14ac:dyDescent="0.25">
      <c r="A100" s="512"/>
      <c r="B100" s="519"/>
      <c r="C100" s="510"/>
      <c r="D100" s="510"/>
      <c r="E100" s="510"/>
    </row>
    <row r="101" spans="1:6" x14ac:dyDescent="0.25">
      <c r="A101" s="512"/>
      <c r="B101" s="519"/>
      <c r="C101" s="510"/>
      <c r="D101" s="510"/>
      <c r="E101" s="510"/>
    </row>
    <row r="102" spans="1:6" x14ac:dyDescent="0.25">
      <c r="A102" s="512"/>
      <c r="B102" s="516"/>
      <c r="C102" s="510"/>
      <c r="D102" s="510"/>
      <c r="E102" s="510"/>
    </row>
    <row r="103" spans="1:6" x14ac:dyDescent="0.25">
      <c r="A103" s="512"/>
      <c r="B103" s="516"/>
      <c r="C103" s="510"/>
      <c r="D103" s="517"/>
      <c r="E103" s="517"/>
      <c r="F103" s="517"/>
    </row>
    <row r="104" spans="1:6" x14ac:dyDescent="0.25">
      <c r="A104" s="512"/>
      <c r="B104" s="516"/>
      <c r="C104" s="510"/>
      <c r="D104" s="517"/>
      <c r="E104" s="517"/>
      <c r="F104" s="517"/>
    </row>
    <row r="105" spans="1:6" x14ac:dyDescent="0.25">
      <c r="A105" s="512"/>
      <c r="B105" s="516"/>
      <c r="C105" s="510"/>
      <c r="D105" s="517"/>
      <c r="E105" s="517"/>
      <c r="F105" s="517"/>
    </row>
    <row r="106" spans="1:6" x14ac:dyDescent="0.25">
      <c r="A106" s="512"/>
      <c r="B106" s="516"/>
      <c r="C106" s="510"/>
      <c r="D106" s="517"/>
      <c r="E106" s="517"/>
      <c r="F106" s="517"/>
    </row>
    <row r="107" spans="1:6" x14ac:dyDescent="0.25">
      <c r="A107" s="512"/>
      <c r="B107" s="519"/>
      <c r="C107" s="520"/>
      <c r="D107" s="517"/>
      <c r="E107" s="517"/>
      <c r="F107" s="517"/>
    </row>
    <row r="108" spans="1:6" x14ac:dyDescent="0.25">
      <c r="A108" s="512"/>
      <c r="B108" s="516"/>
      <c r="C108" s="510"/>
      <c r="D108" s="530"/>
      <c r="E108" s="530"/>
      <c r="F108" s="530"/>
    </row>
    <row r="109" spans="1:6" x14ac:dyDescent="0.25">
      <c r="B109" s="516"/>
      <c r="C109" s="510"/>
      <c r="D109" s="510"/>
      <c r="E109" s="510"/>
    </row>
    <row r="110" spans="1:6" x14ac:dyDescent="0.25">
      <c r="A110" s="512"/>
      <c r="B110" s="516"/>
      <c r="C110" s="520"/>
      <c r="D110" s="530"/>
      <c r="E110" s="530"/>
      <c r="F110" s="530"/>
    </row>
    <row r="111" spans="1:6" x14ac:dyDescent="0.25">
      <c r="A111" s="512"/>
      <c r="B111" s="516"/>
      <c r="C111" s="510"/>
      <c r="D111" s="510"/>
      <c r="E111" s="510"/>
    </row>
    <row r="112" spans="1:6" ht="17.25" x14ac:dyDescent="0.4">
      <c r="A112" s="512"/>
      <c r="B112" s="516"/>
      <c r="C112" s="510"/>
      <c r="D112" s="529"/>
      <c r="E112" s="531"/>
      <c r="F112" s="531"/>
    </row>
    <row r="113" spans="1:6" x14ac:dyDescent="0.25">
      <c r="A113" s="512"/>
      <c r="B113" s="516"/>
      <c r="C113" s="510"/>
      <c r="D113" s="517"/>
      <c r="E113" s="517"/>
      <c r="F113" s="517"/>
    </row>
    <row r="114" spans="1:6" x14ac:dyDescent="0.25">
      <c r="A114" s="512"/>
      <c r="B114" s="516"/>
      <c r="C114" s="510"/>
      <c r="D114" s="510"/>
      <c r="E114" s="510"/>
    </row>
    <row r="115" spans="1:6" x14ac:dyDescent="0.25">
      <c r="B115" s="516"/>
      <c r="C115" s="510"/>
      <c r="D115" s="510"/>
      <c r="E115" s="510"/>
    </row>
    <row r="116" spans="1:6" x14ac:dyDescent="0.25">
      <c r="A116" s="512"/>
      <c r="B116" s="519"/>
      <c r="C116" s="520"/>
      <c r="D116" s="530"/>
      <c r="E116" s="530"/>
      <c r="F116" s="530"/>
    </row>
    <row r="117" spans="1:6" x14ac:dyDescent="0.25">
      <c r="A117" s="512"/>
      <c r="B117" s="516"/>
      <c r="C117" s="510"/>
      <c r="D117" s="536"/>
      <c r="E117" s="529"/>
      <c r="F117" s="529"/>
    </row>
    <row r="118" spans="1:6" x14ac:dyDescent="0.25">
      <c r="A118" s="512"/>
      <c r="B118" s="516"/>
      <c r="C118" s="537"/>
      <c r="D118" s="530"/>
      <c r="E118" s="530"/>
      <c r="F118" s="530"/>
    </row>
    <row r="119" spans="1:6" x14ac:dyDescent="0.25">
      <c r="A119" s="512"/>
      <c r="B119" s="516"/>
      <c r="C119" s="510"/>
      <c r="D119" s="510"/>
      <c r="E119" s="510"/>
    </row>
    <row r="120" spans="1:6" x14ac:dyDescent="0.25">
      <c r="A120" s="512"/>
      <c r="B120" s="516"/>
      <c r="C120" s="510"/>
      <c r="D120" s="510"/>
      <c r="E120" s="510"/>
    </row>
    <row r="121" spans="1:6" x14ac:dyDescent="0.25">
      <c r="A121" s="512"/>
      <c r="B121" s="516"/>
      <c r="C121" s="510"/>
      <c r="D121" s="510"/>
      <c r="E121" s="510"/>
    </row>
    <row r="122" spans="1:6" x14ac:dyDescent="0.25">
      <c r="B122" s="516"/>
      <c r="C122" s="510"/>
      <c r="D122" s="510"/>
      <c r="E122" s="510"/>
    </row>
    <row r="123" spans="1:6" x14ac:dyDescent="0.25">
      <c r="A123" s="512"/>
      <c r="B123" s="516"/>
      <c r="C123" s="510"/>
      <c r="D123" s="517"/>
      <c r="E123" s="517"/>
      <c r="F123" s="517"/>
    </row>
    <row r="124" spans="1:6" x14ac:dyDescent="0.25">
      <c r="A124" s="512"/>
      <c r="B124" s="516"/>
      <c r="C124" s="510"/>
      <c r="D124" s="517"/>
      <c r="E124" s="517"/>
      <c r="F124" s="517"/>
    </row>
    <row r="125" spans="1:6" x14ac:dyDescent="0.25">
      <c r="A125" s="512"/>
      <c r="B125" s="516"/>
      <c r="C125" s="510"/>
      <c r="D125" s="517"/>
      <c r="E125" s="517"/>
      <c r="F125" s="517"/>
    </row>
    <row r="126" spans="1:6" ht="17.25" x14ac:dyDescent="0.4">
      <c r="A126" s="512"/>
      <c r="B126" s="516"/>
      <c r="C126" s="510"/>
      <c r="D126" s="531"/>
      <c r="E126" s="531"/>
      <c r="F126" s="531"/>
    </row>
    <row r="127" spans="1:6" x14ac:dyDescent="0.25">
      <c r="A127" s="512"/>
      <c r="B127" s="516"/>
      <c r="C127" s="510"/>
      <c r="D127" s="517"/>
      <c r="E127" s="517"/>
      <c r="F127" s="517"/>
    </row>
    <row r="128" spans="1:6" x14ac:dyDescent="0.25">
      <c r="B128" s="519"/>
      <c r="C128" s="510"/>
      <c r="D128" s="510"/>
      <c r="E128" s="510"/>
    </row>
    <row r="129" spans="1:6" x14ac:dyDescent="0.25">
      <c r="B129" s="516"/>
      <c r="C129" s="510"/>
      <c r="D129" s="510"/>
      <c r="E129" s="510"/>
    </row>
    <row r="130" spans="1:6" x14ac:dyDescent="0.25">
      <c r="A130" s="512"/>
      <c r="B130" s="516"/>
      <c r="C130" s="510"/>
      <c r="D130" s="517"/>
      <c r="E130" s="517"/>
      <c r="F130" s="517"/>
    </row>
    <row r="131" spans="1:6" x14ac:dyDescent="0.25">
      <c r="A131" s="512"/>
      <c r="B131" s="516"/>
      <c r="C131" s="510"/>
      <c r="D131" s="517"/>
      <c r="E131" s="517"/>
      <c r="F131" s="517"/>
    </row>
    <row r="132" spans="1:6" ht="17.25" x14ac:dyDescent="0.4">
      <c r="A132" s="512"/>
      <c r="B132" s="516"/>
      <c r="C132" s="510"/>
      <c r="D132" s="529"/>
      <c r="E132" s="531"/>
      <c r="F132" s="531"/>
    </row>
    <row r="133" spans="1:6" x14ac:dyDescent="0.25">
      <c r="A133" s="512"/>
      <c r="B133" s="516"/>
      <c r="C133" s="510"/>
      <c r="D133" s="517"/>
      <c r="E133" s="517"/>
      <c r="F133" s="517"/>
    </row>
    <row r="134" spans="1:6" x14ac:dyDescent="0.25">
      <c r="B134" s="535"/>
      <c r="C134" s="510"/>
      <c r="D134" s="510"/>
      <c r="E134" s="510"/>
    </row>
    <row r="135" spans="1:6" x14ac:dyDescent="0.25">
      <c r="A135" s="512"/>
      <c r="B135" s="535"/>
      <c r="C135" s="510"/>
      <c r="D135" s="517"/>
      <c r="E135" s="517"/>
      <c r="F135" s="517"/>
    </row>
    <row r="136" spans="1:6" x14ac:dyDescent="0.25">
      <c r="A136" s="512"/>
      <c r="B136" s="535"/>
      <c r="C136" s="537"/>
      <c r="D136" s="517"/>
      <c r="E136" s="517"/>
      <c r="F136" s="517"/>
    </row>
    <row r="137" spans="1:6" x14ac:dyDescent="0.25">
      <c r="B137" s="516"/>
      <c r="C137" s="510"/>
      <c r="D137" s="510"/>
      <c r="E137" s="510"/>
    </row>
    <row r="138" spans="1:6" x14ac:dyDescent="0.25">
      <c r="A138" s="512"/>
      <c r="B138" s="516"/>
      <c r="C138" s="537"/>
      <c r="D138" s="517"/>
      <c r="E138" s="517"/>
      <c r="F138" s="517"/>
    </row>
    <row r="139" spans="1:6" x14ac:dyDescent="0.25">
      <c r="A139" s="512"/>
      <c r="B139" s="516"/>
      <c r="C139" s="510"/>
      <c r="D139" s="517"/>
      <c r="E139" s="517"/>
      <c r="F139" s="517"/>
    </row>
    <row r="140" spans="1:6" ht="17.25" x14ac:dyDescent="0.4">
      <c r="A140" s="512"/>
      <c r="B140" s="519"/>
      <c r="C140" s="510"/>
      <c r="D140" s="529"/>
      <c r="E140" s="531"/>
      <c r="F140" s="531"/>
    </row>
    <row r="141" spans="1:6" x14ac:dyDescent="0.25">
      <c r="A141" s="512"/>
      <c r="B141" s="516"/>
      <c r="C141" s="510"/>
      <c r="D141" s="517"/>
      <c r="E141" s="517"/>
      <c r="F141" s="517"/>
    </row>
    <row r="142" spans="1:6" x14ac:dyDescent="0.25">
      <c r="B142" s="516"/>
      <c r="C142" s="510"/>
      <c r="D142" s="510"/>
      <c r="E142" s="510"/>
    </row>
    <row r="143" spans="1:6" x14ac:dyDescent="0.25">
      <c r="A143" s="512"/>
      <c r="B143" s="516"/>
      <c r="C143" s="510"/>
      <c r="D143" s="517"/>
      <c r="E143" s="517"/>
      <c r="F143" s="517"/>
    </row>
    <row r="144" spans="1:6" x14ac:dyDescent="0.25">
      <c r="A144" s="512"/>
      <c r="B144" s="516"/>
      <c r="C144" s="510"/>
      <c r="D144" s="517"/>
      <c r="E144" s="517"/>
      <c r="F144" s="517"/>
    </row>
    <row r="145" spans="1:6" ht="17.25" x14ac:dyDescent="0.4">
      <c r="A145" s="512"/>
      <c r="B145" s="516"/>
      <c r="C145" s="510"/>
      <c r="D145" s="529"/>
      <c r="E145" s="531"/>
      <c r="F145" s="531"/>
    </row>
    <row r="146" spans="1:6" x14ac:dyDescent="0.25">
      <c r="A146" s="512"/>
      <c r="B146" s="516"/>
      <c r="C146" s="510"/>
      <c r="D146" s="517"/>
      <c r="E146" s="517"/>
      <c r="F146" s="517"/>
    </row>
    <row r="147" spans="1:6" x14ac:dyDescent="0.25">
      <c r="B147" s="516"/>
      <c r="C147" s="510"/>
      <c r="D147" s="510"/>
      <c r="E147" s="510"/>
    </row>
    <row r="148" spans="1:6" x14ac:dyDescent="0.25">
      <c r="B148" s="516"/>
      <c r="C148" s="510"/>
      <c r="D148" s="510"/>
      <c r="E148" s="510"/>
    </row>
    <row r="149" spans="1:6" x14ac:dyDescent="0.25">
      <c r="A149" s="512"/>
      <c r="B149" s="516"/>
      <c r="C149" s="510"/>
      <c r="D149" s="510"/>
      <c r="E149" s="510"/>
    </row>
    <row r="150" spans="1:6" x14ac:dyDescent="0.25">
      <c r="A150" s="512"/>
      <c r="B150" s="516"/>
      <c r="C150" s="510"/>
      <c r="D150" s="517"/>
      <c r="E150" s="517"/>
      <c r="F150" s="517"/>
    </row>
    <row r="151" spans="1:6" ht="17.25" x14ac:dyDescent="0.4">
      <c r="A151" s="512"/>
      <c r="B151" s="516"/>
      <c r="C151" s="510"/>
      <c r="D151" s="531"/>
      <c r="E151" s="531"/>
      <c r="F151" s="531"/>
    </row>
    <row r="152" spans="1:6" x14ac:dyDescent="0.25">
      <c r="A152" s="512"/>
      <c r="B152" s="516"/>
      <c r="C152" s="510"/>
      <c r="D152" s="517"/>
      <c r="E152" s="517"/>
      <c r="F152" s="517"/>
    </row>
    <row r="153" spans="1:6" x14ac:dyDescent="0.25">
      <c r="A153" s="512"/>
      <c r="B153" s="516"/>
      <c r="C153" s="510"/>
      <c r="D153" s="517"/>
      <c r="E153" s="517"/>
      <c r="F153" s="517"/>
    </row>
    <row r="154" spans="1:6" x14ac:dyDescent="0.25">
      <c r="A154" s="512"/>
      <c r="B154" s="516"/>
      <c r="C154" s="510"/>
      <c r="D154" s="510"/>
      <c r="E154" s="510"/>
    </row>
    <row r="155" spans="1:6" x14ac:dyDescent="0.25">
      <c r="A155" s="512"/>
      <c r="B155" s="516"/>
      <c r="C155" s="510"/>
      <c r="D155" s="517"/>
      <c r="E155" s="517"/>
      <c r="F155" s="517"/>
    </row>
    <row r="156" spans="1:6" ht="17.25" x14ac:dyDescent="0.4">
      <c r="A156" s="512"/>
      <c r="B156" s="516"/>
      <c r="C156" s="510"/>
      <c r="D156" s="531"/>
      <c r="E156" s="531"/>
      <c r="F156" s="531"/>
    </row>
    <row r="157" spans="1:6" x14ac:dyDescent="0.25">
      <c r="A157" s="512"/>
      <c r="B157" s="516"/>
      <c r="C157" s="510"/>
      <c r="D157" s="517"/>
      <c r="E157" s="517"/>
      <c r="F157" s="517"/>
    </row>
    <row r="158" spans="1:6" x14ac:dyDescent="0.25">
      <c r="B158" s="519"/>
      <c r="C158" s="510"/>
      <c r="D158" s="510"/>
      <c r="E158" s="510"/>
    </row>
    <row r="159" spans="1:6" x14ac:dyDescent="0.25">
      <c r="B159" s="516"/>
      <c r="C159" s="510"/>
      <c r="D159" s="510"/>
      <c r="E159" s="510"/>
    </row>
    <row r="160" spans="1:6" x14ac:dyDescent="0.25">
      <c r="B160" s="519"/>
      <c r="C160" s="510"/>
      <c r="D160" s="510"/>
      <c r="E160" s="510"/>
    </row>
    <row r="161" spans="2:5" x14ac:dyDescent="0.25">
      <c r="B161" s="516"/>
      <c r="C161" s="510"/>
      <c r="D161" s="510"/>
      <c r="E161" s="510"/>
    </row>
    <row r="162" spans="2:5" x14ac:dyDescent="0.25">
      <c r="B162" s="516"/>
      <c r="C162" s="510"/>
      <c r="D162" s="510"/>
      <c r="E162" s="510"/>
    </row>
    <row r="163" spans="2:5" x14ac:dyDescent="0.25">
      <c r="B163" s="519"/>
      <c r="C163" s="510"/>
      <c r="D163" s="510"/>
      <c r="E163" s="510"/>
    </row>
    <row r="164" spans="2:5" x14ac:dyDescent="0.25">
      <c r="B164" s="516"/>
      <c r="C164" s="510"/>
      <c r="D164" s="510"/>
      <c r="E164" s="510"/>
    </row>
    <row r="165" spans="2:5" x14ac:dyDescent="0.25">
      <c r="B165" s="519"/>
      <c r="C165" s="510"/>
      <c r="D165" s="510"/>
      <c r="E165" s="510"/>
    </row>
    <row r="166" spans="2:5" x14ac:dyDescent="0.25">
      <c r="B166" s="519"/>
      <c r="C166" s="510"/>
      <c r="D166" s="510"/>
      <c r="E166" s="510"/>
    </row>
    <row r="167" spans="2:5" x14ac:dyDescent="0.25">
      <c r="B167" s="516"/>
      <c r="C167" s="510"/>
      <c r="D167" s="510"/>
      <c r="E167" s="510"/>
    </row>
    <row r="168" spans="2:5" x14ac:dyDescent="0.25">
      <c r="B168" s="519"/>
      <c r="C168" s="510"/>
      <c r="D168" s="510"/>
      <c r="E168" s="510"/>
    </row>
    <row r="169" spans="2:5" x14ac:dyDescent="0.25">
      <c r="B169" s="516"/>
      <c r="C169" s="510"/>
      <c r="D169" s="510"/>
      <c r="E169" s="510"/>
    </row>
    <row r="170" spans="2:5" x14ac:dyDescent="0.25">
      <c r="B170" s="519"/>
      <c r="C170" s="510"/>
      <c r="D170" s="510"/>
      <c r="E170" s="510"/>
    </row>
    <row r="171" spans="2:5" x14ac:dyDescent="0.25">
      <c r="B171" s="519"/>
      <c r="C171" s="510"/>
      <c r="D171" s="510"/>
      <c r="E171" s="510"/>
    </row>
    <row r="172" spans="2:5" x14ac:dyDescent="0.25">
      <c r="B172" s="519"/>
      <c r="C172" s="510"/>
      <c r="D172" s="510"/>
      <c r="E172" s="510"/>
    </row>
    <row r="173" spans="2:5" x14ac:dyDescent="0.25">
      <c r="B173" s="519"/>
      <c r="C173" s="510"/>
      <c r="D173" s="510"/>
      <c r="E173" s="510"/>
    </row>
    <row r="174" spans="2:5" x14ac:dyDescent="0.25">
      <c r="B174" s="516"/>
      <c r="C174" s="510"/>
      <c r="D174" s="510"/>
      <c r="E174" s="510"/>
    </row>
    <row r="175" spans="2:5" x14ac:dyDescent="0.25">
      <c r="B175" s="519"/>
      <c r="C175" s="510"/>
      <c r="D175" s="510"/>
      <c r="E175" s="510"/>
    </row>
    <row r="176" spans="2:5" x14ac:dyDescent="0.25">
      <c r="B176" s="516"/>
      <c r="C176" s="510"/>
      <c r="D176" s="510"/>
      <c r="E176" s="510"/>
    </row>
    <row r="177" spans="2:5" x14ac:dyDescent="0.25">
      <c r="B177" s="516"/>
      <c r="C177" s="510"/>
      <c r="D177" s="510"/>
      <c r="E177" s="510"/>
    </row>
    <row r="178" spans="2:5" x14ac:dyDescent="0.25">
      <c r="B178" s="519"/>
      <c r="C178" s="510"/>
      <c r="D178" s="510"/>
      <c r="E178" s="510"/>
    </row>
    <row r="179" spans="2:5" x14ac:dyDescent="0.25">
      <c r="B179" s="516"/>
      <c r="C179" s="510"/>
      <c r="D179" s="510"/>
      <c r="E179" s="510"/>
    </row>
    <row r="180" spans="2:5" x14ac:dyDescent="0.25">
      <c r="B180" s="519"/>
      <c r="C180" s="510"/>
      <c r="D180" s="510"/>
      <c r="E180" s="510"/>
    </row>
    <row r="181" spans="2:5" x14ac:dyDescent="0.25">
      <c r="B181" s="519"/>
      <c r="C181" s="510"/>
      <c r="D181" s="510"/>
      <c r="E181" s="510"/>
    </row>
    <row r="182" spans="2:5" x14ac:dyDescent="0.25">
      <c r="B182" s="516"/>
      <c r="C182" s="510"/>
      <c r="D182" s="510"/>
      <c r="E182" s="510"/>
    </row>
    <row r="183" spans="2:5" x14ac:dyDescent="0.25">
      <c r="B183" s="519"/>
      <c r="C183" s="510"/>
      <c r="D183" s="510"/>
      <c r="E183" s="510"/>
    </row>
    <row r="184" spans="2:5" x14ac:dyDescent="0.25">
      <c r="B184" s="516"/>
      <c r="C184" s="510"/>
      <c r="D184" s="510"/>
      <c r="E184" s="510"/>
    </row>
    <row r="185" spans="2:5" x14ac:dyDescent="0.25">
      <c r="B185" s="519"/>
      <c r="C185" s="510"/>
      <c r="D185" s="510"/>
      <c r="E185" s="510"/>
    </row>
    <row r="186" spans="2:5" x14ac:dyDescent="0.25">
      <c r="B186" s="519"/>
      <c r="C186" s="510"/>
      <c r="D186" s="510"/>
      <c r="E186" s="510"/>
    </row>
    <row r="187" spans="2:5" x14ac:dyDescent="0.25">
      <c r="B187" s="516"/>
      <c r="C187" s="510"/>
      <c r="D187" s="510"/>
      <c r="E187" s="510"/>
    </row>
    <row r="188" spans="2:5" x14ac:dyDescent="0.25">
      <c r="B188" s="519"/>
      <c r="C188" s="510"/>
      <c r="D188" s="510"/>
      <c r="E188" s="510"/>
    </row>
    <row r="189" spans="2:5" x14ac:dyDescent="0.25">
      <c r="B189" s="516"/>
      <c r="C189" s="510"/>
      <c r="D189" s="510"/>
      <c r="E189" s="510"/>
    </row>
    <row r="190" spans="2:5" x14ac:dyDescent="0.25">
      <c r="B190" s="519"/>
      <c r="C190" s="510"/>
      <c r="D190" s="510"/>
      <c r="E190" s="510"/>
    </row>
    <row r="191" spans="2:5" x14ac:dyDescent="0.25">
      <c r="B191" s="519"/>
      <c r="C191" s="510"/>
      <c r="D191" s="510"/>
      <c r="E191" s="510"/>
    </row>
    <row r="192" spans="2:5" x14ac:dyDescent="0.25">
      <c r="B192" s="516"/>
      <c r="C192" s="510"/>
      <c r="D192" s="510"/>
      <c r="E192" s="510"/>
    </row>
    <row r="193" spans="2:5" x14ac:dyDescent="0.25">
      <c r="B193" s="519"/>
      <c r="C193" s="510"/>
      <c r="D193" s="510"/>
      <c r="E193" s="510"/>
    </row>
    <row r="194" spans="2:5" x14ac:dyDescent="0.25">
      <c r="B194" s="516"/>
      <c r="C194" s="510"/>
      <c r="D194" s="510"/>
      <c r="E194" s="510"/>
    </row>
    <row r="195" spans="2:5" x14ac:dyDescent="0.25">
      <c r="B195" s="519"/>
      <c r="C195" s="510"/>
      <c r="D195" s="510"/>
      <c r="E195" s="510"/>
    </row>
    <row r="196" spans="2:5" x14ac:dyDescent="0.25">
      <c r="B196" s="519"/>
      <c r="C196" s="510"/>
      <c r="D196" s="510"/>
      <c r="E196" s="510"/>
    </row>
    <row r="197" spans="2:5" x14ac:dyDescent="0.25">
      <c r="B197" s="535"/>
      <c r="C197" s="510"/>
      <c r="D197" s="510"/>
      <c r="E197" s="510"/>
    </row>
    <row r="198" spans="2:5" x14ac:dyDescent="0.25">
      <c r="B198" s="535"/>
      <c r="C198" s="510"/>
      <c r="D198" s="510"/>
      <c r="E198" s="510"/>
    </row>
    <row r="199" spans="2:5" x14ac:dyDescent="0.25">
      <c r="B199" s="535"/>
      <c r="C199" s="510"/>
      <c r="D199" s="510"/>
      <c r="E199" s="510"/>
    </row>
    <row r="200" spans="2:5" x14ac:dyDescent="0.25">
      <c r="B200" s="535"/>
      <c r="C200" s="510"/>
      <c r="D200" s="510"/>
      <c r="E200" s="510"/>
    </row>
    <row r="201" spans="2:5" x14ac:dyDescent="0.25">
      <c r="B201" s="535"/>
      <c r="C201" s="510"/>
      <c r="D201" s="510"/>
      <c r="E201" s="510"/>
    </row>
    <row r="202" spans="2:5" x14ac:dyDescent="0.25">
      <c r="B202" s="535"/>
      <c r="C202" s="510"/>
      <c r="D202" s="510"/>
      <c r="E202" s="510"/>
    </row>
    <row r="203" spans="2:5" x14ac:dyDescent="0.25">
      <c r="B203" s="535"/>
      <c r="C203" s="510"/>
      <c r="D203" s="510"/>
      <c r="E203" s="510"/>
    </row>
    <row r="204" spans="2:5" x14ac:dyDescent="0.25">
      <c r="B204" s="535"/>
      <c r="C204" s="510"/>
      <c r="D204" s="510"/>
      <c r="E204" s="510"/>
    </row>
    <row r="205" spans="2:5" x14ac:dyDescent="0.25">
      <c r="B205" s="535"/>
      <c r="C205" s="510"/>
      <c r="D205" s="510"/>
      <c r="E205" s="510"/>
    </row>
    <row r="206" spans="2:5" x14ac:dyDescent="0.25">
      <c r="B206" s="535"/>
      <c r="C206" s="510"/>
      <c r="D206" s="510"/>
      <c r="E206" s="510"/>
    </row>
    <row r="207" spans="2:5" x14ac:dyDescent="0.25">
      <c r="B207" s="535"/>
      <c r="C207" s="510"/>
      <c r="D207" s="510"/>
      <c r="E207" s="510"/>
    </row>
    <row r="208" spans="2:5" x14ac:dyDescent="0.25">
      <c r="B208" s="535"/>
      <c r="C208" s="510"/>
      <c r="D208" s="510"/>
      <c r="E208" s="510"/>
    </row>
    <row r="209" spans="2:5" x14ac:dyDescent="0.25">
      <c r="B209" s="535"/>
      <c r="C209" s="510"/>
      <c r="D209" s="510"/>
      <c r="E209" s="510"/>
    </row>
    <row r="210" spans="2:5" x14ac:dyDescent="0.25">
      <c r="B210" s="535"/>
      <c r="C210" s="510"/>
      <c r="D210" s="510"/>
      <c r="E210" s="510"/>
    </row>
    <row r="211" spans="2:5" x14ac:dyDescent="0.25">
      <c r="B211" s="535"/>
      <c r="C211" s="510"/>
      <c r="D211" s="510"/>
      <c r="E211" s="510"/>
    </row>
    <row r="212" spans="2:5" x14ac:dyDescent="0.25">
      <c r="B212" s="535"/>
      <c r="C212" s="510"/>
      <c r="D212" s="510"/>
      <c r="E212" s="510"/>
    </row>
    <row r="213" spans="2:5" x14ac:dyDescent="0.25">
      <c r="B213" s="535"/>
      <c r="C213" s="510"/>
      <c r="D213" s="510"/>
      <c r="E213" s="510"/>
    </row>
    <row r="214" spans="2:5" x14ac:dyDescent="0.25">
      <c r="B214" s="535"/>
      <c r="C214" s="510"/>
      <c r="D214" s="510"/>
      <c r="E214" s="510"/>
    </row>
    <row r="215" spans="2:5" x14ac:dyDescent="0.25">
      <c r="B215" s="535"/>
      <c r="C215" s="510"/>
      <c r="D215" s="510"/>
      <c r="E215" s="510"/>
    </row>
    <row r="216" spans="2:5" x14ac:dyDescent="0.25">
      <c r="B216" s="535"/>
      <c r="C216" s="510"/>
      <c r="D216" s="510"/>
      <c r="E216" s="510"/>
    </row>
    <row r="217" spans="2:5" x14ac:dyDescent="0.25">
      <c r="B217" s="535"/>
      <c r="C217" s="510"/>
      <c r="D217" s="510"/>
      <c r="E217" s="510"/>
    </row>
    <row r="218" spans="2:5" x14ac:dyDescent="0.25">
      <c r="B218" s="535"/>
      <c r="C218" s="510"/>
      <c r="D218" s="510"/>
      <c r="E218" s="510"/>
    </row>
    <row r="219" spans="2:5" x14ac:dyDescent="0.25">
      <c r="B219" s="535"/>
      <c r="C219" s="510"/>
      <c r="D219" s="510"/>
      <c r="E219" s="510"/>
    </row>
    <row r="220" spans="2:5" x14ac:dyDescent="0.25">
      <c r="B220" s="535"/>
      <c r="C220" s="510"/>
      <c r="D220" s="510"/>
      <c r="E220" s="510"/>
    </row>
    <row r="221" spans="2:5" x14ac:dyDescent="0.25">
      <c r="B221" s="535"/>
      <c r="C221" s="510"/>
      <c r="D221" s="510"/>
      <c r="E221" s="510"/>
    </row>
    <row r="222" spans="2:5" x14ac:dyDescent="0.25">
      <c r="B222" s="535"/>
      <c r="C222" s="510"/>
      <c r="D222" s="510"/>
      <c r="E222" s="510"/>
    </row>
    <row r="223" spans="2:5" x14ac:dyDescent="0.25">
      <c r="B223" s="535"/>
      <c r="C223" s="510"/>
      <c r="D223" s="510"/>
      <c r="E223" s="510"/>
    </row>
  </sheetData>
  <printOptions horizontalCentered="1"/>
  <pageMargins left="0.75" right="0.75" top="1" bottom="1" header="0.5" footer="0.5"/>
  <pageSetup orientation="portrait" r:id="rId1"/>
  <headerFooter alignWithMargins="0"/>
  <rowBreaks count="1" manualBreakCount="1">
    <brk id="105" min="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/>
  </sheetViews>
  <sheetFormatPr defaultColWidth="9.33203125" defaultRowHeight="12.75" x14ac:dyDescent="0.2"/>
  <cols>
    <col min="1" max="1" width="68.83203125" style="469" bestFit="1" customWidth="1"/>
    <col min="2" max="3" width="16.1640625" style="468" bestFit="1" customWidth="1"/>
    <col min="4" max="4" width="14.1640625" style="468" bestFit="1" customWidth="1"/>
    <col min="5" max="5" width="15.83203125" style="468" bestFit="1" customWidth="1"/>
    <col min="6" max="6" width="16.83203125" style="468" bestFit="1" customWidth="1"/>
    <col min="7" max="7" width="15.83203125" style="468" bestFit="1" customWidth="1"/>
    <col min="8" max="8" width="2.5" style="469" customWidth="1"/>
    <col min="9" max="16384" width="9.33203125" style="469"/>
  </cols>
  <sheetData>
    <row r="1" spans="1:8" x14ac:dyDescent="0.2">
      <c r="A1" s="467" t="s">
        <v>901</v>
      </c>
    </row>
    <row r="2" spans="1:8" x14ac:dyDescent="0.2">
      <c r="A2" s="469" t="s">
        <v>854</v>
      </c>
    </row>
    <row r="3" spans="1:8" x14ac:dyDescent="0.2">
      <c r="B3" s="470" t="s">
        <v>855</v>
      </c>
      <c r="C3" s="471"/>
      <c r="D3" s="471"/>
      <c r="E3" s="470" t="s">
        <v>856</v>
      </c>
      <c r="F3" s="471"/>
      <c r="G3" s="470" t="s">
        <v>857</v>
      </c>
    </row>
    <row r="4" spans="1:8" x14ac:dyDescent="0.2">
      <c r="A4" s="472"/>
      <c r="B4" s="473" t="s">
        <v>858</v>
      </c>
      <c r="C4" s="473" t="s">
        <v>859</v>
      </c>
      <c r="D4" s="473" t="s">
        <v>860</v>
      </c>
      <c r="E4" s="473" t="s">
        <v>861</v>
      </c>
      <c r="F4" s="473" t="s">
        <v>862</v>
      </c>
      <c r="G4" s="473" t="s">
        <v>858</v>
      </c>
      <c r="H4" s="472"/>
    </row>
    <row r="5" spans="1:8" x14ac:dyDescent="0.2">
      <c r="A5" s="474" t="s">
        <v>863</v>
      </c>
      <c r="B5" s="475"/>
      <c r="C5" s="475"/>
      <c r="D5" s="475"/>
      <c r="E5" s="475"/>
      <c r="F5" s="475"/>
      <c r="G5" s="475"/>
      <c r="H5" s="472"/>
    </row>
    <row r="6" spans="1:8" x14ac:dyDescent="0.2">
      <c r="A6" s="476" t="s">
        <v>864</v>
      </c>
      <c r="B6" s="471"/>
      <c r="C6" s="471"/>
      <c r="D6" s="471"/>
      <c r="E6" s="471"/>
      <c r="F6" s="471"/>
      <c r="G6" s="471"/>
      <c r="H6" s="472"/>
    </row>
    <row r="7" spans="1:8" x14ac:dyDescent="0.2">
      <c r="C7" s="477"/>
      <c r="D7" s="477"/>
      <c r="E7" s="477"/>
    </row>
    <row r="8" spans="1:8" x14ac:dyDescent="0.2">
      <c r="A8" s="469" t="s">
        <v>865</v>
      </c>
      <c r="C8" s="477"/>
      <c r="D8" s="477"/>
      <c r="E8" s="477"/>
    </row>
    <row r="9" spans="1:8" x14ac:dyDescent="0.2">
      <c r="A9" s="469" t="s">
        <v>866</v>
      </c>
      <c r="B9" s="478">
        <v>3850661.41</v>
      </c>
      <c r="C9" s="479">
        <v>0</v>
      </c>
      <c r="D9" s="479">
        <v>0</v>
      </c>
      <c r="E9" s="479">
        <v>-1732030.19</v>
      </c>
      <c r="F9" s="468">
        <f>SUM(C9:E9)</f>
        <v>-1732030.19</v>
      </c>
      <c r="G9" s="468">
        <f>B9+F9</f>
        <v>2118631.2200000002</v>
      </c>
    </row>
    <row r="10" spans="1:8" x14ac:dyDescent="0.2">
      <c r="A10" s="469" t="s">
        <v>867</v>
      </c>
      <c r="B10" s="478">
        <v>45700.5</v>
      </c>
      <c r="C10" s="480">
        <v>0</v>
      </c>
      <c r="D10" s="479">
        <v>0</v>
      </c>
      <c r="E10" s="479">
        <v>0</v>
      </c>
      <c r="F10" s="468">
        <f t="shared" ref="F10:F17" si="0">SUM(C10:E10)</f>
        <v>0</v>
      </c>
      <c r="G10" s="468">
        <f t="shared" ref="G10:G17" si="1">B10+F10</f>
        <v>45700.5</v>
      </c>
    </row>
    <row r="11" spans="1:8" x14ac:dyDescent="0.2">
      <c r="A11" s="469" t="s">
        <v>868</v>
      </c>
      <c r="B11" s="478">
        <v>1618031.92</v>
      </c>
      <c r="C11" s="478">
        <v>0</v>
      </c>
      <c r="D11" s="478">
        <v>0</v>
      </c>
      <c r="E11" s="478">
        <v>0</v>
      </c>
      <c r="F11" s="468">
        <f t="shared" si="0"/>
        <v>0</v>
      </c>
      <c r="G11" s="468">
        <f t="shared" si="1"/>
        <v>1618031.92</v>
      </c>
    </row>
    <row r="12" spans="1:8" x14ac:dyDescent="0.2">
      <c r="A12" s="469" t="s">
        <v>869</v>
      </c>
      <c r="B12" s="481">
        <v>20362463.819999997</v>
      </c>
      <c r="C12" s="478">
        <v>525772.4700000002</v>
      </c>
      <c r="D12" s="478">
        <v>-445534.3</v>
      </c>
      <c r="E12" s="478">
        <v>287922.78999999998</v>
      </c>
      <c r="F12" s="468">
        <f t="shared" si="0"/>
        <v>368160.9600000002</v>
      </c>
      <c r="G12" s="468">
        <f t="shared" si="1"/>
        <v>20730624.779999997</v>
      </c>
    </row>
    <row r="13" spans="1:8" x14ac:dyDescent="0.2">
      <c r="A13" s="469" t="s">
        <v>870</v>
      </c>
      <c r="B13" s="481">
        <v>7181081.3000000007</v>
      </c>
      <c r="C13" s="478">
        <v>0</v>
      </c>
      <c r="D13" s="478">
        <v>0</v>
      </c>
      <c r="E13" s="478">
        <v>0</v>
      </c>
      <c r="F13" s="468">
        <f t="shared" si="0"/>
        <v>0</v>
      </c>
      <c r="G13" s="468">
        <f t="shared" si="1"/>
        <v>7181081.3000000007</v>
      </c>
    </row>
    <row r="14" spans="1:8" x14ac:dyDescent="0.2">
      <c r="A14" s="469" t="s">
        <v>871</v>
      </c>
      <c r="B14" s="481">
        <v>8586282.8399999999</v>
      </c>
      <c r="C14" s="478">
        <v>1428582.6400000001</v>
      </c>
      <c r="D14" s="478">
        <v>-82216.81</v>
      </c>
      <c r="E14" s="478">
        <v>0</v>
      </c>
      <c r="F14" s="468">
        <f t="shared" si="0"/>
        <v>1346365.83</v>
      </c>
      <c r="G14" s="468">
        <f t="shared" si="1"/>
        <v>9932648.6699999999</v>
      </c>
    </row>
    <row r="15" spans="1:8" x14ac:dyDescent="0.2">
      <c r="A15" s="469" t="s">
        <v>872</v>
      </c>
      <c r="B15" s="481">
        <v>16345719.560000001</v>
      </c>
      <c r="C15" s="478">
        <v>625281.19000000006</v>
      </c>
      <c r="D15" s="478">
        <v>-6907.66</v>
      </c>
      <c r="E15" s="478">
        <v>0</v>
      </c>
      <c r="F15" s="468">
        <f t="shared" si="0"/>
        <v>618373.53</v>
      </c>
      <c r="G15" s="468">
        <f t="shared" si="1"/>
        <v>16964093.09</v>
      </c>
    </row>
    <row r="16" spans="1:8" x14ac:dyDescent="0.2">
      <c r="A16" s="469" t="s">
        <v>873</v>
      </c>
      <c r="B16" s="481">
        <v>0</v>
      </c>
      <c r="C16" s="478">
        <v>0</v>
      </c>
      <c r="D16" s="478">
        <v>0</v>
      </c>
      <c r="E16" s="478">
        <v>0</v>
      </c>
      <c r="F16" s="468">
        <f t="shared" si="0"/>
        <v>0</v>
      </c>
      <c r="G16" s="468">
        <f t="shared" si="1"/>
        <v>0</v>
      </c>
    </row>
    <row r="17" spans="1:7" x14ac:dyDescent="0.2">
      <c r="A17" s="469" t="s">
        <v>874</v>
      </c>
      <c r="B17" s="481">
        <v>0</v>
      </c>
      <c r="C17" s="478">
        <v>0</v>
      </c>
      <c r="D17" s="478">
        <v>0</v>
      </c>
      <c r="E17" s="478">
        <v>0</v>
      </c>
      <c r="F17" s="468">
        <f t="shared" si="0"/>
        <v>0</v>
      </c>
      <c r="G17" s="468">
        <f t="shared" si="1"/>
        <v>0</v>
      </c>
    </row>
    <row r="18" spans="1:7" x14ac:dyDescent="0.2">
      <c r="B18" s="482">
        <f>SUM(B9:B17)</f>
        <v>57989941.350000001</v>
      </c>
      <c r="C18" s="482">
        <f t="shared" ref="C18:G18" si="2">SUM(C9:C17)</f>
        <v>2579636.3000000003</v>
      </c>
      <c r="D18" s="482">
        <f t="shared" si="2"/>
        <v>-534658.77</v>
      </c>
      <c r="E18" s="482">
        <f t="shared" si="2"/>
        <v>-1444107.4</v>
      </c>
      <c r="F18" s="482">
        <f t="shared" si="2"/>
        <v>600870.13000000035</v>
      </c>
      <c r="G18" s="482">
        <f t="shared" si="2"/>
        <v>58590811.480000004</v>
      </c>
    </row>
    <row r="19" spans="1:7" x14ac:dyDescent="0.2">
      <c r="B19" s="482"/>
    </row>
    <row r="20" spans="1:7" x14ac:dyDescent="0.2">
      <c r="A20" s="467" t="s">
        <v>902</v>
      </c>
      <c r="B20" s="482"/>
      <c r="C20" s="483" t="s">
        <v>875</v>
      </c>
    </row>
    <row r="21" spans="1:7" x14ac:dyDescent="0.2">
      <c r="B21" s="482"/>
      <c r="C21" s="483" t="s">
        <v>876</v>
      </c>
    </row>
    <row r="22" spans="1:7" x14ac:dyDescent="0.2">
      <c r="B22" s="482"/>
      <c r="C22" s="484" t="s">
        <v>877</v>
      </c>
    </row>
    <row r="23" spans="1:7" x14ac:dyDescent="0.2">
      <c r="B23" s="482"/>
      <c r="C23" s="483" t="s">
        <v>878</v>
      </c>
    </row>
    <row r="24" spans="1:7" x14ac:dyDescent="0.2">
      <c r="A24" s="467" t="s">
        <v>879</v>
      </c>
      <c r="C24" s="477"/>
      <c r="D24" s="477"/>
      <c r="E24" s="477"/>
    </row>
    <row r="25" spans="1:7" x14ac:dyDescent="0.2">
      <c r="A25" s="469" t="s">
        <v>866</v>
      </c>
      <c r="B25" s="478">
        <v>280370.75</v>
      </c>
      <c r="C25" s="479">
        <v>0</v>
      </c>
      <c r="D25" s="479">
        <v>0</v>
      </c>
      <c r="E25" s="479">
        <v>0</v>
      </c>
      <c r="F25" s="468">
        <f t="shared" ref="F25:F33" si="3">SUM(C25:E25)</f>
        <v>0</v>
      </c>
      <c r="G25" s="468">
        <f t="shared" ref="G25:G33" si="4">B25+F25</f>
        <v>280370.75</v>
      </c>
    </row>
    <row r="26" spans="1:7" x14ac:dyDescent="0.2">
      <c r="A26" s="469" t="s">
        <v>867</v>
      </c>
      <c r="B26" s="478">
        <v>0</v>
      </c>
      <c r="C26" s="479">
        <v>0</v>
      </c>
      <c r="D26" s="479">
        <v>0</v>
      </c>
      <c r="E26" s="479">
        <v>0</v>
      </c>
      <c r="F26" s="468">
        <f t="shared" si="3"/>
        <v>0</v>
      </c>
      <c r="G26" s="468">
        <f t="shared" si="4"/>
        <v>0</v>
      </c>
    </row>
    <row r="27" spans="1:7" x14ac:dyDescent="0.2">
      <c r="A27" s="469" t="s">
        <v>868</v>
      </c>
      <c r="B27" s="478">
        <v>0</v>
      </c>
      <c r="C27" s="479">
        <v>0</v>
      </c>
      <c r="D27" s="479">
        <v>0</v>
      </c>
      <c r="E27" s="479">
        <v>0</v>
      </c>
      <c r="F27" s="468">
        <f t="shared" si="3"/>
        <v>0</v>
      </c>
      <c r="G27" s="468">
        <f t="shared" si="4"/>
        <v>0</v>
      </c>
    </row>
    <row r="28" spans="1:7" x14ac:dyDescent="0.2">
      <c r="A28" s="469" t="s">
        <v>869</v>
      </c>
      <c r="B28" s="481">
        <v>0</v>
      </c>
      <c r="C28" s="479">
        <v>0</v>
      </c>
      <c r="D28" s="479">
        <v>0</v>
      </c>
      <c r="E28" s="479">
        <v>0</v>
      </c>
      <c r="F28" s="468">
        <f t="shared" si="3"/>
        <v>0</v>
      </c>
      <c r="G28" s="468">
        <f t="shared" si="4"/>
        <v>0</v>
      </c>
    </row>
    <row r="29" spans="1:7" x14ac:dyDescent="0.2">
      <c r="A29" s="469" t="s">
        <v>870</v>
      </c>
      <c r="B29" s="481">
        <v>4769322.87</v>
      </c>
      <c r="C29" s="479">
        <v>0</v>
      </c>
      <c r="D29" s="479">
        <v>0</v>
      </c>
      <c r="E29" s="479">
        <v>0</v>
      </c>
      <c r="F29" s="468">
        <f t="shared" si="3"/>
        <v>0</v>
      </c>
      <c r="G29" s="468">
        <f t="shared" si="4"/>
        <v>4769322.87</v>
      </c>
    </row>
    <row r="30" spans="1:7" x14ac:dyDescent="0.2">
      <c r="A30" s="469" t="s">
        <v>871</v>
      </c>
      <c r="B30" s="481">
        <v>51357.98</v>
      </c>
      <c r="C30" s="479">
        <v>0</v>
      </c>
      <c r="D30" s="479">
        <v>0</v>
      </c>
      <c r="E30" s="479">
        <v>0</v>
      </c>
      <c r="F30" s="468">
        <f t="shared" si="3"/>
        <v>0</v>
      </c>
      <c r="G30" s="468">
        <f t="shared" si="4"/>
        <v>51357.98</v>
      </c>
    </row>
    <row r="31" spans="1:7" x14ac:dyDescent="0.2">
      <c r="A31" s="469" t="s">
        <v>872</v>
      </c>
      <c r="B31" s="481">
        <v>3129377.81</v>
      </c>
      <c r="C31" s="479">
        <v>0</v>
      </c>
      <c r="D31" s="479">
        <v>0</v>
      </c>
      <c r="E31" s="479">
        <v>0</v>
      </c>
      <c r="F31" s="468">
        <f t="shared" si="3"/>
        <v>0</v>
      </c>
      <c r="G31" s="468">
        <f t="shared" si="4"/>
        <v>3129377.81</v>
      </c>
    </row>
    <row r="32" spans="1:7" x14ac:dyDescent="0.2">
      <c r="A32" s="469" t="s">
        <v>873</v>
      </c>
      <c r="B32" s="481">
        <v>0</v>
      </c>
      <c r="C32" s="479">
        <v>0</v>
      </c>
      <c r="D32" s="479">
        <v>0</v>
      </c>
      <c r="E32" s="479">
        <v>0</v>
      </c>
      <c r="F32" s="468">
        <f t="shared" si="3"/>
        <v>0</v>
      </c>
      <c r="G32" s="468">
        <f t="shared" si="4"/>
        <v>0</v>
      </c>
    </row>
    <row r="33" spans="1:7" x14ac:dyDescent="0.2">
      <c r="A33" s="469" t="s">
        <v>874</v>
      </c>
      <c r="B33" s="481">
        <v>0</v>
      </c>
      <c r="C33" s="479">
        <v>0</v>
      </c>
      <c r="D33" s="479">
        <v>0</v>
      </c>
      <c r="E33" s="479">
        <v>0</v>
      </c>
      <c r="F33" s="468">
        <f t="shared" si="3"/>
        <v>0</v>
      </c>
      <c r="G33" s="468">
        <f t="shared" si="4"/>
        <v>0</v>
      </c>
    </row>
    <row r="34" spans="1:7" x14ac:dyDescent="0.2">
      <c r="B34" s="468">
        <f t="shared" ref="B34:G34" si="5">SUM(B25:B33)</f>
        <v>8230429.4100000001</v>
      </c>
      <c r="C34" s="468">
        <f t="shared" si="5"/>
        <v>0</v>
      </c>
      <c r="D34" s="468">
        <f t="shared" si="5"/>
        <v>0</v>
      </c>
      <c r="E34" s="468">
        <f t="shared" si="5"/>
        <v>0</v>
      </c>
      <c r="F34" s="468">
        <f t="shared" si="5"/>
        <v>0</v>
      </c>
      <c r="G34" s="468">
        <f t="shared" si="5"/>
        <v>8230429.4100000001</v>
      </c>
    </row>
    <row r="36" spans="1:7" x14ac:dyDescent="0.2">
      <c r="B36" s="482"/>
    </row>
    <row r="38" spans="1:7" x14ac:dyDescent="0.2">
      <c r="A38" s="467" t="s">
        <v>880</v>
      </c>
      <c r="C38" s="477"/>
      <c r="D38" s="477"/>
      <c r="E38" s="477"/>
    </row>
    <row r="39" spans="1:7" x14ac:dyDescent="0.2">
      <c r="A39" s="469" t="s">
        <v>866</v>
      </c>
      <c r="B39" s="468">
        <f t="shared" ref="B39:F47" si="6">B9-B25</f>
        <v>3570290.66</v>
      </c>
      <c r="C39" s="468">
        <f t="shared" si="6"/>
        <v>0</v>
      </c>
      <c r="D39" s="468">
        <f t="shared" si="6"/>
        <v>0</v>
      </c>
      <c r="E39" s="468">
        <f t="shared" si="6"/>
        <v>-1732030.19</v>
      </c>
      <c r="F39" s="468">
        <f t="shared" si="6"/>
        <v>-1732030.19</v>
      </c>
      <c r="G39" s="468">
        <f t="shared" ref="G39:G47" si="7">B39+F39</f>
        <v>1838260.4700000002</v>
      </c>
    </row>
    <row r="40" spans="1:7" x14ac:dyDescent="0.2">
      <c r="A40" s="469" t="s">
        <v>867</v>
      </c>
      <c r="B40" s="468">
        <f t="shared" si="6"/>
        <v>45700.5</v>
      </c>
      <c r="C40" s="468">
        <f t="shared" si="6"/>
        <v>0</v>
      </c>
      <c r="D40" s="468">
        <f t="shared" si="6"/>
        <v>0</v>
      </c>
      <c r="E40" s="468">
        <f t="shared" si="6"/>
        <v>0</v>
      </c>
      <c r="F40" s="468">
        <f t="shared" si="6"/>
        <v>0</v>
      </c>
      <c r="G40" s="468">
        <f t="shared" si="7"/>
        <v>45700.5</v>
      </c>
    </row>
    <row r="41" spans="1:7" x14ac:dyDescent="0.2">
      <c r="A41" s="469" t="s">
        <v>868</v>
      </c>
      <c r="B41" s="468">
        <f t="shared" si="6"/>
        <v>1618031.92</v>
      </c>
      <c r="C41" s="468">
        <f t="shared" si="6"/>
        <v>0</v>
      </c>
      <c r="D41" s="468">
        <f t="shared" si="6"/>
        <v>0</v>
      </c>
      <c r="E41" s="468">
        <f t="shared" si="6"/>
        <v>0</v>
      </c>
      <c r="F41" s="468">
        <f t="shared" si="6"/>
        <v>0</v>
      </c>
      <c r="G41" s="468">
        <f t="shared" si="7"/>
        <v>1618031.92</v>
      </c>
    </row>
    <row r="42" spans="1:7" x14ac:dyDescent="0.2">
      <c r="A42" s="469" t="s">
        <v>869</v>
      </c>
      <c r="B42" s="468">
        <f t="shared" si="6"/>
        <v>20362463.819999997</v>
      </c>
      <c r="C42" s="468">
        <f t="shared" si="6"/>
        <v>525772.4700000002</v>
      </c>
      <c r="D42" s="468">
        <f t="shared" si="6"/>
        <v>-445534.3</v>
      </c>
      <c r="E42" s="468">
        <f t="shared" si="6"/>
        <v>287922.78999999998</v>
      </c>
      <c r="F42" s="468">
        <f t="shared" si="6"/>
        <v>368160.9600000002</v>
      </c>
      <c r="G42" s="468">
        <f t="shared" si="7"/>
        <v>20730624.779999997</v>
      </c>
    </row>
    <row r="43" spans="1:7" x14ac:dyDescent="0.2">
      <c r="A43" s="469" t="s">
        <v>870</v>
      </c>
      <c r="B43" s="468">
        <f t="shared" si="6"/>
        <v>2411758.4300000006</v>
      </c>
      <c r="C43" s="468">
        <f t="shared" si="6"/>
        <v>0</v>
      </c>
      <c r="D43" s="468">
        <f t="shared" si="6"/>
        <v>0</v>
      </c>
      <c r="E43" s="468">
        <f t="shared" si="6"/>
        <v>0</v>
      </c>
      <c r="F43" s="468">
        <f t="shared" si="6"/>
        <v>0</v>
      </c>
      <c r="G43" s="468">
        <f t="shared" si="7"/>
        <v>2411758.4300000006</v>
      </c>
    </row>
    <row r="44" spans="1:7" x14ac:dyDescent="0.2">
      <c r="A44" s="469" t="s">
        <v>871</v>
      </c>
      <c r="B44" s="468">
        <f t="shared" si="6"/>
        <v>8534924.8599999994</v>
      </c>
      <c r="C44" s="468">
        <f t="shared" si="6"/>
        <v>1428582.6400000001</v>
      </c>
      <c r="D44" s="468">
        <f t="shared" si="6"/>
        <v>-82216.81</v>
      </c>
      <c r="E44" s="468">
        <f t="shared" si="6"/>
        <v>0</v>
      </c>
      <c r="F44" s="468">
        <f t="shared" si="6"/>
        <v>1346365.83</v>
      </c>
      <c r="G44" s="468">
        <f t="shared" si="7"/>
        <v>9881290.6899999995</v>
      </c>
    </row>
    <row r="45" spans="1:7" x14ac:dyDescent="0.2">
      <c r="A45" s="469" t="s">
        <v>872</v>
      </c>
      <c r="B45" s="468">
        <f t="shared" si="6"/>
        <v>13216341.75</v>
      </c>
      <c r="C45" s="468">
        <f t="shared" si="6"/>
        <v>625281.19000000006</v>
      </c>
      <c r="D45" s="468">
        <f t="shared" si="6"/>
        <v>-6907.66</v>
      </c>
      <c r="E45" s="468">
        <f t="shared" si="6"/>
        <v>0</v>
      </c>
      <c r="F45" s="468">
        <f t="shared" si="6"/>
        <v>618373.53</v>
      </c>
      <c r="G45" s="468">
        <f t="shared" si="7"/>
        <v>13834715.279999999</v>
      </c>
    </row>
    <row r="46" spans="1:7" x14ac:dyDescent="0.2">
      <c r="A46" s="469" t="s">
        <v>873</v>
      </c>
      <c r="B46" s="468">
        <f t="shared" si="6"/>
        <v>0</v>
      </c>
      <c r="C46" s="468">
        <f t="shared" si="6"/>
        <v>0</v>
      </c>
      <c r="D46" s="468">
        <f t="shared" si="6"/>
        <v>0</v>
      </c>
      <c r="E46" s="468">
        <f t="shared" si="6"/>
        <v>0</v>
      </c>
      <c r="F46" s="468">
        <f t="shared" si="6"/>
        <v>0</v>
      </c>
      <c r="G46" s="468">
        <f t="shared" si="7"/>
        <v>0</v>
      </c>
    </row>
    <row r="47" spans="1:7" x14ac:dyDescent="0.2">
      <c r="A47" s="469" t="s">
        <v>874</v>
      </c>
      <c r="B47" s="468">
        <f t="shared" si="6"/>
        <v>0</v>
      </c>
      <c r="C47" s="468">
        <f t="shared" si="6"/>
        <v>0</v>
      </c>
      <c r="D47" s="468">
        <f t="shared" si="6"/>
        <v>0</v>
      </c>
      <c r="E47" s="468">
        <f t="shared" si="6"/>
        <v>0</v>
      </c>
      <c r="F47" s="468">
        <f t="shared" si="6"/>
        <v>0</v>
      </c>
      <c r="G47" s="468">
        <f t="shared" si="7"/>
        <v>0</v>
      </c>
    </row>
    <row r="48" spans="1:7" x14ac:dyDescent="0.2">
      <c r="B48" s="468">
        <f t="shared" ref="B48:G48" si="8">SUM(B39:B47)</f>
        <v>49759511.939999998</v>
      </c>
      <c r="C48" s="468">
        <f t="shared" si="8"/>
        <v>2579636.3000000003</v>
      </c>
      <c r="D48" s="468">
        <f t="shared" si="8"/>
        <v>-534658.77</v>
      </c>
      <c r="E48" s="468">
        <f t="shared" si="8"/>
        <v>-1444107.4</v>
      </c>
      <c r="F48" s="468">
        <f t="shared" si="8"/>
        <v>600870.13000000035</v>
      </c>
      <c r="G48" s="468">
        <f t="shared" si="8"/>
        <v>50360382.07</v>
      </c>
    </row>
    <row r="50" spans="1:8" x14ac:dyDescent="0.2">
      <c r="B50" s="482"/>
    </row>
    <row r="51" spans="1:8" x14ac:dyDescent="0.2">
      <c r="A51" s="467" t="s">
        <v>881</v>
      </c>
    </row>
    <row r="52" spans="1:8" s="487" customFormat="1" x14ac:dyDescent="0.2">
      <c r="A52" s="485" t="s">
        <v>882</v>
      </c>
      <c r="B52" s="486"/>
      <c r="C52" s="486"/>
      <c r="D52" s="486"/>
      <c r="E52" s="486"/>
      <c r="F52" s="486"/>
      <c r="G52" s="486"/>
      <c r="H52" s="486"/>
    </row>
    <row r="53" spans="1:8" s="487" customFormat="1" x14ac:dyDescent="0.2">
      <c r="A53" s="488"/>
      <c r="B53" s="486"/>
      <c r="C53" s="486"/>
      <c r="D53" s="486"/>
      <c r="E53" s="486"/>
      <c r="F53" s="486"/>
      <c r="G53" s="486"/>
      <c r="H53" s="486"/>
    </row>
    <row r="54" spans="1:8" s="487" customFormat="1" x14ac:dyDescent="0.2">
      <c r="A54" s="485"/>
      <c r="B54" s="486"/>
      <c r="C54" s="486"/>
      <c r="D54" s="486"/>
      <c r="E54" s="486"/>
      <c r="F54" s="486"/>
      <c r="G54" s="486"/>
      <c r="H54" s="486"/>
    </row>
    <row r="55" spans="1:8" s="487" customFormat="1" x14ac:dyDescent="0.2">
      <c r="A55" s="489"/>
      <c r="B55" s="486"/>
      <c r="C55" s="486"/>
      <c r="D55" s="486"/>
      <c r="E55" s="486"/>
      <c r="F55" s="486"/>
      <c r="G55" s="486"/>
      <c r="H55" s="486"/>
    </row>
    <row r="56" spans="1:8" s="487" customFormat="1" x14ac:dyDescent="0.2">
      <c r="A56" s="490"/>
      <c r="B56" s="491"/>
      <c r="C56" s="491"/>
      <c r="D56" s="491"/>
      <c r="E56" s="491"/>
      <c r="F56" s="491"/>
      <c r="G56" s="491"/>
      <c r="H56" s="491"/>
    </row>
    <row r="57" spans="1:8" s="487" customFormat="1" x14ac:dyDescent="0.2">
      <c r="A57" s="490"/>
      <c r="B57" s="492"/>
      <c r="C57" s="492"/>
      <c r="D57" s="492"/>
      <c r="E57" s="492"/>
      <c r="F57" s="493"/>
      <c r="G57" s="492"/>
    </row>
    <row r="58" spans="1:8" s="487" customFormat="1" x14ac:dyDescent="0.2">
      <c r="A58" s="490"/>
      <c r="B58" s="491"/>
      <c r="C58" s="491"/>
      <c r="D58" s="491"/>
      <c r="E58" s="491"/>
      <c r="F58" s="493"/>
      <c r="G58" s="491"/>
    </row>
    <row r="59" spans="1:8" s="487" customFormat="1" x14ac:dyDescent="0.2">
      <c r="A59" s="494"/>
      <c r="B59" s="491"/>
      <c r="C59" s="491"/>
      <c r="D59" s="491"/>
      <c r="E59" s="491"/>
      <c r="F59" s="493"/>
      <c r="G59" s="491"/>
    </row>
    <row r="60" spans="1:8" s="487" customFormat="1" x14ac:dyDescent="0.2">
      <c r="A60" s="490"/>
      <c r="B60" s="491"/>
      <c r="C60" s="491"/>
      <c r="D60" s="491"/>
      <c r="E60" s="491"/>
      <c r="F60" s="493"/>
      <c r="G60" s="491"/>
    </row>
    <row r="61" spans="1:8" s="487" customFormat="1" x14ac:dyDescent="0.2">
      <c r="A61" s="490"/>
      <c r="B61" s="491"/>
      <c r="C61" s="491"/>
      <c r="D61" s="491"/>
      <c r="E61" s="491"/>
      <c r="F61" s="493"/>
      <c r="G61" s="491"/>
    </row>
    <row r="62" spans="1:8" s="487" customFormat="1" x14ac:dyDescent="0.2">
      <c r="A62" s="490"/>
      <c r="B62" s="491"/>
      <c r="C62" s="491"/>
      <c r="D62" s="491"/>
      <c r="E62" s="491"/>
      <c r="F62" s="493"/>
      <c r="G62" s="491"/>
    </row>
    <row r="63" spans="1:8" s="487" customFormat="1" x14ac:dyDescent="0.2">
      <c r="A63" s="490"/>
      <c r="B63" s="491"/>
      <c r="C63" s="491"/>
      <c r="D63" s="491"/>
      <c r="E63" s="491"/>
      <c r="F63" s="493"/>
      <c r="G63" s="491"/>
    </row>
    <row r="64" spans="1:8" s="487" customFormat="1" x14ac:dyDescent="0.2">
      <c r="A64" s="490"/>
      <c r="B64" s="491"/>
      <c r="C64" s="491"/>
      <c r="D64" s="491"/>
      <c r="E64" s="491"/>
      <c r="F64" s="493"/>
      <c r="G64" s="491"/>
    </row>
    <row r="65" spans="1:8" s="487" customFormat="1" x14ac:dyDescent="0.2">
      <c r="A65" s="490"/>
      <c r="B65" s="491"/>
      <c r="C65" s="491"/>
      <c r="D65" s="491"/>
      <c r="E65" s="491"/>
      <c r="F65" s="493"/>
      <c r="G65" s="491"/>
    </row>
    <row r="66" spans="1:8" s="487" customFormat="1" x14ac:dyDescent="0.2">
      <c r="A66" s="490"/>
      <c r="B66" s="491"/>
      <c r="C66" s="491"/>
      <c r="D66" s="491"/>
      <c r="E66" s="491"/>
      <c r="F66" s="493"/>
      <c r="G66" s="491"/>
    </row>
    <row r="67" spans="1:8" s="487" customFormat="1" x14ac:dyDescent="0.2">
      <c r="A67" s="490"/>
      <c r="B67" s="491"/>
      <c r="C67" s="491"/>
      <c r="D67" s="491"/>
      <c r="E67" s="491"/>
      <c r="F67" s="493"/>
      <c r="G67" s="491"/>
    </row>
    <row r="68" spans="1:8" s="487" customFormat="1" x14ac:dyDescent="0.2">
      <c r="A68" s="490"/>
      <c r="B68" s="491"/>
      <c r="C68" s="491"/>
      <c r="D68" s="491"/>
      <c r="E68" s="491"/>
      <c r="F68" s="493"/>
      <c r="G68" s="491"/>
    </row>
    <row r="69" spans="1:8" s="487" customFormat="1" x14ac:dyDescent="0.2">
      <c r="A69" s="490"/>
      <c r="B69" s="491"/>
      <c r="C69" s="491"/>
      <c r="D69" s="491"/>
      <c r="E69" s="491"/>
      <c r="F69" s="493"/>
      <c r="G69" s="491"/>
    </row>
    <row r="70" spans="1:8" s="487" customFormat="1" x14ac:dyDescent="0.2">
      <c r="A70" s="490"/>
      <c r="B70" s="491"/>
      <c r="C70" s="491"/>
      <c r="D70" s="491"/>
      <c r="E70" s="491"/>
      <c r="F70" s="493"/>
      <c r="G70" s="491"/>
    </row>
    <row r="71" spans="1:8" s="487" customFormat="1" x14ac:dyDescent="0.2">
      <c r="A71" s="490"/>
      <c r="B71" s="491"/>
      <c r="C71" s="491"/>
      <c r="D71" s="491"/>
      <c r="E71" s="491"/>
      <c r="F71" s="493"/>
      <c r="G71" s="491"/>
    </row>
    <row r="72" spans="1:8" s="487" customFormat="1" x14ac:dyDescent="0.2">
      <c r="A72" s="490"/>
      <c r="B72" s="491"/>
      <c r="C72" s="491"/>
      <c r="D72" s="491"/>
      <c r="E72" s="491"/>
      <c r="F72" s="493"/>
      <c r="G72" s="491"/>
    </row>
    <row r="73" spans="1:8" s="487" customFormat="1" x14ac:dyDescent="0.2">
      <c r="A73" s="490"/>
      <c r="B73" s="491"/>
      <c r="C73" s="491"/>
      <c r="D73" s="491"/>
      <c r="E73" s="491"/>
      <c r="F73" s="493"/>
      <c r="G73" s="491"/>
    </row>
    <row r="74" spans="1:8" s="487" customFormat="1" x14ac:dyDescent="0.2">
      <c r="A74" s="490"/>
      <c r="B74" s="491"/>
      <c r="C74" s="491"/>
      <c r="D74" s="491"/>
      <c r="E74" s="491"/>
      <c r="F74" s="493"/>
      <c r="G74" s="491"/>
    </row>
    <row r="75" spans="1:8" s="487" customFormat="1" x14ac:dyDescent="0.2">
      <c r="A75" s="490"/>
      <c r="B75" s="491"/>
      <c r="C75" s="491"/>
      <c r="D75" s="491"/>
      <c r="E75" s="491"/>
      <c r="F75" s="493"/>
      <c r="G75" s="491"/>
    </row>
    <row r="76" spans="1:8" s="487" customFormat="1" x14ac:dyDescent="0.2">
      <c r="A76" s="490"/>
      <c r="B76" s="491"/>
      <c r="C76" s="491"/>
      <c r="D76" s="491"/>
      <c r="E76" s="491"/>
      <c r="F76" s="493"/>
      <c r="G76" s="491"/>
    </row>
    <row r="77" spans="1:8" s="487" customFormat="1" x14ac:dyDescent="0.2">
      <c r="A77" s="490"/>
      <c r="B77" s="491"/>
      <c r="C77" s="491"/>
      <c r="D77" s="491"/>
      <c r="E77" s="491"/>
      <c r="F77" s="493"/>
      <c r="G77" s="491"/>
    </row>
    <row r="78" spans="1:8" s="487" customFormat="1" x14ac:dyDescent="0.2">
      <c r="A78" s="490"/>
      <c r="B78" s="491"/>
      <c r="C78" s="491"/>
      <c r="D78" s="491"/>
      <c r="E78" s="491"/>
      <c r="F78" s="493"/>
      <c r="G78" s="491"/>
    </row>
    <row r="79" spans="1:8" s="487" customFormat="1" x14ac:dyDescent="0.2">
      <c r="A79" s="490"/>
      <c r="B79" s="491"/>
      <c r="C79" s="491"/>
      <c r="D79" s="491"/>
      <c r="E79" s="491"/>
      <c r="F79" s="493"/>
      <c r="G79" s="491"/>
    </row>
    <row r="80" spans="1:8" s="487" customFormat="1" x14ac:dyDescent="0.2">
      <c r="A80" s="490"/>
      <c r="B80" s="491"/>
      <c r="C80" s="491"/>
      <c r="D80" s="491"/>
      <c r="E80" s="491"/>
      <c r="F80" s="491"/>
      <c r="G80" s="491"/>
      <c r="H80" s="491"/>
    </row>
  </sheetData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" sqref="D2"/>
    </sheetView>
  </sheetViews>
  <sheetFormatPr defaultRowHeight="12.75" x14ac:dyDescent="0.2"/>
  <cols>
    <col min="1" max="1" width="25.33203125" bestFit="1" customWidth="1"/>
    <col min="2" max="2" width="25.83203125" bestFit="1" customWidth="1"/>
    <col min="3" max="3" width="28" bestFit="1" customWidth="1"/>
    <col min="4" max="4" width="20.83203125" customWidth="1"/>
  </cols>
  <sheetData>
    <row r="1" spans="1:4" ht="45" x14ac:dyDescent="0.2">
      <c r="A1" s="459" t="s">
        <v>883</v>
      </c>
      <c r="B1" s="460" t="s">
        <v>884</v>
      </c>
      <c r="C1" s="501" t="str">
        <f>TEXT(EOMONTH('OATT Input Data'!$B$4,5)+1,"mmmm d, yyyy")&amp;" Point to Point"</f>
        <v>June 1, 2015 Point to Point</v>
      </c>
      <c r="D1" s="501" t="str">
        <f>TEXT(EOMONTH('OATT Input Data'!$B$4,5)+1,"mmmm d, yyyy")&amp;" NITS"</f>
        <v>June 1, 2015 NITS</v>
      </c>
    </row>
    <row r="2" spans="1:4" ht="21.75" x14ac:dyDescent="0.2">
      <c r="A2" s="461" t="s">
        <v>885</v>
      </c>
      <c r="B2" s="462" t="s">
        <v>886</v>
      </c>
      <c r="C2" s="463">
        <f>'PTP Pg 1 of 5'!$E$38</f>
        <v>4.4379999999999997</v>
      </c>
      <c r="D2" s="464" t="s">
        <v>932</v>
      </c>
    </row>
    <row r="3" spans="1:4" ht="21.75" x14ac:dyDescent="0.2">
      <c r="A3" s="461" t="s">
        <v>887</v>
      </c>
      <c r="B3" s="462" t="s">
        <v>886</v>
      </c>
      <c r="C3" s="463">
        <f>'PTP Pg 1 of 5'!$J$38</f>
        <v>2.0830000000000002</v>
      </c>
      <c r="D3" s="464" t="s">
        <v>932</v>
      </c>
    </row>
    <row r="4" spans="1:4" ht="21.75" x14ac:dyDescent="0.2">
      <c r="A4" s="461" t="s">
        <v>888</v>
      </c>
      <c r="B4" s="462" t="s">
        <v>889</v>
      </c>
      <c r="C4" s="463">
        <f>'PTP Pg 1 of 5'!$E$37*1000</f>
        <v>71</v>
      </c>
      <c r="D4" s="464" t="s">
        <v>932</v>
      </c>
    </row>
    <row r="5" spans="1:4" ht="21.75" x14ac:dyDescent="0.2">
      <c r="A5" s="461" t="s">
        <v>890</v>
      </c>
      <c r="B5" s="462" t="s">
        <v>889</v>
      </c>
      <c r="C5" s="463">
        <f>'PTP Pg 1 of 5'!$J$37*1000</f>
        <v>50</v>
      </c>
      <c r="D5" s="464" t="s">
        <v>932</v>
      </c>
    </row>
    <row r="6" spans="1:4" ht="21.75" x14ac:dyDescent="0.2">
      <c r="A6" s="461" t="s">
        <v>891</v>
      </c>
      <c r="B6" s="462" t="s">
        <v>892</v>
      </c>
      <c r="C6" s="464">
        <f>'PTP Pg 1 of 5'!$E$36*1000</f>
        <v>353</v>
      </c>
      <c r="D6" s="464" t="s">
        <v>932</v>
      </c>
    </row>
    <row r="7" spans="1:4" ht="21.75" x14ac:dyDescent="0.2">
      <c r="A7" s="461" t="s">
        <v>893</v>
      </c>
      <c r="B7" s="462" t="s">
        <v>894</v>
      </c>
      <c r="C7" s="464">
        <f>'PTP Pg 1 of 5'!$E$33*1000</f>
        <v>1532</v>
      </c>
      <c r="D7" s="464">
        <f>'NITS Pg 1 of 5'!E33*1000</f>
        <v>1569.5</v>
      </c>
    </row>
    <row r="8" spans="1:4" ht="21.75" x14ac:dyDescent="0.2">
      <c r="A8" s="461" t="s">
        <v>895</v>
      </c>
      <c r="B8" s="462" t="s">
        <v>896</v>
      </c>
      <c r="C8" s="465">
        <f>'Sch 1'!D32/8760*1000</f>
        <v>9.1100602678874432E-2</v>
      </c>
      <c r="D8" s="465">
        <f>C8</f>
        <v>9.1100602678874432E-2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99"/>
    <pageSetUpPr fitToPage="1"/>
  </sheetPr>
  <dimension ref="A1:U344"/>
  <sheetViews>
    <sheetView topLeftCell="A22" workbookViewId="0">
      <selection activeCell="E33" sqref="E33"/>
    </sheetView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6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48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83"/>
      <c r="N1" s="4"/>
      <c r="O1" s="4"/>
      <c r="P1" s="4"/>
    </row>
    <row r="2" spans="1:16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6"/>
      <c r="N2" s="4"/>
      <c r="O2" s="4"/>
      <c r="P2" s="4"/>
    </row>
    <row r="3" spans="1:16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8"/>
      <c r="F4" s="2"/>
      <c r="G4" s="2"/>
      <c r="H4" s="2"/>
      <c r="I4" s="4"/>
      <c r="J4" s="352" t="s">
        <v>918</v>
      </c>
      <c r="L4" s="4"/>
      <c r="M4" s="4"/>
      <c r="N4" s="4"/>
      <c r="O4" s="5"/>
      <c r="P4" s="4"/>
    </row>
    <row r="5" spans="1:16" x14ac:dyDescent="0.25">
      <c r="A5" s="2" t="s">
        <v>187</v>
      </c>
      <c r="B5" s="300"/>
      <c r="C5" s="2"/>
      <c r="E5" s="2"/>
      <c r="F5" s="2"/>
      <c r="G5" s="2"/>
      <c r="H5" s="2"/>
      <c r="I5" s="2"/>
      <c r="J5" s="286" t="s">
        <v>383</v>
      </c>
      <c r="L5" s="300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4"/>
      <c r="O7" s="4"/>
      <c r="P7" s="4"/>
    </row>
    <row r="8" spans="1:16" x14ac:dyDescent="0.25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8" t="s">
        <v>127</v>
      </c>
      <c r="D11" s="293" t="s">
        <v>410</v>
      </c>
      <c r="E11" s="12"/>
      <c r="F11" s="4"/>
      <c r="G11" s="4"/>
      <c r="H11" s="4"/>
      <c r="I11" s="4"/>
      <c r="J11" s="13">
        <f>ROUND('NITS Pg 3 of 5'!$J$56,0)</f>
        <v>129955390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294" t="s">
        <v>242</v>
      </c>
      <c r="E13" s="11" t="s">
        <v>6</v>
      </c>
      <c r="F13" s="9"/>
      <c r="G13" s="14" t="s">
        <v>7</v>
      </c>
      <c r="H13" s="14"/>
      <c r="I13" s="4"/>
      <c r="J13" s="12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291" t="s">
        <v>378</v>
      </c>
      <c r="E14" s="174">
        <f>'NITS Pg 4 of 5'!$J$64</f>
        <v>0</v>
      </c>
      <c r="F14" s="9"/>
      <c r="G14" s="9" t="s">
        <v>9</v>
      </c>
      <c r="H14" s="15">
        <f>'NITS Pg 4 of 5'!$J$16</f>
        <v>0.95489000000000002</v>
      </c>
      <c r="I14" s="9"/>
      <c r="J14" s="538">
        <f>ROUND(H14*E14,0)</f>
        <v>0</v>
      </c>
      <c r="K14" s="4"/>
      <c r="L14" s="173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291" t="s">
        <v>379</v>
      </c>
      <c r="E15" s="539">
        <f>'NITS Pg 4 of 5'!$J$68</f>
        <v>2822696</v>
      </c>
      <c r="F15" s="9"/>
      <c r="G15" s="9" t="str">
        <f t="shared" ref="G15:G17" si="0">+G14</f>
        <v>TP</v>
      </c>
      <c r="H15" s="15">
        <f>'NITS Pg 4 of 5'!$J$16</f>
        <v>0.95489000000000002</v>
      </c>
      <c r="I15" s="9"/>
      <c r="J15" s="17">
        <f t="shared" ref="J15:J17" si="1">ROUND(H15*E15,0)</f>
        <v>2695364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8" t="s">
        <v>11</v>
      </c>
      <c r="D16" s="9"/>
      <c r="E16" s="539">
        <v>0</v>
      </c>
      <c r="F16" s="9"/>
      <c r="G16" s="9" t="str">
        <f t="shared" si="0"/>
        <v>TP</v>
      </c>
      <c r="H16" s="15">
        <f>'NITS Pg 4 of 5'!$J$16</f>
        <v>0.95489000000000002</v>
      </c>
      <c r="I16" s="9"/>
      <c r="J16" s="539">
        <f t="shared" si="1"/>
        <v>0</v>
      </c>
      <c r="K16" s="4"/>
      <c r="L16" s="4"/>
      <c r="M16" s="4"/>
      <c r="N16" s="4"/>
      <c r="P16" s="19"/>
    </row>
    <row r="17" spans="1:16" ht="18" x14ac:dyDescent="0.4">
      <c r="A17" s="5">
        <v>5</v>
      </c>
      <c r="C17" s="571" t="s">
        <v>188</v>
      </c>
      <c r="D17" s="572"/>
      <c r="E17" s="539">
        <v>0</v>
      </c>
      <c r="F17" s="9"/>
      <c r="G17" s="9" t="str">
        <f t="shared" si="0"/>
        <v>TP</v>
      </c>
      <c r="H17" s="15">
        <f>'NITS Pg 4 of 5'!$J$16</f>
        <v>0.95489000000000002</v>
      </c>
      <c r="I17" s="9"/>
      <c r="J17" s="540">
        <f t="shared" si="1"/>
        <v>0</v>
      </c>
      <c r="K17" s="21"/>
      <c r="L17" s="4"/>
      <c r="M17" s="4"/>
      <c r="N17" s="4"/>
      <c r="P17" s="19"/>
    </row>
    <row r="18" spans="1:16" x14ac:dyDescent="0.25">
      <c r="A18" s="5">
        <v>6</v>
      </c>
      <c r="C18" s="8" t="s">
        <v>128</v>
      </c>
      <c r="D18" s="292" t="s">
        <v>243</v>
      </c>
      <c r="E18" s="22" t="s">
        <v>0</v>
      </c>
      <c r="F18" s="9"/>
      <c r="G18" s="9"/>
      <c r="H18" s="15"/>
      <c r="I18" s="9"/>
      <c r="J18" s="16">
        <f>ROUND(SUM(J14:J17),0)</f>
        <v>2695364</v>
      </c>
      <c r="K18" s="4"/>
      <c r="L18" s="4"/>
      <c r="M18" s="4"/>
      <c r="N18" s="4"/>
      <c r="P18" s="4"/>
    </row>
    <row r="19" spans="1:16" x14ac:dyDescent="0.25">
      <c r="A19" s="5"/>
      <c r="C19" s="2"/>
      <c r="D19" s="4"/>
      <c r="J19" s="9"/>
      <c r="K19" s="4"/>
      <c r="L19" s="4"/>
      <c r="M19" s="4"/>
      <c r="N19" s="4"/>
      <c r="P19" s="4"/>
    </row>
    <row r="20" spans="1:16" ht="18" x14ac:dyDescent="0.4">
      <c r="A20" s="5">
        <v>7</v>
      </c>
      <c r="C20" s="2" t="s">
        <v>12</v>
      </c>
      <c r="D20" s="292" t="s">
        <v>244</v>
      </c>
      <c r="E20" s="22" t="s">
        <v>0</v>
      </c>
      <c r="F20" s="9"/>
      <c r="G20" s="9"/>
      <c r="H20" s="9"/>
      <c r="I20" s="9"/>
      <c r="J20" s="172">
        <f>J11-J18</f>
        <v>127260026</v>
      </c>
      <c r="K20" s="4"/>
      <c r="L20" s="4"/>
      <c r="M20" s="4"/>
      <c r="N20" s="4"/>
      <c r="P20" s="4"/>
    </row>
    <row r="21" spans="1:16" x14ac:dyDescent="0.25">
      <c r="A21" s="5"/>
      <c r="D21" s="4"/>
      <c r="E21" s="22"/>
      <c r="F21" s="9"/>
      <c r="G21" s="9"/>
      <c r="H21" s="9"/>
      <c r="I21" s="9"/>
      <c r="K21" s="4"/>
      <c r="L21" s="4"/>
      <c r="M21" s="4"/>
      <c r="N21" s="4"/>
      <c r="P21" s="4"/>
    </row>
    <row r="22" spans="1:16" x14ac:dyDescent="0.25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4"/>
      <c r="P22" s="4"/>
    </row>
    <row r="23" spans="1:16" x14ac:dyDescent="0.25">
      <c r="A23" s="5">
        <v>8</v>
      </c>
      <c r="C23" s="8" t="s">
        <v>133</v>
      </c>
      <c r="E23" s="12"/>
      <c r="F23" s="292" t="s">
        <v>245</v>
      </c>
      <c r="G23" s="4"/>
      <c r="H23" s="292"/>
      <c r="I23" s="4"/>
      <c r="J23" s="179">
        <f>'OATT Input Data'!$E$25</f>
        <v>5867000</v>
      </c>
      <c r="K23" s="4"/>
      <c r="L23" s="4"/>
      <c r="M23" s="4"/>
      <c r="P23" s="23"/>
    </row>
    <row r="24" spans="1:16" x14ac:dyDescent="0.25">
      <c r="A24" s="5">
        <v>9</v>
      </c>
      <c r="C24" s="8" t="s">
        <v>134</v>
      </c>
      <c r="D24" s="9"/>
      <c r="E24" s="9"/>
      <c r="F24" s="294" t="s">
        <v>246</v>
      </c>
      <c r="G24" s="9"/>
      <c r="H24" s="294"/>
      <c r="I24" s="9"/>
      <c r="J24" s="179">
        <f>'OATT Input Data'!$E$41</f>
        <v>397</v>
      </c>
      <c r="K24" s="4"/>
      <c r="L24" s="4"/>
      <c r="M24" s="4"/>
      <c r="O24" s="4"/>
      <c r="P24" s="4"/>
    </row>
    <row r="25" spans="1:16" x14ac:dyDescent="0.25">
      <c r="A25" s="5">
        <v>10</v>
      </c>
      <c r="C25" s="88" t="s">
        <v>135</v>
      </c>
      <c r="D25" s="4"/>
      <c r="E25" s="4"/>
      <c r="F25" s="291" t="s">
        <v>247</v>
      </c>
      <c r="H25" s="292"/>
      <c r="I25" s="4"/>
      <c r="J25" s="179">
        <f>'OATT Input Data'!$F$57</f>
        <v>724000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8" t="s">
        <v>136</v>
      </c>
      <c r="D26" s="4"/>
      <c r="E26" s="4"/>
      <c r="F26" s="292" t="s">
        <v>248</v>
      </c>
      <c r="H26" s="292"/>
      <c r="I26" s="4"/>
      <c r="J26" s="539">
        <f>'OATT Input Data'!$E$73*-1</f>
        <v>0</v>
      </c>
      <c r="K26" s="4"/>
      <c r="L26" s="4"/>
      <c r="M26" s="4"/>
      <c r="O26" s="4"/>
      <c r="P26" s="4"/>
    </row>
    <row r="27" spans="1:16" x14ac:dyDescent="0.25">
      <c r="A27" s="5">
        <v>12</v>
      </c>
      <c r="C27" s="88" t="s">
        <v>137</v>
      </c>
      <c r="D27" s="4"/>
      <c r="E27" s="4"/>
      <c r="F27" s="4"/>
      <c r="G27" s="4"/>
      <c r="H27" s="282"/>
      <c r="I27" s="4"/>
      <c r="J27" s="179">
        <f>'OATT Input Data'!$E$90</f>
        <v>592666.66666666663</v>
      </c>
      <c r="K27" s="4"/>
      <c r="L27" s="4"/>
      <c r="M27" s="4"/>
      <c r="O27" s="4"/>
      <c r="P27" s="4"/>
    </row>
    <row r="28" spans="1:16" x14ac:dyDescent="0.25">
      <c r="A28" s="5">
        <v>13</v>
      </c>
      <c r="C28" s="88" t="s">
        <v>168</v>
      </c>
      <c r="D28" s="4"/>
      <c r="E28" s="4"/>
      <c r="F28" s="4"/>
      <c r="G28" s="4"/>
      <c r="H28" s="4"/>
      <c r="I28" s="4"/>
      <c r="J28" s="539">
        <v>0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8" t="s">
        <v>189</v>
      </c>
      <c r="D29" s="4"/>
      <c r="E29" s="4"/>
      <c r="F29" s="4"/>
      <c r="G29" s="4"/>
      <c r="H29" s="4"/>
      <c r="I29" s="4"/>
      <c r="J29" s="180">
        <f>'OATT Input Data'!$E$95*-1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8" t="s">
        <v>289</v>
      </c>
      <c r="D30" s="292" t="s">
        <v>288</v>
      </c>
      <c r="E30" s="4"/>
      <c r="F30" s="4"/>
      <c r="G30" s="4"/>
      <c r="H30" s="4"/>
      <c r="I30" s="4"/>
      <c r="J30" s="179">
        <f>ROUND(SUM(J23:J29),0)</f>
        <v>6757064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35">
      <c r="A32" s="5">
        <v>16</v>
      </c>
      <c r="C32" s="24" t="s">
        <v>14</v>
      </c>
      <c r="D32" s="336" t="s">
        <v>295</v>
      </c>
      <c r="E32" s="338">
        <f>IF(J30&gt;0.01,ROUND(J20/J30,3),0.0001)</f>
        <v>18.834</v>
      </c>
      <c r="F32" s="27"/>
      <c r="G32" s="4"/>
      <c r="H32" s="4"/>
      <c r="I32" s="4"/>
      <c r="K32" s="4"/>
      <c r="L32" s="4"/>
      <c r="M32" s="4"/>
      <c r="N32" s="4"/>
      <c r="O32" s="4"/>
      <c r="P32" s="4"/>
    </row>
    <row r="33" spans="1:16" x14ac:dyDescent="0.25">
      <c r="A33" s="5">
        <v>17</v>
      </c>
      <c r="C33" s="37" t="s">
        <v>301</v>
      </c>
      <c r="D33" s="336" t="s">
        <v>296</v>
      </c>
      <c r="E33" s="338">
        <f>E32/12</f>
        <v>1.5694999999999999</v>
      </c>
      <c r="G33" s="28"/>
      <c r="H33" s="29"/>
      <c r="I33" s="4"/>
      <c r="K33" s="4"/>
      <c r="L33" s="4"/>
      <c r="M33" s="4"/>
      <c r="N33" s="29"/>
      <c r="O33" s="4"/>
      <c r="P33" s="4"/>
    </row>
    <row r="34" spans="1:16" x14ac:dyDescent="0.25">
      <c r="A34" s="5"/>
      <c r="C34" s="37"/>
      <c r="D34" s="336"/>
      <c r="E34" s="338"/>
      <c r="G34" s="28"/>
      <c r="H34" s="29"/>
      <c r="I34" s="4"/>
      <c r="K34" s="4"/>
      <c r="L34" s="4"/>
      <c r="M34" s="4"/>
      <c r="N34" s="29"/>
      <c r="O34" s="4"/>
      <c r="P34" s="4"/>
    </row>
    <row r="35" spans="1:16" x14ac:dyDescent="0.25">
      <c r="A35" s="5"/>
      <c r="C35" s="24"/>
      <c r="D35" s="25"/>
      <c r="E35" s="26"/>
      <c r="F35" s="29"/>
      <c r="G35" s="4"/>
      <c r="H35" s="4"/>
      <c r="I35" s="4"/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18" t="s">
        <v>131</v>
      </c>
      <c r="D36" s="32"/>
      <c r="E36" s="26"/>
      <c r="F36" s="4"/>
      <c r="G36" s="4"/>
      <c r="H36" s="4"/>
      <c r="I36" s="4"/>
      <c r="J36" s="33"/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18" t="s">
        <v>131</v>
      </c>
      <c r="D37" s="32"/>
      <c r="E37" s="26"/>
      <c r="F37" s="4"/>
      <c r="H37" s="4"/>
      <c r="I37" s="4"/>
      <c r="J37" s="33"/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18" t="s">
        <v>131</v>
      </c>
      <c r="D38" s="32"/>
      <c r="E38" s="26"/>
      <c r="F38" s="4"/>
      <c r="H38" s="4"/>
      <c r="I38" s="4"/>
      <c r="J38" s="33"/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8" t="s">
        <v>298</v>
      </c>
      <c r="E40" s="541">
        <v>1E-4</v>
      </c>
      <c r="F40" s="354" t="s">
        <v>16</v>
      </c>
      <c r="G40" s="354"/>
      <c r="H40" s="354"/>
      <c r="I40" s="354"/>
      <c r="J40" s="541">
        <v>1E-4</v>
      </c>
      <c r="K40" s="34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41">
        <v>1E-4</v>
      </c>
      <c r="F41" s="354" t="s">
        <v>17</v>
      </c>
      <c r="G41" s="354"/>
      <c r="H41" s="354"/>
      <c r="I41" s="354"/>
      <c r="J41" s="541">
        <v>1E-4</v>
      </c>
      <c r="K41" s="34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35"/>
      <c r="B43" s="36"/>
      <c r="C43" s="37"/>
      <c r="D43" s="36"/>
      <c r="E43" s="36"/>
      <c r="F43" s="36"/>
      <c r="G43" s="36"/>
      <c r="H43" s="36"/>
      <c r="I43" s="36"/>
      <c r="J43" s="18"/>
      <c r="K43" s="25"/>
      <c r="L43" s="25"/>
      <c r="M43" s="25"/>
      <c r="N43" s="4"/>
      <c r="O43" s="4"/>
      <c r="P43" s="4"/>
    </row>
    <row r="44" spans="1:16" x14ac:dyDescent="0.25">
      <c r="A44" s="35"/>
      <c r="B44" s="36"/>
      <c r="C44" s="37"/>
      <c r="D44" s="25"/>
      <c r="E44" s="25"/>
      <c r="F44" s="25"/>
      <c r="G44" s="25"/>
      <c r="H44" s="25"/>
      <c r="I44" s="25"/>
      <c r="J44" s="38"/>
      <c r="K44" s="25"/>
      <c r="L44" s="25"/>
      <c r="M44" s="25"/>
      <c r="N44" s="4"/>
      <c r="O44" s="4"/>
      <c r="P44" s="4"/>
    </row>
    <row r="45" spans="1:16" x14ac:dyDescent="0.25">
      <c r="A45" s="35"/>
      <c r="B45" s="36"/>
      <c r="C45" s="24"/>
      <c r="D45" s="25"/>
      <c r="E45" s="25"/>
      <c r="F45" s="25"/>
      <c r="G45" s="25"/>
      <c r="H45" s="25"/>
      <c r="I45" s="25"/>
      <c r="J45" s="39"/>
      <c r="K45" s="25"/>
      <c r="L45" s="25"/>
      <c r="M45" s="25"/>
      <c r="N45" s="4"/>
      <c r="O45" s="4"/>
      <c r="P45" s="4"/>
    </row>
    <row r="46" spans="1:16" x14ac:dyDescent="0.25">
      <c r="A46" s="35"/>
      <c r="B46" s="36"/>
      <c r="C46" s="37"/>
      <c r="D46" s="25"/>
      <c r="E46" s="25"/>
      <c r="F46" s="25"/>
      <c r="G46" s="25"/>
      <c r="H46" s="25"/>
      <c r="I46" s="25"/>
      <c r="J46" s="39"/>
      <c r="K46" s="25"/>
      <c r="L46" s="25"/>
      <c r="M46" s="25"/>
      <c r="N46" s="4"/>
      <c r="O46" s="4"/>
      <c r="P46" s="40"/>
    </row>
    <row r="47" spans="1:16" s="36" customFormat="1" x14ac:dyDescent="0.25">
      <c r="A47" s="35"/>
      <c r="C47" s="37"/>
      <c r="D47" s="24"/>
      <c r="E47" s="32"/>
      <c r="F47" s="24"/>
      <c r="G47" s="24"/>
      <c r="H47" s="24"/>
      <c r="I47" s="25"/>
      <c r="J47" s="39"/>
      <c r="K47" s="35"/>
      <c r="L47" s="35"/>
      <c r="M47" s="41"/>
      <c r="N47" s="25"/>
      <c r="O47" s="42"/>
      <c r="P47" s="43"/>
    </row>
    <row r="48" spans="1:16" s="36" customFormat="1" x14ac:dyDescent="0.25">
      <c r="A48" s="35"/>
      <c r="C48" s="37"/>
      <c r="D48" s="25"/>
      <c r="E48" s="25"/>
      <c r="F48" s="25"/>
      <c r="G48" s="25"/>
      <c r="H48" s="25"/>
      <c r="I48" s="25"/>
      <c r="J48" s="39"/>
      <c r="K48" s="41"/>
      <c r="L48" s="41"/>
      <c r="M48" s="41"/>
      <c r="N48" s="25"/>
      <c r="O48" s="25"/>
      <c r="P48" s="44"/>
    </row>
    <row r="49" spans="1:21" s="36" customFormat="1" x14ac:dyDescent="0.25">
      <c r="A49" s="35"/>
      <c r="C49" s="37"/>
      <c r="D49" s="24"/>
      <c r="E49" s="32"/>
      <c r="F49" s="24"/>
      <c r="G49" s="24"/>
      <c r="H49" s="24"/>
      <c r="I49" s="25"/>
      <c r="J49" s="45"/>
      <c r="K49" s="570"/>
      <c r="L49" s="570"/>
      <c r="M49" s="570"/>
      <c r="N49" s="25"/>
      <c r="O49" s="25"/>
      <c r="P49" s="43"/>
    </row>
    <row r="50" spans="1:21" s="36" customFormat="1" x14ac:dyDescent="0.25">
      <c r="A50" s="35"/>
      <c r="C50" s="37"/>
      <c r="D50" s="24"/>
      <c r="E50" s="32"/>
      <c r="F50" s="24"/>
      <c r="G50" s="24"/>
      <c r="H50" s="24"/>
      <c r="I50" s="25"/>
      <c r="J50" s="46"/>
      <c r="K50" s="41"/>
      <c r="L50" s="41"/>
      <c r="M50" s="41"/>
      <c r="N50" s="25"/>
      <c r="O50" s="25"/>
      <c r="P50" s="43"/>
    </row>
    <row r="51" spans="1:21" s="36" customFormat="1" x14ac:dyDescent="0.25">
      <c r="A51" s="35"/>
      <c r="C51" s="37"/>
      <c r="D51" s="24"/>
      <c r="E51" s="32"/>
      <c r="F51" s="24"/>
      <c r="G51" s="24"/>
      <c r="H51" s="24"/>
      <c r="I51" s="25"/>
      <c r="J51" s="39"/>
      <c r="K51" s="41"/>
      <c r="L51" s="41"/>
      <c r="M51" s="41"/>
      <c r="N51" s="25"/>
      <c r="O51" s="25"/>
      <c r="P51" s="43"/>
    </row>
    <row r="52" spans="1:21" s="36" customFormat="1" x14ac:dyDescent="0.25">
      <c r="A52" s="35"/>
      <c r="C52" s="37"/>
      <c r="D52" s="24"/>
      <c r="E52" s="32"/>
      <c r="F52" s="24"/>
      <c r="G52" s="24"/>
      <c r="H52" s="24"/>
      <c r="I52" s="25"/>
      <c r="J52" s="47"/>
      <c r="K52" s="25"/>
      <c r="L52" s="570"/>
      <c r="M52" s="570"/>
      <c r="N52" s="25"/>
      <c r="O52" s="25"/>
      <c r="P52" s="43"/>
    </row>
    <row r="53" spans="1:21" s="36" customFormat="1" x14ac:dyDescent="0.25">
      <c r="C53" s="24"/>
      <c r="D53" s="24"/>
      <c r="E53" s="32"/>
      <c r="F53" s="24"/>
      <c r="G53" s="24"/>
      <c r="H53" s="24"/>
      <c r="I53" s="25"/>
      <c r="J53" s="25"/>
      <c r="K53" s="25"/>
      <c r="L53" s="41"/>
      <c r="M53" s="41"/>
      <c r="N53" s="25"/>
      <c r="O53" s="25"/>
      <c r="P53" s="44"/>
    </row>
    <row r="54" spans="1:21" s="36" customFormat="1" ht="21" x14ac:dyDescent="0.35">
      <c r="A54" s="35"/>
      <c r="C54" s="24"/>
      <c r="D54" s="37"/>
      <c r="E54" s="26"/>
      <c r="F54" s="48"/>
      <c r="G54" s="25"/>
      <c r="H54" s="25"/>
      <c r="I54" s="25"/>
      <c r="K54" s="25"/>
      <c r="L54" s="25"/>
      <c r="M54" s="25"/>
      <c r="N54" s="25"/>
      <c r="O54" s="25"/>
      <c r="P54" s="25"/>
    </row>
    <row r="55" spans="1:21" s="36" customFormat="1" x14ac:dyDescent="0.25">
      <c r="A55" s="35"/>
      <c r="C55" s="24"/>
      <c r="D55" s="37"/>
      <c r="E55" s="26"/>
      <c r="G55" s="49"/>
      <c r="H55" s="26"/>
      <c r="I55" s="25"/>
      <c r="K55" s="50"/>
      <c r="M55" s="51"/>
      <c r="N55" s="51"/>
      <c r="O55" s="51"/>
      <c r="P55" s="35"/>
      <c r="Q55" s="52"/>
      <c r="R55" s="53"/>
      <c r="S55" s="53"/>
      <c r="T55" s="53"/>
      <c r="U55" s="53"/>
    </row>
    <row r="56" spans="1:21" s="36" customFormat="1" x14ac:dyDescent="0.25">
      <c r="A56" s="35"/>
      <c r="C56" s="24"/>
      <c r="D56" s="25"/>
      <c r="E56" s="26"/>
      <c r="F56" s="26"/>
      <c r="G56" s="25"/>
      <c r="H56" s="25"/>
      <c r="I56" s="25"/>
      <c r="K56" s="51"/>
      <c r="M56" s="51"/>
      <c r="N56" s="51"/>
      <c r="O56" s="51"/>
      <c r="P56" s="35"/>
      <c r="Q56" s="52"/>
      <c r="R56" s="53"/>
      <c r="S56" s="53"/>
      <c r="T56" s="53"/>
      <c r="U56" s="53"/>
    </row>
    <row r="57" spans="1:21" s="36" customFormat="1" x14ac:dyDescent="0.25">
      <c r="A57" s="35"/>
      <c r="C57" s="24"/>
      <c r="D57" s="25"/>
      <c r="E57" s="30"/>
      <c r="F57" s="25"/>
      <c r="G57" s="25"/>
      <c r="H57" s="25"/>
      <c r="I57" s="25"/>
      <c r="J57" s="52"/>
      <c r="K57" s="51"/>
      <c r="M57" s="51"/>
      <c r="N57" s="51"/>
      <c r="O57" s="50"/>
      <c r="P57" s="54"/>
      <c r="Q57" s="54"/>
      <c r="R57" s="53"/>
      <c r="S57" s="53"/>
      <c r="T57" s="53"/>
      <c r="U57" s="53"/>
    </row>
    <row r="58" spans="1:21" s="36" customFormat="1" x14ac:dyDescent="0.25">
      <c r="A58" s="35"/>
      <c r="C58" s="24"/>
      <c r="D58" s="25"/>
      <c r="E58" s="26"/>
      <c r="F58" s="25"/>
      <c r="G58" s="25"/>
      <c r="H58" s="25"/>
      <c r="I58" s="25"/>
      <c r="K58" s="50"/>
      <c r="M58" s="51"/>
      <c r="N58" s="51"/>
      <c r="O58" s="50"/>
      <c r="P58" s="54"/>
      <c r="Q58" s="54"/>
      <c r="R58" s="53"/>
      <c r="S58" s="53"/>
      <c r="T58" s="53"/>
      <c r="U58" s="53"/>
    </row>
    <row r="59" spans="1:21" s="36" customFormat="1" x14ac:dyDescent="0.25">
      <c r="A59" s="35"/>
      <c r="C59" s="24"/>
      <c r="D59" s="32"/>
      <c r="E59" s="26"/>
      <c r="F59" s="25"/>
      <c r="G59" s="25"/>
      <c r="H59" s="25"/>
      <c r="I59" s="25"/>
      <c r="J59" s="55"/>
      <c r="M59" s="51"/>
      <c r="N59" s="51"/>
      <c r="O59" s="50"/>
      <c r="P59" s="54"/>
      <c r="Q59" s="54"/>
      <c r="R59" s="53"/>
      <c r="S59" s="53"/>
      <c r="T59" s="53"/>
      <c r="U59" s="53"/>
    </row>
    <row r="60" spans="1:21" s="36" customFormat="1" x14ac:dyDescent="0.25">
      <c r="A60" s="35"/>
      <c r="C60" s="24"/>
      <c r="D60" s="32"/>
      <c r="E60" s="26"/>
      <c r="F60" s="25"/>
      <c r="H60" s="25"/>
      <c r="I60" s="25"/>
      <c r="J60" s="55"/>
      <c r="L60" s="51"/>
      <c r="M60" s="51"/>
      <c r="N60" s="51"/>
      <c r="O60" s="50"/>
      <c r="P60" s="51"/>
      <c r="Q60" s="51"/>
      <c r="R60" s="56"/>
      <c r="S60" s="53"/>
      <c r="T60" s="56"/>
      <c r="U60" s="56"/>
    </row>
    <row r="61" spans="1:21" s="36" customFormat="1" x14ac:dyDescent="0.25">
      <c r="A61" s="35"/>
      <c r="C61" s="24"/>
      <c r="D61" s="32"/>
      <c r="E61" s="26"/>
      <c r="F61" s="25"/>
      <c r="H61" s="25"/>
      <c r="I61" s="25"/>
      <c r="J61" s="55"/>
      <c r="K61" s="25"/>
      <c r="L61" s="25"/>
      <c r="M61" s="51"/>
      <c r="N61" s="57"/>
      <c r="P61" s="54"/>
      <c r="Q61" s="58"/>
    </row>
    <row r="62" spans="1:21" s="36" customFormat="1" x14ac:dyDescent="0.25">
      <c r="A62" s="35"/>
      <c r="C62" s="24"/>
      <c r="D62" s="25"/>
      <c r="E62" s="25"/>
      <c r="F62" s="25"/>
      <c r="H62" s="25"/>
      <c r="I62" s="25"/>
      <c r="K62" s="35"/>
      <c r="O62" s="51"/>
      <c r="P62" s="51"/>
      <c r="Q62" s="51"/>
    </row>
    <row r="63" spans="1:21" s="36" customFormat="1" x14ac:dyDescent="0.25">
      <c r="A63" s="35"/>
      <c r="C63" s="24"/>
      <c r="D63" s="25"/>
      <c r="E63" s="25"/>
      <c r="F63" s="25"/>
      <c r="G63" s="25"/>
      <c r="H63" s="59"/>
      <c r="I63" s="60"/>
      <c r="O63" s="51"/>
      <c r="P63" s="61"/>
      <c r="Q63" s="57"/>
    </row>
    <row r="64" spans="1:21" s="36" customFormat="1" x14ac:dyDescent="0.25">
      <c r="A64" s="35"/>
      <c r="D64" s="25"/>
      <c r="E64" s="25"/>
      <c r="G64" s="25"/>
      <c r="I64" s="60"/>
      <c r="J64" s="62"/>
      <c r="K64" s="63"/>
      <c r="O64" s="51"/>
      <c r="P64" s="24"/>
    </row>
    <row r="65" spans="1:17" s="36" customFormat="1" x14ac:dyDescent="0.25">
      <c r="A65" s="35"/>
      <c r="D65" s="25"/>
      <c r="F65" s="25"/>
      <c r="G65" s="25"/>
      <c r="H65" s="25"/>
      <c r="I65" s="25"/>
      <c r="J65" s="62"/>
      <c r="K65" s="63"/>
      <c r="O65" s="51"/>
      <c r="P65" s="24"/>
    </row>
    <row r="66" spans="1:17" s="36" customFormat="1" x14ac:dyDescent="0.25">
      <c r="A66" s="35"/>
      <c r="D66" s="25"/>
      <c r="F66" s="25"/>
      <c r="G66" s="25"/>
      <c r="H66" s="25"/>
      <c r="I66" s="25"/>
      <c r="J66" s="62"/>
      <c r="K66" s="63"/>
      <c r="O66" s="51"/>
      <c r="P66" s="24"/>
    </row>
    <row r="67" spans="1:17" s="36" customFormat="1" x14ac:dyDescent="0.25">
      <c r="A67" s="35"/>
      <c r="D67" s="25"/>
      <c r="F67" s="25"/>
      <c r="G67" s="25"/>
      <c r="H67" s="64"/>
      <c r="I67" s="25"/>
      <c r="J67" s="65"/>
      <c r="L67" s="66"/>
      <c r="M67" s="51"/>
      <c r="N67" s="57"/>
      <c r="O67" s="51"/>
      <c r="P67" s="24"/>
    </row>
    <row r="68" spans="1:17" s="36" customFormat="1" x14ac:dyDescent="0.25">
      <c r="A68" s="35"/>
      <c r="C68" s="24"/>
      <c r="D68" s="25"/>
      <c r="F68" s="25"/>
      <c r="G68" s="25"/>
      <c r="H68" s="26"/>
      <c r="I68" s="25"/>
      <c r="J68" s="65"/>
      <c r="L68" s="66"/>
      <c r="M68" s="51"/>
      <c r="N68" s="57"/>
      <c r="O68" s="51"/>
      <c r="P68" s="24"/>
    </row>
    <row r="69" spans="1:17" s="36" customFormat="1" x14ac:dyDescent="0.25">
      <c r="A69" s="35"/>
      <c r="D69" s="25"/>
      <c r="E69" s="25"/>
      <c r="F69" s="25"/>
      <c r="G69" s="25"/>
      <c r="H69" s="25"/>
      <c r="I69" s="25"/>
      <c r="J69" s="65"/>
      <c r="L69" s="66"/>
      <c r="M69" s="51"/>
      <c r="N69" s="57"/>
      <c r="O69" s="51"/>
      <c r="P69" s="67"/>
    </row>
    <row r="70" spans="1:17" s="36" customFormat="1" x14ac:dyDescent="0.25">
      <c r="C70" s="24"/>
      <c r="D70" s="25"/>
      <c r="E70" s="25"/>
      <c r="F70" s="25"/>
      <c r="G70" s="25"/>
      <c r="H70" s="25"/>
      <c r="I70" s="25"/>
      <c r="L70" s="68"/>
      <c r="M70" s="51"/>
      <c r="N70" s="57"/>
      <c r="O70" s="25"/>
      <c r="P70" s="57"/>
    </row>
    <row r="71" spans="1:17" s="36" customFormat="1" x14ac:dyDescent="0.25">
      <c r="A71" s="35"/>
      <c r="C71" s="24"/>
      <c r="D71" s="51"/>
      <c r="E71" s="51"/>
      <c r="F71" s="51"/>
      <c r="G71" s="51"/>
      <c r="H71" s="51"/>
      <c r="I71" s="51"/>
      <c r="J71" s="69"/>
      <c r="K71" s="51"/>
      <c r="L71" s="68"/>
      <c r="M71" s="51"/>
      <c r="N71" s="57"/>
      <c r="O71" s="25"/>
      <c r="P71" s="70"/>
      <c r="Q71" s="70"/>
    </row>
    <row r="72" spans="1:17" s="36" customFormat="1" x14ac:dyDescent="0.25">
      <c r="A72" s="35"/>
      <c r="C72" s="24"/>
      <c r="D72" s="25"/>
      <c r="E72" s="25"/>
      <c r="F72" s="25"/>
      <c r="G72" s="25"/>
      <c r="H72" s="25"/>
      <c r="I72" s="25"/>
      <c r="J72" s="69"/>
      <c r="L72" s="71"/>
      <c r="M72" s="25"/>
      <c r="N72" s="35"/>
      <c r="O72" s="25"/>
      <c r="P72" s="67"/>
    </row>
    <row r="73" spans="1:17" s="36" customFormat="1" x14ac:dyDescent="0.25">
      <c r="A73" s="35"/>
      <c r="D73" s="35"/>
      <c r="E73" s="51"/>
      <c r="F73" s="51"/>
      <c r="G73" s="51"/>
      <c r="H73" s="51"/>
      <c r="I73" s="25"/>
      <c r="J73" s="69"/>
      <c r="K73" s="51"/>
      <c r="L73" s="51"/>
      <c r="M73" s="25"/>
      <c r="N73" s="35"/>
      <c r="O73" s="25"/>
      <c r="P73" s="67"/>
    </row>
    <row r="74" spans="1:17" s="36" customFormat="1" x14ac:dyDescent="0.25">
      <c r="C74" s="24"/>
      <c r="D74" s="24"/>
      <c r="E74" s="32"/>
      <c r="F74" s="24"/>
      <c r="G74" s="24"/>
      <c r="H74" s="24"/>
      <c r="I74" s="25"/>
      <c r="J74" s="35"/>
      <c r="K74" s="35"/>
      <c r="L74" s="35"/>
      <c r="M74" s="41"/>
      <c r="N74" s="25"/>
      <c r="O74" s="25"/>
      <c r="P74" s="24"/>
    </row>
    <row r="75" spans="1:17" s="36" customFormat="1" x14ac:dyDescent="0.25">
      <c r="C75" s="24"/>
      <c r="D75" s="24"/>
      <c r="E75" s="32"/>
      <c r="F75" s="24"/>
      <c r="G75" s="24"/>
      <c r="H75" s="24"/>
      <c r="I75" s="25"/>
      <c r="J75" s="41"/>
      <c r="K75" s="41"/>
      <c r="L75" s="41"/>
      <c r="M75" s="41"/>
      <c r="N75" s="25"/>
      <c r="O75" s="25"/>
      <c r="P75" s="25"/>
    </row>
    <row r="76" spans="1:17" s="36" customFormat="1" x14ac:dyDescent="0.25">
      <c r="C76" s="24"/>
      <c r="D76" s="24"/>
      <c r="E76" s="32"/>
      <c r="F76" s="24"/>
      <c r="G76" s="24"/>
      <c r="H76" s="24"/>
      <c r="I76" s="25"/>
      <c r="J76" s="25"/>
      <c r="K76" s="570"/>
      <c r="L76" s="570"/>
      <c r="M76" s="570"/>
      <c r="N76" s="25"/>
      <c r="O76" s="25"/>
      <c r="P76" s="25"/>
    </row>
    <row r="77" spans="1:17" s="36" customFormat="1" x14ac:dyDescent="0.25">
      <c r="C77" s="24"/>
      <c r="D77" s="24"/>
      <c r="E77" s="32"/>
      <c r="F77" s="24"/>
      <c r="G77" s="24"/>
      <c r="H77" s="24"/>
      <c r="I77" s="25"/>
      <c r="J77" s="25"/>
      <c r="K77" s="25"/>
      <c r="L77" s="570"/>
      <c r="M77" s="570"/>
      <c r="N77" s="25"/>
      <c r="O77" s="25"/>
      <c r="P77" s="25"/>
    </row>
    <row r="78" spans="1:17" s="36" customFormat="1" x14ac:dyDescent="0.25">
      <c r="C78" s="24"/>
      <c r="D78" s="24"/>
      <c r="E78" s="32"/>
      <c r="F78" s="24"/>
      <c r="G78" s="24"/>
      <c r="H78" s="24"/>
      <c r="I78" s="25"/>
      <c r="J78" s="25"/>
      <c r="K78" s="25"/>
      <c r="L78" s="41"/>
      <c r="M78" s="41"/>
      <c r="N78" s="25"/>
      <c r="O78" s="25"/>
      <c r="P78" s="25"/>
    </row>
    <row r="79" spans="1:17" s="36" customFormat="1" x14ac:dyDescent="0.25">
      <c r="C79" s="24"/>
      <c r="D79" s="24"/>
      <c r="E79" s="32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</row>
    <row r="80" spans="1:17" s="36" customFormat="1" x14ac:dyDescent="0.25">
      <c r="C80" s="24"/>
      <c r="D80" s="51"/>
      <c r="E80" s="51"/>
      <c r="F80" s="51"/>
      <c r="G80" s="51"/>
      <c r="H80" s="51"/>
      <c r="I80" s="25"/>
      <c r="J80" s="25"/>
      <c r="K80" s="25"/>
      <c r="L80" s="25"/>
      <c r="M80" s="25"/>
      <c r="N80" s="25"/>
      <c r="O80" s="25"/>
      <c r="P80" s="25"/>
    </row>
    <row r="81" spans="1:16" s="36" customFormat="1" x14ac:dyDescent="0.25">
      <c r="A81" s="35"/>
      <c r="B81" s="25"/>
      <c r="D81" s="35"/>
      <c r="E81" s="51"/>
      <c r="F81" s="51"/>
      <c r="G81" s="51"/>
      <c r="H81" s="51"/>
      <c r="I81" s="25"/>
      <c r="J81" s="65"/>
      <c r="L81" s="51"/>
      <c r="M81" s="25"/>
      <c r="N81" s="35"/>
      <c r="O81" s="25"/>
      <c r="P81" s="25"/>
    </row>
    <row r="82" spans="1:16" s="36" customFormat="1" x14ac:dyDescent="0.25">
      <c r="A82" s="35"/>
      <c r="B82" s="25"/>
      <c r="D82" s="35"/>
      <c r="E82" s="51"/>
      <c r="F82" s="51"/>
      <c r="G82" s="51"/>
      <c r="H82" s="51"/>
      <c r="I82" s="25"/>
      <c r="J82" s="65"/>
      <c r="L82" s="51"/>
      <c r="M82" s="25"/>
      <c r="N82" s="35"/>
      <c r="O82" s="25"/>
      <c r="P82" s="25"/>
    </row>
    <row r="83" spans="1:16" s="36" customFormat="1" x14ac:dyDescent="0.25">
      <c r="A83" s="35"/>
      <c r="B83" s="25"/>
      <c r="D83" s="35"/>
      <c r="E83" s="51"/>
      <c r="F83" s="51"/>
      <c r="G83" s="51"/>
      <c r="H83" s="51"/>
      <c r="I83" s="25"/>
      <c r="J83" s="65"/>
      <c r="L83" s="51"/>
      <c r="M83" s="25"/>
      <c r="N83" s="35"/>
      <c r="O83" s="25"/>
      <c r="P83" s="25"/>
    </row>
    <row r="84" spans="1:16" s="36" customFormat="1" ht="21" x14ac:dyDescent="0.35">
      <c r="A84" s="72"/>
      <c r="B84" s="73"/>
      <c r="C84" s="74"/>
      <c r="D84" s="72"/>
      <c r="E84" s="75"/>
      <c r="F84" s="75"/>
      <c r="G84" s="75"/>
      <c r="H84" s="75"/>
      <c r="I84" s="73"/>
      <c r="J84" s="75"/>
      <c r="K84" s="76"/>
      <c r="L84" s="77"/>
      <c r="M84" s="76"/>
      <c r="N84" s="72"/>
      <c r="O84" s="25"/>
      <c r="P84" s="25"/>
    </row>
    <row r="85" spans="1:16" s="36" customFormat="1" ht="21" x14ac:dyDescent="0.35">
      <c r="A85" s="72"/>
      <c r="B85" s="73"/>
      <c r="C85" s="74"/>
      <c r="D85" s="72"/>
      <c r="E85" s="75"/>
      <c r="F85" s="75"/>
      <c r="G85" s="75"/>
      <c r="H85" s="75"/>
      <c r="I85" s="73"/>
      <c r="J85" s="75"/>
      <c r="K85" s="76"/>
      <c r="L85" s="77"/>
      <c r="M85" s="76"/>
      <c r="N85" s="72"/>
      <c r="O85" s="25"/>
      <c r="P85" s="25"/>
    </row>
    <row r="86" spans="1:16" s="36" customFormat="1" ht="21" x14ac:dyDescent="0.35">
      <c r="A86" s="72"/>
      <c r="B86" s="73"/>
      <c r="C86" s="74"/>
      <c r="D86" s="73"/>
      <c r="E86" s="75"/>
      <c r="F86" s="75"/>
      <c r="G86" s="75"/>
      <c r="H86" s="75"/>
      <c r="I86" s="73"/>
      <c r="J86" s="75"/>
      <c r="K86" s="76"/>
      <c r="L86" s="77"/>
      <c r="M86" s="76"/>
      <c r="N86" s="72"/>
      <c r="O86" s="25"/>
      <c r="P86" s="25"/>
    </row>
    <row r="87" spans="1:16" s="36" customFormat="1" ht="21" x14ac:dyDescent="0.35">
      <c r="A87" s="72"/>
      <c r="B87" s="73"/>
      <c r="C87" s="74"/>
      <c r="D87" s="73"/>
      <c r="E87" s="75"/>
      <c r="F87" s="75"/>
      <c r="G87" s="75"/>
      <c r="H87" s="75"/>
      <c r="I87" s="73"/>
      <c r="J87" s="75"/>
      <c r="K87" s="76"/>
      <c r="L87" s="77"/>
      <c r="M87" s="76"/>
      <c r="N87" s="72"/>
      <c r="O87" s="25"/>
      <c r="P87" s="25"/>
    </row>
    <row r="88" spans="1:16" s="36" customFormat="1" ht="21" x14ac:dyDescent="0.35">
      <c r="A88" s="72"/>
      <c r="B88" s="73"/>
      <c r="C88" s="74"/>
      <c r="D88" s="73"/>
      <c r="E88" s="75"/>
      <c r="F88" s="75"/>
      <c r="G88" s="75"/>
      <c r="H88" s="75"/>
      <c r="I88" s="73"/>
      <c r="J88" s="75"/>
      <c r="K88" s="76"/>
      <c r="L88" s="77"/>
      <c r="M88" s="76"/>
      <c r="N88" s="72"/>
      <c r="O88" s="25"/>
      <c r="P88" s="25"/>
    </row>
    <row r="89" spans="1:16" s="36" customFormat="1" ht="21" x14ac:dyDescent="0.35">
      <c r="A89" s="72"/>
      <c r="B89" s="73"/>
      <c r="C89" s="74"/>
      <c r="D89" s="73"/>
      <c r="E89" s="75"/>
      <c r="F89" s="75"/>
      <c r="G89" s="75"/>
      <c r="H89" s="75"/>
      <c r="I89" s="73"/>
      <c r="J89" s="75"/>
      <c r="K89" s="76"/>
      <c r="L89" s="77"/>
      <c r="M89" s="76"/>
      <c r="N89" s="72"/>
      <c r="O89" s="25"/>
      <c r="P89" s="25"/>
    </row>
    <row r="90" spans="1:16" s="36" customFormat="1" ht="21" x14ac:dyDescent="0.35">
      <c r="A90" s="72"/>
      <c r="B90" s="73"/>
      <c r="C90" s="74"/>
      <c r="D90" s="73"/>
      <c r="E90" s="73"/>
      <c r="F90" s="73"/>
      <c r="G90" s="73"/>
      <c r="H90" s="73"/>
      <c r="I90" s="73"/>
      <c r="J90" s="75"/>
      <c r="K90" s="76"/>
      <c r="L90" s="76"/>
      <c r="M90" s="76"/>
      <c r="N90" s="78"/>
      <c r="O90" s="25"/>
      <c r="P90" s="25"/>
    </row>
    <row r="91" spans="1:16" s="36" customFormat="1" ht="21" x14ac:dyDescent="0.35">
      <c r="A91" s="72"/>
      <c r="B91" s="73"/>
      <c r="C91" s="74"/>
      <c r="D91" s="73"/>
      <c r="E91" s="73"/>
      <c r="F91" s="73"/>
      <c r="G91" s="73"/>
      <c r="H91" s="73"/>
      <c r="I91" s="73"/>
      <c r="J91" s="75"/>
      <c r="K91" s="76"/>
      <c r="L91" s="76"/>
      <c r="M91" s="76"/>
      <c r="N91" s="78"/>
      <c r="O91" s="25"/>
      <c r="P91" s="25"/>
    </row>
    <row r="92" spans="1:16" s="36" customFormat="1" ht="21" x14ac:dyDescent="0.3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6"/>
      <c r="L92" s="76"/>
      <c r="M92" s="76"/>
      <c r="N92" s="72"/>
      <c r="O92" s="25"/>
      <c r="P92" s="25"/>
    </row>
    <row r="93" spans="1:16" s="36" customFormat="1" ht="21" x14ac:dyDescent="0.3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6"/>
      <c r="L93" s="76"/>
      <c r="M93" s="76"/>
      <c r="N93" s="72"/>
      <c r="O93" s="25"/>
      <c r="P93" s="25"/>
    </row>
    <row r="94" spans="1:16" s="36" customFormat="1" ht="21" x14ac:dyDescent="0.3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6"/>
      <c r="L94" s="76"/>
      <c r="M94" s="76"/>
      <c r="N94" s="72"/>
      <c r="O94" s="25"/>
      <c r="P94" s="25"/>
    </row>
    <row r="95" spans="1:16" s="36" customFormat="1" ht="21" x14ac:dyDescent="0.3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6"/>
      <c r="L95" s="76"/>
      <c r="M95" s="76"/>
      <c r="N95" s="72"/>
      <c r="O95" s="25"/>
      <c r="P95" s="25"/>
    </row>
    <row r="96" spans="1:16" s="36" customFormat="1" ht="21" x14ac:dyDescent="0.3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6"/>
      <c r="L96" s="76"/>
      <c r="M96" s="76"/>
      <c r="N96" s="72"/>
      <c r="O96" s="25"/>
      <c r="P96" s="25"/>
    </row>
    <row r="97" spans="1:17" s="36" customFormat="1" ht="21" x14ac:dyDescent="0.3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6"/>
      <c r="L97" s="76"/>
      <c r="M97" s="76"/>
      <c r="N97" s="72"/>
      <c r="O97" s="25"/>
      <c r="P97" s="25"/>
    </row>
    <row r="98" spans="1:17" s="36" customFormat="1" ht="21" x14ac:dyDescent="0.3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6"/>
      <c r="L98" s="76"/>
      <c r="M98" s="76"/>
      <c r="N98" s="72"/>
      <c r="O98" s="25"/>
      <c r="P98" s="25"/>
    </row>
    <row r="99" spans="1:17" s="36" customFormat="1" ht="21" x14ac:dyDescent="0.3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6"/>
      <c r="L99" s="76"/>
      <c r="M99" s="76"/>
      <c r="N99" s="72"/>
      <c r="O99" s="25"/>
      <c r="P99" s="25"/>
    </row>
    <row r="100" spans="1:17" s="36" customFormat="1" ht="21" x14ac:dyDescent="0.35">
      <c r="A100" s="72"/>
      <c r="B100" s="73"/>
      <c r="C100" s="79"/>
      <c r="D100" s="73"/>
      <c r="E100" s="73"/>
      <c r="F100" s="73"/>
      <c r="G100" s="73"/>
      <c r="H100" s="73"/>
      <c r="I100" s="73"/>
      <c r="J100" s="73"/>
      <c r="K100" s="76"/>
      <c r="L100" s="76"/>
      <c r="M100" s="76"/>
      <c r="N100" s="72"/>
      <c r="P100" s="25"/>
    </row>
    <row r="101" spans="1:17" s="36" customFormat="1" ht="21" x14ac:dyDescent="0.3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6"/>
      <c r="L101" s="76"/>
      <c r="M101" s="76"/>
      <c r="N101" s="72"/>
      <c r="O101" s="25"/>
      <c r="P101" s="80"/>
      <c r="Q101" s="80"/>
    </row>
    <row r="102" spans="1:17" s="36" customFormat="1" ht="21" x14ac:dyDescent="0.3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6"/>
      <c r="L102" s="76"/>
      <c r="M102" s="76"/>
      <c r="N102" s="72"/>
      <c r="O102" s="25"/>
      <c r="P102" s="25"/>
    </row>
    <row r="103" spans="1:17" s="36" customFormat="1" ht="21" x14ac:dyDescent="0.3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6"/>
      <c r="L103" s="76"/>
      <c r="M103" s="76"/>
      <c r="N103" s="72"/>
      <c r="O103" s="25"/>
      <c r="P103" s="25"/>
    </row>
    <row r="104" spans="1:17" s="36" customFormat="1" ht="21" x14ac:dyDescent="0.3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6"/>
      <c r="L104" s="76"/>
      <c r="M104" s="76"/>
      <c r="N104" s="72"/>
      <c r="O104" s="25"/>
      <c r="P104" s="25"/>
    </row>
    <row r="105" spans="1:17" s="36" customFormat="1" ht="21" x14ac:dyDescent="0.3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6"/>
      <c r="L105" s="76"/>
      <c r="M105" s="76"/>
      <c r="N105" s="72"/>
      <c r="O105" s="25"/>
      <c r="P105" s="25"/>
    </row>
    <row r="106" spans="1:17" s="36" customFormat="1" ht="21" x14ac:dyDescent="0.3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6"/>
      <c r="L106" s="76"/>
      <c r="M106" s="76"/>
      <c r="N106" s="72"/>
      <c r="O106" s="25"/>
      <c r="P106" s="25"/>
    </row>
    <row r="107" spans="1:17" s="36" customFormat="1" ht="21" x14ac:dyDescent="0.3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6"/>
      <c r="L107" s="76"/>
      <c r="M107" s="76"/>
      <c r="N107" s="72"/>
      <c r="O107" s="25"/>
      <c r="P107" s="25"/>
    </row>
    <row r="108" spans="1:17" s="36" customFormat="1" ht="21" x14ac:dyDescent="0.3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6"/>
      <c r="L108" s="76"/>
      <c r="M108" s="76"/>
      <c r="N108" s="72"/>
      <c r="O108" s="25"/>
      <c r="P108" s="25"/>
    </row>
    <row r="109" spans="1:17" s="36" customFormat="1" ht="2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6"/>
      <c r="L109" s="76"/>
      <c r="M109" s="76"/>
      <c r="N109" s="72"/>
      <c r="O109" s="25"/>
      <c r="P109" s="25"/>
    </row>
    <row r="110" spans="1:17" s="36" customFormat="1" ht="21" x14ac:dyDescent="0.3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6"/>
      <c r="L110" s="76"/>
      <c r="M110" s="76"/>
      <c r="N110" s="72"/>
      <c r="O110" s="25"/>
      <c r="P110" s="25"/>
    </row>
    <row r="111" spans="1:17" s="36" customFormat="1" ht="21" x14ac:dyDescent="0.35">
      <c r="A111" s="72"/>
      <c r="B111" s="73"/>
      <c r="C111" s="73"/>
      <c r="D111" s="73"/>
      <c r="E111" s="81"/>
      <c r="F111" s="73"/>
      <c r="G111" s="73"/>
      <c r="H111" s="73"/>
      <c r="I111" s="73"/>
      <c r="J111" s="73"/>
      <c r="K111" s="76"/>
      <c r="L111" s="76"/>
      <c r="M111" s="76"/>
      <c r="N111" s="72"/>
      <c r="O111" s="25"/>
      <c r="P111" s="25"/>
    </row>
    <row r="112" spans="1:17" s="36" customFormat="1" ht="21" x14ac:dyDescent="0.35">
      <c r="A112" s="72"/>
      <c r="B112" s="73"/>
      <c r="C112" s="73"/>
      <c r="D112" s="73"/>
      <c r="E112" s="81"/>
      <c r="F112" s="73"/>
      <c r="G112" s="73"/>
      <c r="H112" s="73"/>
      <c r="I112" s="73"/>
      <c r="J112" s="73"/>
      <c r="K112" s="76"/>
      <c r="L112" s="76"/>
      <c r="M112" s="76"/>
      <c r="N112" s="72"/>
      <c r="O112" s="25"/>
      <c r="P112" s="25"/>
    </row>
    <row r="113" spans="1:16" s="36" customFormat="1" ht="21" x14ac:dyDescent="0.35">
      <c r="A113" s="72"/>
      <c r="B113" s="73"/>
      <c r="C113" s="73"/>
      <c r="D113" s="73"/>
      <c r="E113" s="81"/>
      <c r="F113" s="73"/>
      <c r="G113" s="73"/>
      <c r="H113" s="73"/>
      <c r="I113" s="73"/>
      <c r="J113" s="73"/>
      <c r="K113" s="76"/>
      <c r="L113" s="76"/>
      <c r="M113" s="76"/>
      <c r="N113" s="72"/>
      <c r="O113" s="25"/>
      <c r="P113" s="82"/>
    </row>
    <row r="114" spans="1:16" s="36" customFormat="1" ht="21" x14ac:dyDescent="0.3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6"/>
      <c r="L114" s="76"/>
      <c r="M114" s="76"/>
      <c r="N114" s="72"/>
      <c r="O114" s="25"/>
      <c r="P114" s="25"/>
    </row>
    <row r="115" spans="1:16" s="36" customFormat="1" ht="21" x14ac:dyDescent="0.3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6"/>
      <c r="L115" s="76"/>
      <c r="M115" s="76"/>
      <c r="N115" s="72"/>
      <c r="O115" s="25"/>
      <c r="P115" s="25"/>
    </row>
    <row r="116" spans="1:16" s="36" customFormat="1" ht="21" x14ac:dyDescent="0.3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6"/>
      <c r="L116" s="76"/>
      <c r="M116" s="76"/>
      <c r="N116" s="72"/>
      <c r="O116" s="25"/>
      <c r="P116" s="25"/>
    </row>
    <row r="117" spans="1:16" s="36" customFormat="1" ht="21" x14ac:dyDescent="0.3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6"/>
      <c r="L117" s="76"/>
      <c r="M117" s="76"/>
      <c r="N117" s="72"/>
      <c r="O117" s="25"/>
      <c r="P117" s="25"/>
    </row>
    <row r="118" spans="1:16" s="36" customFormat="1" ht="21" x14ac:dyDescent="0.3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6"/>
      <c r="L118" s="76"/>
      <c r="M118" s="76"/>
      <c r="N118" s="72"/>
      <c r="O118" s="25"/>
      <c r="P118" s="25"/>
    </row>
    <row r="119" spans="1:16" s="36" customFormat="1" ht="21" x14ac:dyDescent="0.3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6"/>
      <c r="L119" s="76"/>
      <c r="M119" s="76"/>
      <c r="N119" s="72"/>
      <c r="O119" s="25"/>
      <c r="P119" s="25"/>
    </row>
    <row r="120" spans="1:16" s="36" customFormat="1" ht="21" x14ac:dyDescent="0.3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6"/>
      <c r="L120" s="76"/>
      <c r="M120" s="76"/>
      <c r="N120" s="72"/>
      <c r="O120" s="25"/>
      <c r="P120" s="25"/>
    </row>
    <row r="121" spans="1:16" s="36" customFormat="1" ht="21" x14ac:dyDescent="0.3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6"/>
      <c r="L121" s="76"/>
      <c r="M121" s="76"/>
      <c r="N121" s="72"/>
      <c r="O121" s="25"/>
      <c r="P121" s="25"/>
    </row>
    <row r="122" spans="1:16" s="36" customFormat="1" ht="21" x14ac:dyDescent="0.3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6"/>
      <c r="L122" s="76"/>
      <c r="M122" s="76"/>
      <c r="N122" s="72"/>
      <c r="O122" s="25"/>
      <c r="P122" s="25"/>
    </row>
    <row r="123" spans="1:16" s="36" customFormat="1" ht="21" x14ac:dyDescent="0.3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6"/>
      <c r="L123" s="76"/>
      <c r="M123" s="76"/>
      <c r="N123" s="72"/>
      <c r="O123" s="25"/>
      <c r="P123" s="25"/>
    </row>
    <row r="124" spans="1:16" s="36" customFormat="1" ht="21" x14ac:dyDescent="0.3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6"/>
      <c r="L124" s="76"/>
      <c r="M124" s="76"/>
      <c r="N124" s="72"/>
      <c r="O124" s="25"/>
      <c r="P124" s="25"/>
    </row>
    <row r="125" spans="1:16" s="36" customFormat="1" ht="21" x14ac:dyDescent="0.3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6"/>
      <c r="L125" s="76"/>
      <c r="M125" s="76"/>
      <c r="N125" s="72"/>
      <c r="O125" s="25"/>
      <c r="P125" s="25"/>
    </row>
    <row r="126" spans="1:16" s="36" customFormat="1" ht="21" x14ac:dyDescent="0.3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6"/>
      <c r="L126" s="76"/>
      <c r="M126" s="76"/>
      <c r="N126" s="72"/>
      <c r="O126" s="25"/>
      <c r="P126" s="25"/>
    </row>
    <row r="127" spans="1:16" s="36" customFormat="1" ht="18.75" x14ac:dyDescent="0.3">
      <c r="A127" s="72"/>
      <c r="B127" s="25"/>
      <c r="C127" s="7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35"/>
      <c r="O127" s="25"/>
      <c r="P127" s="25"/>
    </row>
    <row r="128" spans="1:16" s="36" customFormat="1" ht="18.75" x14ac:dyDescent="0.3">
      <c r="B128" s="25"/>
      <c r="C128" s="7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35"/>
      <c r="O128" s="25"/>
      <c r="P128" s="25"/>
    </row>
    <row r="129" spans="1:19" s="36" customFormat="1" ht="18.75" x14ac:dyDescent="0.3">
      <c r="C129" s="7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9" s="36" customFormat="1" ht="18.75" x14ac:dyDescent="0.3">
      <c r="A130" s="83"/>
      <c r="B130" s="79"/>
      <c r="C130" s="7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9" s="36" customFormat="1" ht="18.75" x14ac:dyDescent="0.3">
      <c r="A131" s="79"/>
      <c r="B131" s="79"/>
      <c r="C131" s="73"/>
      <c r="D131" s="4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9" s="36" customFormat="1" ht="18.75" x14ac:dyDescent="0.3">
      <c r="A132" s="79"/>
      <c r="B132" s="79"/>
      <c r="C132" s="7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25"/>
    </row>
    <row r="133" spans="1:19" s="36" customFormat="1" ht="18.75" x14ac:dyDescent="0.3">
      <c r="A133" s="79"/>
      <c r="B133" s="79"/>
      <c r="C133" s="73"/>
      <c r="D133" s="84"/>
      <c r="E133" s="85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6"/>
      <c r="R133" s="86"/>
      <c r="S133" s="86"/>
    </row>
    <row r="134" spans="1:19" s="36" customFormat="1" ht="18.75" x14ac:dyDescent="0.3">
      <c r="A134" s="83"/>
      <c r="B134" s="79"/>
      <c r="C134" s="7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P134" s="84"/>
      <c r="Q134" s="86"/>
      <c r="R134" s="86"/>
      <c r="S134" s="86"/>
    </row>
    <row r="135" spans="1:19" s="36" customFormat="1" ht="18.75" x14ac:dyDescent="0.3">
      <c r="A135" s="83"/>
      <c r="B135" s="79"/>
      <c r="C135" s="7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9" s="36" customFormat="1" ht="18.75" x14ac:dyDescent="0.3">
      <c r="A136" s="79"/>
      <c r="B136" s="79"/>
      <c r="C136" s="7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6"/>
      <c r="R136" s="86"/>
      <c r="S136" s="86"/>
    </row>
    <row r="137" spans="1:19" s="36" customFormat="1" ht="18.75" x14ac:dyDescent="0.3">
      <c r="A137" s="79"/>
      <c r="B137" s="79"/>
      <c r="C137" s="7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6"/>
      <c r="R137" s="86"/>
      <c r="S137" s="86"/>
    </row>
    <row r="138" spans="1:19" s="36" customFormat="1" ht="18.75" x14ac:dyDescent="0.3">
      <c r="A138" s="79"/>
      <c r="B138" s="79"/>
      <c r="C138" s="7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6"/>
      <c r="R138" s="86"/>
      <c r="S138" s="86"/>
    </row>
    <row r="139" spans="1:19" s="36" customFormat="1" ht="18.75" x14ac:dyDescent="0.3">
      <c r="A139" s="79"/>
      <c r="B139" s="79"/>
      <c r="C139" s="79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4"/>
      <c r="Q139" s="86"/>
      <c r="R139" s="86"/>
      <c r="S139" s="86"/>
    </row>
    <row r="140" spans="1:19" s="36" customFormat="1" ht="18.75" x14ac:dyDescent="0.3">
      <c r="A140" s="79"/>
      <c r="B140" s="79"/>
      <c r="C140" s="79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</row>
    <row r="141" spans="1:19" s="36" customFormat="1" ht="18.75" x14ac:dyDescent="0.3">
      <c r="A141" s="79"/>
      <c r="B141" s="79"/>
      <c r="C141" s="79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s="36" customFormat="1" ht="18.75" x14ac:dyDescent="0.3">
      <c r="A142" s="79"/>
      <c r="B142" s="79"/>
      <c r="C142" s="79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</row>
    <row r="143" spans="1:19" s="36" customFormat="1" ht="18.75" x14ac:dyDescent="0.3">
      <c r="A143" s="79"/>
      <c r="B143" s="79"/>
      <c r="C143" s="79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</row>
    <row r="144" spans="1:19" s="36" customFormat="1" ht="18.75" x14ac:dyDescent="0.3">
      <c r="A144" s="79"/>
      <c r="B144" s="79"/>
      <c r="C144" s="79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spans="1:19" s="36" customFormat="1" ht="18.75" x14ac:dyDescent="0.3">
      <c r="A145" s="79"/>
      <c r="B145" s="79"/>
      <c r="P145" s="86"/>
      <c r="Q145" s="86"/>
      <c r="R145" s="86"/>
      <c r="S145" s="86"/>
    </row>
    <row r="146" spans="1:19" s="36" customFormat="1" x14ac:dyDescent="0.25">
      <c r="Q146" s="86"/>
      <c r="R146" s="86"/>
      <c r="S146" s="86"/>
    </row>
    <row r="147" spans="1:19" s="36" customFormat="1" ht="149.25" customHeight="1" x14ac:dyDescent="0.25">
      <c r="Q147" s="86"/>
      <c r="R147" s="86"/>
      <c r="S147" s="86"/>
    </row>
    <row r="148" spans="1:19" s="36" customFormat="1" x14ac:dyDescent="0.25">
      <c r="Q148" s="86"/>
      <c r="R148" s="86"/>
      <c r="S148" s="86"/>
    </row>
    <row r="149" spans="1:19" s="36" customFormat="1" x14ac:dyDescent="0.25">
      <c r="Q149" s="86"/>
      <c r="R149" s="86"/>
      <c r="S149" s="86"/>
    </row>
    <row r="150" spans="1:19" s="36" customFormat="1" x14ac:dyDescent="0.25">
      <c r="Q150" s="86"/>
      <c r="R150" s="86"/>
      <c r="S150" s="86"/>
    </row>
    <row r="151" spans="1:19" s="36" customFormat="1" x14ac:dyDescent="0.25">
      <c r="Q151" s="86"/>
      <c r="R151" s="86"/>
      <c r="S151" s="86"/>
    </row>
    <row r="152" spans="1:19" s="36" customFormat="1" x14ac:dyDescent="0.25">
      <c r="Q152" s="86"/>
      <c r="R152" s="86"/>
      <c r="S152" s="86"/>
    </row>
    <row r="153" spans="1:19" s="36" customFormat="1" x14ac:dyDescent="0.25">
      <c r="Q153" s="86"/>
      <c r="R153" s="86"/>
      <c r="S153" s="86"/>
    </row>
    <row r="154" spans="1:19" s="36" customFormat="1" x14ac:dyDescent="0.25">
      <c r="Q154" s="86"/>
      <c r="R154" s="86"/>
      <c r="S154" s="86"/>
    </row>
    <row r="155" spans="1:19" s="36" customFormat="1" x14ac:dyDescent="0.25">
      <c r="Q155" s="86"/>
      <c r="R155" s="86"/>
      <c r="S155" s="86"/>
    </row>
    <row r="156" spans="1:19" s="36" customFormat="1" x14ac:dyDescent="0.25">
      <c r="Q156" s="86"/>
      <c r="R156" s="86"/>
      <c r="S156" s="86"/>
    </row>
    <row r="157" spans="1:19" s="36" customFormat="1" x14ac:dyDescent="0.25">
      <c r="Q157" s="86"/>
      <c r="R157" s="86"/>
      <c r="S157" s="86"/>
    </row>
    <row r="158" spans="1:19" s="36" customFormat="1" x14ac:dyDescent="0.25">
      <c r="Q158" s="86"/>
      <c r="R158" s="86"/>
      <c r="S158" s="86"/>
    </row>
    <row r="159" spans="1:19" s="36" customFormat="1" x14ac:dyDescent="0.25">
      <c r="Q159" s="86"/>
      <c r="R159" s="86"/>
      <c r="S159" s="86"/>
    </row>
    <row r="160" spans="1:19" s="36" customFormat="1" x14ac:dyDescent="0.25">
      <c r="Q160" s="86"/>
      <c r="R160" s="86"/>
      <c r="S160" s="86"/>
    </row>
    <row r="161" spans="17:19" s="36" customFormat="1" x14ac:dyDescent="0.25">
      <c r="Q161" s="86"/>
      <c r="R161" s="86"/>
      <c r="S161" s="86"/>
    </row>
    <row r="162" spans="17:19" s="36" customFormat="1" x14ac:dyDescent="0.25">
      <c r="Q162" s="86"/>
      <c r="R162" s="86"/>
      <c r="S162" s="86"/>
    </row>
    <row r="163" spans="17:19" s="36" customFormat="1" x14ac:dyDescent="0.25">
      <c r="Q163" s="86"/>
      <c r="R163" s="86"/>
      <c r="S163" s="86"/>
    </row>
    <row r="164" spans="17:19" s="36" customFormat="1" x14ac:dyDescent="0.25">
      <c r="Q164" s="86"/>
      <c r="R164" s="86"/>
      <c r="S164" s="86"/>
    </row>
    <row r="165" spans="17:19" x14ac:dyDescent="0.25">
      <c r="Q165" s="87"/>
      <c r="R165" s="87"/>
      <c r="S165" s="87"/>
    </row>
    <row r="166" spans="17:19" x14ac:dyDescent="0.25">
      <c r="Q166" s="87"/>
      <c r="R166" s="87"/>
      <c r="S166" s="87"/>
    </row>
    <row r="167" spans="17:19" x14ac:dyDescent="0.25">
      <c r="Q167" s="87"/>
      <c r="R167" s="87"/>
      <c r="S167" s="87"/>
    </row>
    <row r="168" spans="17:19" x14ac:dyDescent="0.25">
      <c r="Q168" s="87"/>
      <c r="R168" s="87"/>
      <c r="S168" s="87"/>
    </row>
    <row r="169" spans="17:19" x14ac:dyDescent="0.25">
      <c r="Q169" s="87"/>
      <c r="R169" s="87"/>
      <c r="S169" s="87"/>
    </row>
    <row r="170" spans="17:19" x14ac:dyDescent="0.25">
      <c r="Q170" s="87"/>
      <c r="R170" s="87"/>
      <c r="S170" s="87"/>
    </row>
    <row r="171" spans="17:19" x14ac:dyDescent="0.25">
      <c r="Q171" s="87"/>
      <c r="R171" s="87"/>
      <c r="S171" s="87"/>
    </row>
    <row r="172" spans="17:19" x14ac:dyDescent="0.25">
      <c r="Q172" s="87"/>
      <c r="R172" s="87"/>
      <c r="S172" s="87"/>
    </row>
    <row r="173" spans="17:19" x14ac:dyDescent="0.25">
      <c r="Q173" s="87"/>
      <c r="R173" s="87"/>
      <c r="S173" s="87"/>
    </row>
    <row r="174" spans="17:19" x14ac:dyDescent="0.25">
      <c r="Q174" s="87"/>
      <c r="R174" s="87"/>
      <c r="S174" s="87"/>
    </row>
    <row r="175" spans="17:19" x14ac:dyDescent="0.25">
      <c r="Q175" s="87"/>
      <c r="R175" s="87"/>
      <c r="S175" s="87"/>
    </row>
    <row r="176" spans="17:19" x14ac:dyDescent="0.25">
      <c r="Q176" s="87"/>
      <c r="R176" s="87"/>
      <c r="S176" s="87"/>
    </row>
    <row r="177" spans="17:19" x14ac:dyDescent="0.25">
      <c r="Q177" s="87"/>
      <c r="R177" s="87"/>
      <c r="S177" s="87"/>
    </row>
    <row r="178" spans="17:19" x14ac:dyDescent="0.25">
      <c r="Q178" s="87"/>
      <c r="R178" s="87"/>
      <c r="S178" s="87"/>
    </row>
    <row r="179" spans="17:19" x14ac:dyDescent="0.25">
      <c r="Q179" s="87"/>
      <c r="R179" s="87"/>
      <c r="S179" s="87"/>
    </row>
    <row r="180" spans="17:19" x14ac:dyDescent="0.25">
      <c r="Q180" s="87"/>
      <c r="R180" s="87"/>
      <c r="S180" s="87"/>
    </row>
    <row r="181" spans="17:19" x14ac:dyDescent="0.25">
      <c r="Q181" s="87"/>
      <c r="R181" s="87"/>
      <c r="S181" s="87"/>
    </row>
    <row r="182" spans="17:19" x14ac:dyDescent="0.25">
      <c r="Q182" s="87"/>
      <c r="R182" s="87"/>
      <c r="S182" s="87"/>
    </row>
    <row r="183" spans="17:19" x14ac:dyDescent="0.25">
      <c r="Q183" s="87"/>
      <c r="R183" s="87"/>
      <c r="S183" s="87"/>
    </row>
    <row r="184" spans="17:19" x14ac:dyDescent="0.25">
      <c r="Q184" s="87"/>
      <c r="R184" s="87"/>
      <c r="S184" s="87"/>
    </row>
    <row r="185" spans="17:19" x14ac:dyDescent="0.25">
      <c r="Q185" s="87"/>
      <c r="R185" s="87"/>
      <c r="S185" s="87"/>
    </row>
    <row r="186" spans="17:19" x14ac:dyDescent="0.25">
      <c r="Q186" s="87"/>
      <c r="R186" s="87"/>
      <c r="S186" s="87"/>
    </row>
    <row r="187" spans="17:19" x14ac:dyDescent="0.25">
      <c r="Q187" s="87"/>
      <c r="R187" s="87"/>
      <c r="S187" s="87"/>
    </row>
    <row r="188" spans="17:19" x14ac:dyDescent="0.25">
      <c r="Q188" s="87"/>
      <c r="R188" s="87"/>
      <c r="S188" s="87"/>
    </row>
    <row r="189" spans="17:19" x14ac:dyDescent="0.25">
      <c r="Q189" s="87"/>
      <c r="R189" s="87"/>
      <c r="S189" s="87"/>
    </row>
    <row r="190" spans="17:19" x14ac:dyDescent="0.25">
      <c r="Q190" s="87"/>
      <c r="R190" s="87"/>
      <c r="S190" s="87"/>
    </row>
    <row r="191" spans="17:19" x14ac:dyDescent="0.25">
      <c r="Q191" s="87"/>
      <c r="R191" s="87"/>
      <c r="S191" s="87"/>
    </row>
    <row r="192" spans="17:19" x14ac:dyDescent="0.25">
      <c r="Q192" s="87"/>
      <c r="R192" s="87"/>
      <c r="S192" s="87"/>
    </row>
    <row r="193" spans="17:19" x14ac:dyDescent="0.25">
      <c r="Q193" s="87"/>
      <c r="R193" s="87"/>
      <c r="S193" s="87"/>
    </row>
    <row r="194" spans="17:19" x14ac:dyDescent="0.25">
      <c r="Q194" s="87"/>
      <c r="R194" s="87"/>
      <c r="S194" s="87"/>
    </row>
    <row r="195" spans="17:19" x14ac:dyDescent="0.25">
      <c r="Q195" s="87"/>
      <c r="R195" s="87"/>
      <c r="S195" s="87"/>
    </row>
    <row r="196" spans="17:19" x14ac:dyDescent="0.25">
      <c r="Q196" s="87"/>
      <c r="R196" s="87"/>
      <c r="S196" s="87"/>
    </row>
    <row r="197" spans="17:19" x14ac:dyDescent="0.25">
      <c r="Q197" s="87"/>
      <c r="R197" s="87"/>
      <c r="S197" s="87"/>
    </row>
    <row r="198" spans="17:19" x14ac:dyDescent="0.25">
      <c r="Q198" s="87"/>
      <c r="R198" s="87"/>
      <c r="S198" s="87"/>
    </row>
    <row r="199" spans="17:19" x14ac:dyDescent="0.25">
      <c r="Q199" s="87"/>
      <c r="R199" s="87"/>
      <c r="S199" s="87"/>
    </row>
    <row r="200" spans="17:19" x14ac:dyDescent="0.25">
      <c r="Q200" s="87"/>
      <c r="R200" s="87"/>
      <c r="S200" s="87"/>
    </row>
    <row r="201" spans="17:19" x14ac:dyDescent="0.25">
      <c r="Q201" s="87"/>
      <c r="R201" s="87"/>
      <c r="S201" s="87"/>
    </row>
    <row r="202" spans="17:19" x14ac:dyDescent="0.25">
      <c r="Q202" s="87"/>
      <c r="R202" s="87"/>
      <c r="S202" s="87"/>
    </row>
    <row r="203" spans="17:19" x14ac:dyDescent="0.25">
      <c r="Q203" s="87"/>
      <c r="R203" s="87"/>
      <c r="S203" s="87"/>
    </row>
    <row r="204" spans="17:19" x14ac:dyDescent="0.25">
      <c r="Q204" s="87"/>
      <c r="R204" s="87"/>
      <c r="S204" s="87"/>
    </row>
    <row r="205" spans="17:19" x14ac:dyDescent="0.25">
      <c r="Q205" s="87"/>
      <c r="R205" s="87"/>
      <c r="S205" s="87"/>
    </row>
    <row r="206" spans="17:19" x14ac:dyDescent="0.25">
      <c r="Q206" s="87"/>
      <c r="R206" s="87"/>
      <c r="S206" s="87"/>
    </row>
    <row r="207" spans="17:19" x14ac:dyDescent="0.25">
      <c r="Q207" s="87"/>
      <c r="R207" s="87"/>
      <c r="S207" s="87"/>
    </row>
    <row r="208" spans="17:19" x14ac:dyDescent="0.25">
      <c r="Q208" s="87"/>
      <c r="R208" s="87"/>
      <c r="S208" s="87"/>
    </row>
    <row r="209" spans="17:19" x14ac:dyDescent="0.25">
      <c r="Q209" s="87"/>
      <c r="R209" s="87"/>
      <c r="S209" s="87"/>
    </row>
    <row r="210" spans="17:19" x14ac:dyDescent="0.25">
      <c r="Q210" s="87"/>
      <c r="R210" s="87"/>
      <c r="S210" s="87"/>
    </row>
    <row r="211" spans="17:19" x14ac:dyDescent="0.25">
      <c r="Q211" s="87"/>
      <c r="R211" s="87"/>
      <c r="S211" s="87"/>
    </row>
    <row r="212" spans="17:19" x14ac:dyDescent="0.25">
      <c r="Q212" s="87"/>
      <c r="R212" s="87"/>
      <c r="S212" s="87"/>
    </row>
    <row r="213" spans="17:19" x14ac:dyDescent="0.25">
      <c r="Q213" s="87"/>
      <c r="R213" s="87"/>
      <c r="S213" s="87"/>
    </row>
    <row r="214" spans="17:19" x14ac:dyDescent="0.25">
      <c r="Q214" s="87"/>
      <c r="R214" s="87"/>
      <c r="S214" s="87"/>
    </row>
    <row r="215" spans="17:19" x14ac:dyDescent="0.25">
      <c r="Q215" s="87"/>
      <c r="R215" s="87"/>
      <c r="S215" s="87"/>
    </row>
    <row r="216" spans="17:19" x14ac:dyDescent="0.25">
      <c r="Q216" s="87"/>
      <c r="R216" s="87"/>
      <c r="S216" s="87"/>
    </row>
    <row r="217" spans="17:19" x14ac:dyDescent="0.25">
      <c r="Q217" s="87"/>
      <c r="R217" s="87"/>
      <c r="S217" s="87"/>
    </row>
    <row r="218" spans="17:19" x14ac:dyDescent="0.25">
      <c r="Q218" s="87"/>
      <c r="R218" s="87"/>
      <c r="S218" s="87"/>
    </row>
    <row r="219" spans="17:19" x14ac:dyDescent="0.25">
      <c r="Q219" s="87"/>
      <c r="R219" s="87"/>
      <c r="S219" s="87"/>
    </row>
    <row r="220" spans="17:19" x14ac:dyDescent="0.25">
      <c r="Q220" s="87"/>
      <c r="R220" s="87"/>
      <c r="S220" s="87"/>
    </row>
    <row r="221" spans="17:19" x14ac:dyDescent="0.25">
      <c r="Q221" s="87"/>
      <c r="R221" s="87"/>
      <c r="S221" s="87"/>
    </row>
    <row r="222" spans="17:19" x14ac:dyDescent="0.25">
      <c r="Q222" s="87"/>
      <c r="R222" s="87"/>
      <c r="S222" s="87"/>
    </row>
    <row r="223" spans="17:19" x14ac:dyDescent="0.25">
      <c r="Q223" s="87"/>
      <c r="R223" s="87"/>
      <c r="S223" s="87"/>
    </row>
    <row r="224" spans="17:19" x14ac:dyDescent="0.25">
      <c r="Q224" s="87"/>
      <c r="R224" s="87"/>
      <c r="S224" s="87"/>
    </row>
    <row r="225" spans="17:19" x14ac:dyDescent="0.25">
      <c r="Q225" s="87"/>
      <c r="R225" s="87"/>
      <c r="S225" s="87"/>
    </row>
    <row r="226" spans="17:19" x14ac:dyDescent="0.25">
      <c r="Q226" s="87"/>
      <c r="R226" s="87"/>
      <c r="S226" s="87"/>
    </row>
    <row r="227" spans="17:19" x14ac:dyDescent="0.25">
      <c r="Q227" s="87"/>
      <c r="R227" s="87"/>
      <c r="S227" s="87"/>
    </row>
    <row r="228" spans="17:19" x14ac:dyDescent="0.25">
      <c r="Q228" s="87"/>
      <c r="R228" s="87"/>
      <c r="S228" s="87"/>
    </row>
    <row r="229" spans="17:19" x14ac:dyDescent="0.25">
      <c r="Q229" s="87"/>
      <c r="R229" s="87"/>
      <c r="S229" s="87"/>
    </row>
    <row r="230" spans="17:19" x14ac:dyDescent="0.25">
      <c r="Q230" s="87"/>
      <c r="R230" s="87"/>
      <c r="S230" s="87"/>
    </row>
    <row r="231" spans="17:19" x14ac:dyDescent="0.25">
      <c r="Q231" s="87"/>
      <c r="R231" s="87"/>
      <c r="S231" s="87"/>
    </row>
    <row r="232" spans="17:19" x14ac:dyDescent="0.25">
      <c r="Q232" s="87"/>
      <c r="R232" s="87"/>
      <c r="S232" s="87"/>
    </row>
    <row r="233" spans="17:19" x14ac:dyDescent="0.25">
      <c r="Q233" s="87"/>
      <c r="R233" s="87"/>
      <c r="S233" s="87"/>
    </row>
    <row r="234" spans="17:19" x14ac:dyDescent="0.25">
      <c r="Q234" s="87"/>
      <c r="R234" s="87"/>
      <c r="S234" s="87"/>
    </row>
    <row r="235" spans="17:19" x14ac:dyDescent="0.25">
      <c r="Q235" s="87"/>
      <c r="R235" s="87"/>
      <c r="S235" s="87"/>
    </row>
    <row r="236" spans="17:19" x14ac:dyDescent="0.25">
      <c r="Q236" s="87"/>
      <c r="R236" s="87"/>
      <c r="S236" s="87"/>
    </row>
    <row r="237" spans="17:19" x14ac:dyDescent="0.25">
      <c r="Q237" s="87"/>
      <c r="R237" s="87"/>
      <c r="S237" s="87"/>
    </row>
    <row r="238" spans="17:19" x14ac:dyDescent="0.25">
      <c r="Q238" s="87"/>
      <c r="R238" s="87"/>
      <c r="S238" s="87"/>
    </row>
    <row r="239" spans="17:19" x14ac:dyDescent="0.25">
      <c r="Q239" s="87"/>
      <c r="R239" s="87"/>
      <c r="S239" s="87"/>
    </row>
    <row r="240" spans="17:19" x14ac:dyDescent="0.25">
      <c r="Q240" s="87"/>
      <c r="R240" s="87"/>
      <c r="S240" s="87"/>
    </row>
    <row r="241" spans="17:19" x14ac:dyDescent="0.25">
      <c r="Q241" s="87"/>
      <c r="R241" s="87"/>
      <c r="S241" s="87"/>
    </row>
    <row r="242" spans="17:19" x14ac:dyDescent="0.25">
      <c r="Q242" s="87"/>
      <c r="R242" s="87"/>
      <c r="S242" s="87"/>
    </row>
    <row r="243" spans="17:19" x14ac:dyDescent="0.25">
      <c r="Q243" s="87"/>
      <c r="R243" s="87"/>
      <c r="S243" s="87"/>
    </row>
    <row r="244" spans="17:19" x14ac:dyDescent="0.25">
      <c r="Q244" s="87"/>
      <c r="R244" s="87"/>
      <c r="S244" s="87"/>
    </row>
    <row r="245" spans="17:19" x14ac:dyDescent="0.25">
      <c r="Q245" s="87"/>
      <c r="R245" s="87"/>
      <c r="S245" s="87"/>
    </row>
    <row r="246" spans="17:19" x14ac:dyDescent="0.25">
      <c r="Q246" s="87"/>
      <c r="R246" s="87"/>
      <c r="S246" s="87"/>
    </row>
    <row r="247" spans="17:19" x14ac:dyDescent="0.25">
      <c r="Q247" s="87"/>
      <c r="R247" s="87"/>
      <c r="S247" s="87"/>
    </row>
    <row r="248" spans="17:19" x14ac:dyDescent="0.25">
      <c r="Q248" s="87"/>
      <c r="R248" s="87"/>
      <c r="S248" s="87"/>
    </row>
    <row r="249" spans="17:19" x14ac:dyDescent="0.25">
      <c r="Q249" s="87"/>
      <c r="R249" s="87"/>
      <c r="S249" s="87"/>
    </row>
    <row r="250" spans="17:19" x14ac:dyDescent="0.25">
      <c r="Q250" s="87"/>
      <c r="R250" s="87"/>
      <c r="S250" s="87"/>
    </row>
    <row r="251" spans="17:19" x14ac:dyDescent="0.25">
      <c r="Q251" s="87"/>
      <c r="R251" s="87"/>
      <c r="S251" s="87"/>
    </row>
    <row r="252" spans="17:19" x14ac:dyDescent="0.25">
      <c r="Q252" s="87"/>
      <c r="R252" s="87"/>
      <c r="S252" s="87"/>
    </row>
    <row r="253" spans="17:19" x14ac:dyDescent="0.25">
      <c r="Q253" s="87"/>
      <c r="R253" s="87"/>
      <c r="S253" s="87"/>
    </row>
    <row r="254" spans="17:19" x14ac:dyDescent="0.25">
      <c r="Q254" s="87"/>
      <c r="R254" s="87"/>
      <c r="S254" s="87"/>
    </row>
    <row r="255" spans="17:19" x14ac:dyDescent="0.25">
      <c r="Q255" s="87"/>
      <c r="R255" s="87"/>
      <c r="S255" s="87"/>
    </row>
    <row r="256" spans="17:19" x14ac:dyDescent="0.25">
      <c r="Q256" s="87"/>
      <c r="R256" s="87"/>
      <c r="S256" s="87"/>
    </row>
    <row r="257" spans="17:19" x14ac:dyDescent="0.25">
      <c r="Q257" s="87"/>
      <c r="R257" s="87"/>
      <c r="S257" s="87"/>
    </row>
    <row r="258" spans="17:19" x14ac:dyDescent="0.25">
      <c r="Q258" s="87"/>
      <c r="R258" s="87"/>
      <c r="S258" s="87"/>
    </row>
    <row r="259" spans="17:19" x14ac:dyDescent="0.25">
      <c r="Q259" s="87"/>
      <c r="R259" s="87"/>
      <c r="S259" s="87"/>
    </row>
    <row r="260" spans="17:19" x14ac:dyDescent="0.25">
      <c r="Q260" s="87"/>
      <c r="R260" s="87"/>
      <c r="S260" s="87"/>
    </row>
    <row r="261" spans="17:19" x14ac:dyDescent="0.25">
      <c r="Q261" s="87"/>
      <c r="R261" s="87"/>
      <c r="S261" s="87"/>
    </row>
    <row r="262" spans="17:19" x14ac:dyDescent="0.25">
      <c r="Q262" s="87"/>
      <c r="R262" s="87"/>
      <c r="S262" s="87"/>
    </row>
    <row r="263" spans="17:19" x14ac:dyDescent="0.25">
      <c r="Q263" s="87"/>
      <c r="R263" s="87"/>
      <c r="S263" s="87"/>
    </row>
    <row r="264" spans="17:19" x14ac:dyDescent="0.25">
      <c r="Q264" s="87"/>
      <c r="R264" s="87"/>
      <c r="S264" s="87"/>
    </row>
    <row r="265" spans="17:19" x14ac:dyDescent="0.25">
      <c r="Q265" s="87"/>
      <c r="R265" s="87"/>
      <c r="S265" s="87"/>
    </row>
    <row r="266" spans="17:19" x14ac:dyDescent="0.25">
      <c r="Q266" s="87"/>
      <c r="R266" s="87"/>
      <c r="S266" s="87"/>
    </row>
    <row r="267" spans="17:19" x14ac:dyDescent="0.25">
      <c r="Q267" s="87"/>
      <c r="R267" s="87"/>
      <c r="S267" s="87"/>
    </row>
    <row r="268" spans="17:19" x14ac:dyDescent="0.25">
      <c r="Q268" s="87"/>
      <c r="R268" s="87"/>
      <c r="S268" s="87"/>
    </row>
    <row r="269" spans="17:19" x14ac:dyDescent="0.25">
      <c r="Q269" s="87"/>
      <c r="R269" s="87"/>
      <c r="S269" s="87"/>
    </row>
    <row r="270" spans="17:19" x14ac:dyDescent="0.25">
      <c r="Q270" s="87"/>
      <c r="R270" s="87"/>
      <c r="S270" s="87"/>
    </row>
    <row r="271" spans="17:19" x14ac:dyDescent="0.25">
      <c r="Q271" s="87"/>
      <c r="R271" s="87"/>
      <c r="S271" s="87"/>
    </row>
    <row r="272" spans="17:19" x14ac:dyDescent="0.25">
      <c r="Q272" s="87"/>
      <c r="R272" s="87"/>
      <c r="S272" s="87"/>
    </row>
    <row r="273" spans="3:19" x14ac:dyDescent="0.25">
      <c r="Q273" s="87"/>
      <c r="R273" s="87"/>
      <c r="S273" s="87"/>
    </row>
    <row r="274" spans="3:19" x14ac:dyDescent="0.25">
      <c r="Q274" s="87"/>
      <c r="R274" s="87"/>
      <c r="S274" s="87"/>
    </row>
    <row r="275" spans="3:19" x14ac:dyDescent="0.25">
      <c r="Q275" s="87"/>
      <c r="R275" s="87"/>
      <c r="S275" s="87"/>
    </row>
    <row r="276" spans="3:19" x14ac:dyDescent="0.25">
      <c r="Q276" s="87"/>
      <c r="R276" s="87"/>
      <c r="S276" s="87"/>
    </row>
    <row r="277" spans="3:19" x14ac:dyDescent="0.25">
      <c r="Q277" s="87"/>
      <c r="R277" s="87"/>
      <c r="S277" s="87"/>
    </row>
    <row r="278" spans="3:19" x14ac:dyDescent="0.25">
      <c r="Q278" s="87"/>
      <c r="R278" s="87"/>
      <c r="S278" s="87"/>
    </row>
    <row r="279" spans="3:19" x14ac:dyDescent="0.25">
      <c r="Q279" s="87"/>
      <c r="R279" s="87"/>
      <c r="S279" s="87"/>
    </row>
    <row r="280" spans="3:19" x14ac:dyDescent="0.25">
      <c r="Q280" s="87"/>
      <c r="R280" s="87"/>
      <c r="S280" s="87"/>
    </row>
    <row r="281" spans="3:19" x14ac:dyDescent="0.25">
      <c r="Q281" s="87"/>
      <c r="R281" s="87"/>
      <c r="S281" s="87"/>
    </row>
    <row r="282" spans="3:19" x14ac:dyDescent="0.25">
      <c r="Q282" s="87"/>
      <c r="R282" s="87"/>
      <c r="S282" s="87"/>
    </row>
    <row r="283" spans="3:19" x14ac:dyDescent="0.25">
      <c r="Q283" s="87"/>
      <c r="R283" s="87"/>
      <c r="S283" s="87"/>
    </row>
    <row r="284" spans="3:19" x14ac:dyDescent="0.25">
      <c r="Q284" s="87"/>
      <c r="R284" s="87"/>
      <c r="S284" s="87"/>
    </row>
    <row r="285" spans="3:19" x14ac:dyDescent="0.25">
      <c r="Q285" s="87"/>
      <c r="R285" s="87"/>
      <c r="S285" s="87"/>
    </row>
    <row r="286" spans="3:19" x14ac:dyDescent="0.25">
      <c r="Q286" s="87"/>
      <c r="R286" s="87"/>
      <c r="S286" s="87"/>
    </row>
    <row r="287" spans="3:19" x14ac:dyDescent="0.25">
      <c r="Q287" s="87"/>
      <c r="R287" s="87"/>
      <c r="S287" s="87"/>
    </row>
    <row r="288" spans="3:19" x14ac:dyDescent="0.25"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Q288" s="87"/>
      <c r="R288" s="87"/>
      <c r="S288" s="87"/>
    </row>
    <row r="289" spans="3:19" x14ac:dyDescent="0.25"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3:19" x14ac:dyDescent="0.25"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</row>
    <row r="291" spans="3:19" x14ac:dyDescent="0.25"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</row>
    <row r="292" spans="3:19" x14ac:dyDescent="0.25"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</row>
    <row r="293" spans="3:19" x14ac:dyDescent="0.25"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</row>
    <row r="294" spans="3:19" x14ac:dyDescent="0.25"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</row>
    <row r="295" spans="3:19" x14ac:dyDescent="0.25"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</row>
    <row r="296" spans="3:19" x14ac:dyDescent="0.25"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</row>
    <row r="297" spans="3:19" x14ac:dyDescent="0.25"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</row>
    <row r="298" spans="3:19" x14ac:dyDescent="0.25"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</row>
    <row r="299" spans="3:19" x14ac:dyDescent="0.25"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</row>
    <row r="300" spans="3:19" x14ac:dyDescent="0.25"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</row>
    <row r="301" spans="3:19" x14ac:dyDescent="0.25"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</row>
    <row r="302" spans="3:19" x14ac:dyDescent="0.25"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</row>
    <row r="303" spans="3:19" x14ac:dyDescent="0.25"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</row>
    <row r="304" spans="3:19" x14ac:dyDescent="0.25"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</row>
    <row r="305" spans="3:19" x14ac:dyDescent="0.25"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</row>
    <row r="306" spans="3:19" x14ac:dyDescent="0.25"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3:19" x14ac:dyDescent="0.25"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</row>
    <row r="308" spans="3:19" x14ac:dyDescent="0.25"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</row>
    <row r="309" spans="3:19" x14ac:dyDescent="0.25"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</row>
    <row r="310" spans="3:19" x14ac:dyDescent="0.25"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</row>
    <row r="311" spans="3:19" x14ac:dyDescent="0.25"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</row>
    <row r="312" spans="3:19" x14ac:dyDescent="0.25"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</row>
    <row r="313" spans="3:19" x14ac:dyDescent="0.25"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</row>
    <row r="314" spans="3:19" x14ac:dyDescent="0.25"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</row>
    <row r="315" spans="3:19" x14ac:dyDescent="0.25"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</row>
    <row r="316" spans="3:19" x14ac:dyDescent="0.25"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3:19" x14ac:dyDescent="0.25"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</row>
    <row r="318" spans="3:19" x14ac:dyDescent="0.25"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</row>
    <row r="319" spans="3:19" x14ac:dyDescent="0.25"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</row>
    <row r="320" spans="3:19" x14ac:dyDescent="0.25"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</row>
    <row r="321" spans="3:19" x14ac:dyDescent="0.25"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</row>
    <row r="322" spans="3:19" x14ac:dyDescent="0.25"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</row>
    <row r="323" spans="3:19" x14ac:dyDescent="0.25"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</row>
    <row r="324" spans="3:19" x14ac:dyDescent="0.25"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</row>
    <row r="325" spans="3:19" x14ac:dyDescent="0.25"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</row>
    <row r="326" spans="3:19" x14ac:dyDescent="0.25"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</row>
    <row r="327" spans="3:19" x14ac:dyDescent="0.25"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3:19" x14ac:dyDescent="0.25"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</row>
    <row r="329" spans="3:19" x14ac:dyDescent="0.25"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3:19" x14ac:dyDescent="0.25"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</row>
    <row r="331" spans="3:19" x14ac:dyDescent="0.25"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</row>
    <row r="332" spans="3:19" x14ac:dyDescent="0.25"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</row>
    <row r="333" spans="3:19" x14ac:dyDescent="0.25"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</row>
    <row r="334" spans="3:19" x14ac:dyDescent="0.25"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3:19" x14ac:dyDescent="0.25"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</row>
    <row r="336" spans="3:19" x14ac:dyDescent="0.25"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</row>
    <row r="337" spans="3:19" x14ac:dyDescent="0.25"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</row>
    <row r="338" spans="3:19" x14ac:dyDescent="0.25"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</row>
    <row r="339" spans="3:19" x14ac:dyDescent="0.25"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</row>
    <row r="340" spans="3:19" x14ac:dyDescent="0.25"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</row>
    <row r="341" spans="3:19" x14ac:dyDescent="0.25"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</row>
    <row r="342" spans="3:19" x14ac:dyDescent="0.25"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</row>
    <row r="343" spans="3:19" x14ac:dyDescent="0.25"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</row>
    <row r="344" spans="3:19" x14ac:dyDescent="0.25">
      <c r="P344" s="87"/>
      <c r="Q344" s="87"/>
      <c r="R344" s="87"/>
      <c r="S344" s="87"/>
    </row>
  </sheetData>
  <mergeCells count="5">
    <mergeCell ref="K76:M76"/>
    <mergeCell ref="L77:M77"/>
    <mergeCell ref="C17:D17"/>
    <mergeCell ref="K49:M49"/>
    <mergeCell ref="L52:M52"/>
  </mergeCells>
  <printOptions horizontalCentered="1"/>
  <pageMargins left="0.75" right="0.75" top="0.9" bottom="0.48" header="0.5" footer="0.5"/>
  <pageSetup scale="64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FF99"/>
    <pageSetUpPr fitToPage="1"/>
  </sheetPr>
  <dimension ref="A1:AX575"/>
  <sheetViews>
    <sheetView topLeftCell="A26" workbookViewId="0">
      <selection activeCell="E43" sqref="E43"/>
    </sheetView>
  </sheetViews>
  <sheetFormatPr defaultColWidth="9.33203125" defaultRowHeight="15.75" x14ac:dyDescent="0.25"/>
  <cols>
    <col min="1" max="1" width="9" style="131" customWidth="1"/>
    <col min="2" max="2" width="2.1640625" style="131" customWidth="1"/>
    <col min="3" max="3" width="75.5" style="131" bestFit="1" customWidth="1"/>
    <col min="4" max="4" width="31.1640625" style="131" customWidth="1"/>
    <col min="5" max="5" width="24.1640625" style="131" customWidth="1"/>
    <col min="6" max="6" width="15" style="131" customWidth="1"/>
    <col min="7" max="7" width="20.6640625" style="131" customWidth="1"/>
    <col min="8" max="8" width="18.5" style="131" customWidth="1"/>
    <col min="9" max="9" width="8.6640625" style="131" customWidth="1"/>
    <col min="10" max="10" width="23" style="131" customWidth="1"/>
    <col min="11" max="11" width="9.33203125" style="131" customWidth="1"/>
    <col min="12" max="12" width="11.6640625" style="131" customWidth="1"/>
    <col min="13" max="13" width="2.83203125" style="131" customWidth="1"/>
    <col min="14" max="14" width="41" style="36" customWidth="1"/>
    <col min="15" max="15" width="48.83203125" style="36" customWidth="1"/>
    <col min="16" max="16" width="23.5" style="36" customWidth="1"/>
    <col min="17" max="17" width="20.5" style="36" customWidth="1"/>
    <col min="18" max="18" width="20.83203125" style="36" customWidth="1"/>
    <col min="19" max="19" width="23.6640625" style="36" bestFit="1" customWidth="1"/>
    <col min="20" max="20" width="22.1640625" style="36" bestFit="1" customWidth="1"/>
    <col min="21" max="21" width="23" style="36" bestFit="1" customWidth="1"/>
    <col min="22" max="22" width="19.83203125" style="36" customWidth="1"/>
    <col min="23" max="23" width="20.33203125" style="36" customWidth="1"/>
    <col min="24" max="24" width="23.5" style="36" bestFit="1" customWidth="1"/>
    <col min="25" max="25" width="21.6640625" style="36" bestFit="1" customWidth="1"/>
    <col min="26" max="26" width="16.1640625" style="36" customWidth="1"/>
    <col min="27" max="28" width="23.5" style="36" bestFit="1" customWidth="1"/>
    <col min="29" max="29" width="21.33203125" style="36" bestFit="1" customWidth="1"/>
    <col min="30" max="30" width="23.5" style="36" bestFit="1" customWidth="1"/>
    <col min="31" max="31" width="21.33203125" style="36" bestFit="1" customWidth="1"/>
    <col min="32" max="32" width="20.6640625" style="36" bestFit="1" customWidth="1"/>
    <col min="33" max="43" width="9.33203125" style="36"/>
    <col min="44" max="16384" width="9.33203125" style="131"/>
  </cols>
  <sheetData>
    <row r="1" spans="1:32" s="13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2"/>
      <c r="L1" s="2"/>
      <c r="M1" s="296"/>
      <c r="N1" s="25"/>
      <c r="O1" s="42"/>
      <c r="P1" s="4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131" customFormat="1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2"/>
      <c r="L2" s="2"/>
      <c r="M2" s="296"/>
      <c r="N2" s="25"/>
      <c r="O2" s="25"/>
      <c r="P2" s="4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131" customFormat="1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5"/>
      <c r="O3" s="25"/>
      <c r="P3" s="4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31" customFormat="1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283" t="s">
        <v>918</v>
      </c>
      <c r="K4" s="4"/>
      <c r="L4" s="4"/>
      <c r="M4" s="4"/>
      <c r="N4" s="25"/>
      <c r="O4" s="25"/>
      <c r="P4" s="2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31" customFormat="1" x14ac:dyDescent="0.25">
      <c r="A5" s="353" t="s">
        <v>187</v>
      </c>
      <c r="B5" s="1"/>
      <c r="C5" s="2"/>
      <c r="E5" s="1"/>
      <c r="F5" s="9"/>
      <c r="G5" s="9"/>
      <c r="H5" s="9"/>
      <c r="I5" s="2"/>
      <c r="J5" s="499" t="s">
        <v>123</v>
      </c>
      <c r="K5" s="300"/>
      <c r="L5" s="300"/>
      <c r="M5" s="4"/>
      <c r="N5" s="25"/>
      <c r="O5" s="25"/>
      <c r="P5" s="2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s="131" customFormat="1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5"/>
      <c r="O6" s="25"/>
      <c r="P6" s="2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131" customFormat="1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2"/>
      <c r="L7" s="2"/>
      <c r="M7" s="4"/>
      <c r="N7" s="51"/>
      <c r="O7" s="51"/>
      <c r="P7" s="24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s="131" customFormat="1" x14ac:dyDescent="0.25">
      <c r="C8" s="134" t="s">
        <v>18</v>
      </c>
      <c r="D8" s="134" t="s">
        <v>19</v>
      </c>
      <c r="E8" s="134" t="s">
        <v>20</v>
      </c>
      <c r="F8" s="135" t="s">
        <v>0</v>
      </c>
      <c r="G8" s="135"/>
      <c r="H8" s="136" t="s">
        <v>21</v>
      </c>
      <c r="I8" s="135"/>
      <c r="J8" s="137" t="s">
        <v>22</v>
      </c>
      <c r="K8" s="135"/>
      <c r="L8" s="134"/>
      <c r="M8" s="135"/>
      <c r="N8" s="35"/>
      <c r="O8" s="51"/>
      <c r="P8" s="2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s="131" customFormat="1" x14ac:dyDescent="0.25">
      <c r="C9" s="132"/>
      <c r="D9" s="138" t="s">
        <v>23</v>
      </c>
      <c r="E9" s="135"/>
      <c r="F9" s="135"/>
      <c r="G9" s="135"/>
      <c r="H9" s="134"/>
      <c r="I9" s="135"/>
      <c r="J9" s="139" t="s">
        <v>24</v>
      </c>
      <c r="K9" s="135"/>
      <c r="L9" s="134"/>
      <c r="M9" s="135"/>
      <c r="N9" s="35"/>
      <c r="O9" s="35"/>
      <c r="P9" s="24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131" customFormat="1" x14ac:dyDescent="0.25">
      <c r="A10" s="134" t="s">
        <v>1</v>
      </c>
      <c r="C10" s="132"/>
      <c r="D10" s="140" t="s">
        <v>25</v>
      </c>
      <c r="E10" s="139" t="s">
        <v>26</v>
      </c>
      <c r="F10" s="141"/>
      <c r="G10" s="139" t="s">
        <v>27</v>
      </c>
      <c r="I10" s="141"/>
      <c r="J10" s="142" t="s">
        <v>28</v>
      </c>
      <c r="K10" s="135"/>
      <c r="L10" s="134"/>
      <c r="M10" s="133"/>
      <c r="N10" s="35"/>
      <c r="O10" s="35"/>
      <c r="P10" s="2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131" customFormat="1" ht="16.5" thickBot="1" x14ac:dyDescent="0.3">
      <c r="A11" s="143" t="s">
        <v>3</v>
      </c>
      <c r="C11" s="144" t="s">
        <v>29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3"/>
      <c r="N11" s="51"/>
      <c r="O11" s="51"/>
      <c r="P11" s="2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131" customFormat="1" x14ac:dyDescent="0.25">
      <c r="A12" s="134"/>
      <c r="C12" s="132"/>
      <c r="D12" s="135"/>
      <c r="E12" s="135"/>
      <c r="F12" s="135"/>
      <c r="G12" s="135"/>
      <c r="H12" s="135"/>
      <c r="I12" s="135"/>
      <c r="J12" s="135"/>
      <c r="K12" s="135"/>
      <c r="L12" s="135"/>
      <c r="M12" s="133"/>
      <c r="N12" s="51"/>
      <c r="O12" s="51"/>
      <c r="P12" s="24"/>
      <c r="Q12" s="36"/>
      <c r="R12" s="36"/>
      <c r="S12" s="145"/>
      <c r="T12" s="145"/>
      <c r="U12" s="36"/>
      <c r="V12" s="36"/>
      <c r="W12" s="36"/>
      <c r="X12" s="36"/>
      <c r="Y12" s="36"/>
      <c r="Z12" s="36"/>
      <c r="AA12" s="36"/>
      <c r="AB12" s="146"/>
      <c r="AC12" s="36"/>
      <c r="AD12" s="36"/>
      <c r="AE12" s="36"/>
      <c r="AF12" s="36"/>
    </row>
    <row r="13" spans="1:32" s="131" customFormat="1" x14ac:dyDescent="0.25">
      <c r="A13" s="134"/>
      <c r="C13" s="132" t="s">
        <v>30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3"/>
      <c r="N13" s="51"/>
      <c r="O13" s="51"/>
      <c r="P13" s="24"/>
      <c r="Q13" s="36"/>
      <c r="R13" s="36"/>
      <c r="S13" s="24"/>
      <c r="T13" s="146"/>
      <c r="U13" s="24"/>
      <c r="V13" s="146"/>
      <c r="W13" s="36"/>
      <c r="X13" s="36"/>
      <c r="Y13" s="36"/>
      <c r="Z13" s="36"/>
      <c r="AA13" s="36"/>
      <c r="AB13" s="70"/>
      <c r="AC13" s="146"/>
      <c r="AD13" s="147"/>
      <c r="AE13" s="147"/>
      <c r="AF13" s="147"/>
    </row>
    <row r="14" spans="1:32" s="131" customFormat="1" x14ac:dyDescent="0.25">
      <c r="A14" s="134">
        <v>1</v>
      </c>
      <c r="C14" s="132" t="s">
        <v>31</v>
      </c>
      <c r="D14" s="268" t="s">
        <v>175</v>
      </c>
      <c r="E14" s="152">
        <f>'OATT Input Data'!$E$101</f>
        <v>8120576134</v>
      </c>
      <c r="F14" s="135"/>
      <c r="G14" s="135" t="s">
        <v>32</v>
      </c>
      <c r="H14" s="148"/>
      <c r="I14" s="135"/>
      <c r="J14" s="175"/>
      <c r="K14" s="135"/>
      <c r="L14" s="135"/>
      <c r="M14" s="133"/>
      <c r="N14" s="150"/>
      <c r="O14" s="51"/>
      <c r="P14" s="51"/>
      <c r="Q14" s="51"/>
      <c r="R14" s="51"/>
      <c r="S14" s="151"/>
      <c r="T14" s="152"/>
      <c r="U14" s="151"/>
      <c r="V14" s="152"/>
      <c r="W14" s="36"/>
      <c r="X14" s="36"/>
      <c r="Y14" s="36"/>
      <c r="Z14" s="36"/>
      <c r="AA14" s="36"/>
      <c r="AB14" s="70"/>
      <c r="AC14" s="70"/>
      <c r="AD14" s="70"/>
      <c r="AE14" s="70"/>
      <c r="AF14" s="70"/>
    </row>
    <row r="15" spans="1:32" s="131" customFormat="1" x14ac:dyDescent="0.25">
      <c r="A15" s="134">
        <v>2</v>
      </c>
      <c r="C15" s="132" t="s">
        <v>33</v>
      </c>
      <c r="D15" s="268" t="s">
        <v>176</v>
      </c>
      <c r="E15" s="542">
        <f>'OATT Input Data'!$E$102</f>
        <v>1116349499</v>
      </c>
      <c r="F15" s="135"/>
      <c r="G15" s="135" t="s">
        <v>9</v>
      </c>
      <c r="H15" s="148">
        <f>'NITS Pg 4 of 5'!$J$16</f>
        <v>0.95489000000000002</v>
      </c>
      <c r="I15" s="135"/>
      <c r="J15" s="175">
        <f>ROUND(E15*H15,0)</f>
        <v>1065990973</v>
      </c>
      <c r="K15" s="135"/>
      <c r="L15" s="135"/>
      <c r="M15" s="133"/>
      <c r="N15" s="36"/>
      <c r="O15" s="51"/>
      <c r="P15" s="51"/>
      <c r="Q15" s="51"/>
      <c r="R15" s="51"/>
      <c r="S15" s="151"/>
      <c r="T15" s="152"/>
      <c r="U15" s="151"/>
      <c r="V15" s="152"/>
      <c r="W15" s="36"/>
      <c r="X15" s="36"/>
      <c r="Y15" s="36"/>
      <c r="Z15" s="36"/>
      <c r="AA15" s="36"/>
      <c r="AB15" s="70"/>
      <c r="AC15" s="70"/>
      <c r="AD15" s="70"/>
      <c r="AE15" s="70"/>
      <c r="AF15" s="70"/>
    </row>
    <row r="16" spans="1:32" s="131" customFormat="1" x14ac:dyDescent="0.25">
      <c r="A16" s="134">
        <v>3</v>
      </c>
      <c r="C16" s="132" t="s">
        <v>34</v>
      </c>
      <c r="D16" s="268" t="s">
        <v>177</v>
      </c>
      <c r="E16" s="53">
        <f>'OATT Input Data'!$E$103</f>
        <v>2768568168</v>
      </c>
      <c r="F16" s="135"/>
      <c r="G16" s="135" t="s">
        <v>32</v>
      </c>
      <c r="H16" s="148"/>
      <c r="I16" s="135"/>
      <c r="J16" s="149"/>
      <c r="K16" s="135"/>
      <c r="L16" s="135"/>
      <c r="M16" s="133"/>
      <c r="N16" s="36"/>
      <c r="O16" s="51"/>
      <c r="P16" s="51"/>
      <c r="Q16" s="51"/>
      <c r="R16" s="51"/>
      <c r="S16" s="151"/>
      <c r="T16" s="152"/>
      <c r="U16" s="151"/>
      <c r="V16" s="152"/>
      <c r="W16" s="36"/>
      <c r="X16" s="36"/>
      <c r="Y16" s="36"/>
      <c r="Z16" s="36"/>
      <c r="AA16" s="36"/>
      <c r="AB16" s="70"/>
      <c r="AC16" s="36"/>
      <c r="AD16" s="36"/>
      <c r="AE16" s="36"/>
      <c r="AF16" s="36"/>
    </row>
    <row r="17" spans="1:31" s="131" customFormat="1" x14ac:dyDescent="0.25">
      <c r="A17" s="134">
        <v>4</v>
      </c>
      <c r="C17" s="132" t="s">
        <v>35</v>
      </c>
      <c r="D17" s="268" t="s">
        <v>178</v>
      </c>
      <c r="E17" s="53">
        <f>'OATT Input Data'!$E$104</f>
        <v>195923692</v>
      </c>
      <c r="F17" s="135"/>
      <c r="G17" s="135" t="s">
        <v>36</v>
      </c>
      <c r="H17" s="148">
        <f>'NITS Pg 4 of 5'!$J$33</f>
        <v>6.2399999999999997E-2</v>
      </c>
      <c r="I17" s="135"/>
      <c r="J17" s="149">
        <f>ROUND(E17*H17,0)</f>
        <v>12225638</v>
      </c>
      <c r="K17" s="135"/>
      <c r="L17" s="135"/>
      <c r="M17" s="135"/>
      <c r="N17" s="36"/>
      <c r="O17" s="153"/>
      <c r="P17" s="51"/>
      <c r="Q17" s="51"/>
      <c r="R17" s="51"/>
      <c r="S17" s="151"/>
      <c r="T17" s="152"/>
      <c r="U17" s="151"/>
      <c r="V17" s="152"/>
      <c r="W17" s="36"/>
      <c r="X17" s="36"/>
      <c r="Y17" s="36"/>
      <c r="Z17" s="36"/>
      <c r="AA17" s="36"/>
      <c r="AB17" s="70"/>
      <c r="AC17" s="36"/>
      <c r="AD17" s="36"/>
      <c r="AE17" s="36"/>
    </row>
    <row r="18" spans="1:31" s="131" customFormat="1" ht="18" x14ac:dyDescent="0.4">
      <c r="A18" s="134">
        <v>5</v>
      </c>
      <c r="C18" s="132" t="s">
        <v>37</v>
      </c>
      <c r="D18" s="268" t="s">
        <v>179</v>
      </c>
      <c r="E18" s="20">
        <f>'OATT Input Data'!$E$105</f>
        <v>177800833</v>
      </c>
      <c r="F18" s="135"/>
      <c r="G18" s="135" t="s">
        <v>38</v>
      </c>
      <c r="H18" s="148">
        <f>'NITS Pg 4 of 5'!$J$41</f>
        <v>5.799E-2</v>
      </c>
      <c r="I18" s="135"/>
      <c r="J18" s="176">
        <f>ROUND(E18*H18,0)</f>
        <v>10310670</v>
      </c>
      <c r="K18" s="135"/>
      <c r="L18" s="135"/>
      <c r="M18" s="135"/>
      <c r="N18" s="36"/>
      <c r="O18" s="495"/>
      <c r="P18" s="51"/>
      <c r="Q18" s="51"/>
      <c r="R18" s="51"/>
      <c r="S18" s="151"/>
      <c r="T18" s="152"/>
      <c r="U18" s="151"/>
      <c r="V18" s="152"/>
      <c r="W18" s="36"/>
      <c r="X18" s="36"/>
      <c r="Y18" s="36"/>
      <c r="Z18" s="36"/>
      <c r="AA18" s="36"/>
      <c r="AB18" s="70"/>
      <c r="AC18" s="36"/>
      <c r="AD18" s="36"/>
      <c r="AE18" s="36"/>
    </row>
    <row r="19" spans="1:31" s="131" customFormat="1" x14ac:dyDescent="0.25">
      <c r="A19" s="134">
        <v>6</v>
      </c>
      <c r="C19" s="154" t="s">
        <v>173</v>
      </c>
      <c r="D19" s="288" t="s">
        <v>266</v>
      </c>
      <c r="E19" s="175">
        <f>ROUND(SUM(E14:E18),0)</f>
        <v>12379218326</v>
      </c>
      <c r="F19" s="135"/>
      <c r="G19" s="135" t="s">
        <v>320</v>
      </c>
      <c r="H19" s="155">
        <f>ROUND(J19/E19,5)</f>
        <v>8.7929999999999994E-2</v>
      </c>
      <c r="I19" s="135"/>
      <c r="J19" s="175">
        <f>ROUND(SUM(J15,J17:J18),0)</f>
        <v>1088527281</v>
      </c>
      <c r="K19" s="135"/>
      <c r="L19" s="156"/>
      <c r="M19" s="133"/>
      <c r="N19" s="36"/>
      <c r="O19" s="51"/>
      <c r="P19" s="51"/>
      <c r="Q19" s="36"/>
      <c r="R19" s="36"/>
      <c r="S19" s="151"/>
      <c r="T19" s="152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31" customFormat="1" x14ac:dyDescent="0.25">
      <c r="C20" s="132"/>
      <c r="D20" s="288"/>
      <c r="E20" s="149"/>
      <c r="F20" s="135"/>
      <c r="G20" s="135"/>
      <c r="H20" s="156"/>
      <c r="I20" s="135"/>
      <c r="J20" s="149"/>
      <c r="K20" s="135"/>
      <c r="L20" s="156"/>
      <c r="M20" s="133"/>
      <c r="N20" s="51"/>
      <c r="O20" s="51"/>
      <c r="P20" s="2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31" customFormat="1" x14ac:dyDescent="0.25">
      <c r="C21" s="132" t="s">
        <v>40</v>
      </c>
      <c r="D21" s="288" t="s">
        <v>252</v>
      </c>
      <c r="E21" s="149"/>
      <c r="F21" s="135"/>
      <c r="G21" s="135"/>
      <c r="H21" s="135"/>
      <c r="I21" s="135"/>
      <c r="J21" s="149"/>
      <c r="K21" s="135"/>
      <c r="L21" s="135"/>
      <c r="M21" s="133"/>
      <c r="N21" s="51"/>
      <c r="O21" s="51"/>
      <c r="P21" s="36"/>
      <c r="Q21" s="36"/>
      <c r="R21" s="36"/>
      <c r="S21" s="36"/>
      <c r="T21" s="36"/>
      <c r="U21" s="36"/>
      <c r="V21" s="36"/>
      <c r="W21" s="36"/>
      <c r="X21" s="36"/>
      <c r="Y21" s="150"/>
      <c r="Z21" s="36"/>
      <c r="AA21" s="36"/>
      <c r="AB21" s="36"/>
      <c r="AC21" s="36"/>
      <c r="AD21" s="36"/>
      <c r="AE21" s="150"/>
    </row>
    <row r="22" spans="1:31" s="131" customFormat="1" x14ac:dyDescent="0.25">
      <c r="A22" s="134">
        <v>7</v>
      </c>
      <c r="C22" s="132" t="str">
        <f>+C14</f>
        <v xml:space="preserve">  Production</v>
      </c>
      <c r="D22" s="268" t="s">
        <v>190</v>
      </c>
      <c r="E22" s="152">
        <f>SUM('OATT Input Data'!$E$110:$E$112)</f>
        <v>3160963736.6700001</v>
      </c>
      <c r="F22" s="135"/>
      <c r="G22" s="135" t="s">
        <v>32</v>
      </c>
      <c r="H22" s="148"/>
      <c r="I22" s="135"/>
      <c r="J22" s="175"/>
      <c r="K22" s="135"/>
      <c r="L22" s="135"/>
      <c r="M22" s="133"/>
      <c r="N22" s="51"/>
      <c r="O22" s="157"/>
      <c r="P22" s="51"/>
      <c r="Q22" s="51"/>
      <c r="R22" s="36"/>
      <c r="S22" s="151"/>
      <c r="T22" s="152"/>
      <c r="U22" s="151"/>
      <c r="V22" s="152"/>
      <c r="W22" s="36"/>
      <c r="X22" s="70"/>
      <c r="Y22" s="70"/>
      <c r="Z22" s="36"/>
      <c r="AA22" s="70"/>
      <c r="AB22" s="70"/>
      <c r="AC22" s="70"/>
      <c r="AD22" s="70"/>
      <c r="AE22" s="70"/>
    </row>
    <row r="23" spans="1:31" s="131" customFormat="1" x14ac:dyDescent="0.25">
      <c r="A23" s="134">
        <v>8</v>
      </c>
      <c r="C23" s="132" t="str">
        <f>+C15</f>
        <v xml:space="preserve">  Transmission</v>
      </c>
      <c r="D23" s="268" t="s">
        <v>180</v>
      </c>
      <c r="E23" s="53">
        <f>'OATT Input Data'!$E$113</f>
        <v>479829992.51999998</v>
      </c>
      <c r="F23" s="135"/>
      <c r="G23" s="135" t="s">
        <v>9</v>
      </c>
      <c r="H23" s="158">
        <f>+H15</f>
        <v>0.95489000000000002</v>
      </c>
      <c r="I23" s="135"/>
      <c r="J23" s="175">
        <f>ROUND(E23*H23,0)</f>
        <v>458184862</v>
      </c>
      <c r="K23" s="135"/>
      <c r="L23" s="135"/>
      <c r="M23" s="133"/>
      <c r="N23" s="51"/>
      <c r="O23" s="57"/>
      <c r="P23" s="51"/>
      <c r="Q23" s="51"/>
      <c r="R23" s="36"/>
      <c r="S23" s="152"/>
      <c r="T23" s="152"/>
      <c r="U23" s="152"/>
      <c r="V23" s="152"/>
      <c r="W23" s="36"/>
      <c r="X23" s="70"/>
      <c r="Y23" s="70"/>
      <c r="Z23" s="36"/>
      <c r="AA23" s="70"/>
      <c r="AB23" s="70"/>
      <c r="AC23" s="70"/>
      <c r="AD23" s="70"/>
      <c r="AE23" s="70"/>
    </row>
    <row r="24" spans="1:31" s="131" customFormat="1" x14ac:dyDescent="0.25">
      <c r="A24" s="134">
        <v>9</v>
      </c>
      <c r="C24" s="132" t="str">
        <f>+C16</f>
        <v xml:space="preserve">  Distribution</v>
      </c>
      <c r="D24" s="268" t="s">
        <v>181</v>
      </c>
      <c r="E24" s="53">
        <f>'OATT Input Data'!$E$114</f>
        <v>1072537143.9</v>
      </c>
      <c r="F24" s="135"/>
      <c r="G24" s="135" t="str">
        <f>+G16</f>
        <v>NA</v>
      </c>
      <c r="H24" s="148"/>
      <c r="I24" s="135"/>
      <c r="J24" s="149"/>
      <c r="K24" s="135"/>
      <c r="L24" s="135"/>
      <c r="M24" s="133"/>
      <c r="N24" s="51"/>
      <c r="O24" s="157"/>
      <c r="P24" s="51"/>
      <c r="Q24" s="51"/>
      <c r="R24" s="36"/>
      <c r="S24" s="151"/>
      <c r="T24" s="152"/>
      <c r="U24" s="70"/>
      <c r="V24" s="152"/>
      <c r="W24" s="36"/>
      <c r="X24" s="70"/>
      <c r="Y24" s="70"/>
      <c r="Z24" s="36"/>
      <c r="AA24" s="70"/>
      <c r="AB24" s="70"/>
      <c r="AC24" s="70"/>
      <c r="AD24" s="36"/>
      <c r="AE24" s="36"/>
    </row>
    <row r="25" spans="1:31" s="131" customFormat="1" x14ac:dyDescent="0.25">
      <c r="A25" s="134">
        <v>10</v>
      </c>
      <c r="C25" s="132" t="str">
        <f>+C17</f>
        <v xml:space="preserve">  General &amp; Intangible</v>
      </c>
      <c r="D25" s="268" t="s">
        <v>182</v>
      </c>
      <c r="E25" s="53">
        <f>'OATT Input Data'!$E$109+'OATT Input Data'!$E$115</f>
        <v>120498749.41</v>
      </c>
      <c r="F25" s="135"/>
      <c r="G25" s="135" t="str">
        <f>+G17</f>
        <v>W/S</v>
      </c>
      <c r="H25" s="148">
        <f>+H17</f>
        <v>6.2399999999999997E-2</v>
      </c>
      <c r="I25" s="135"/>
      <c r="J25" s="149">
        <f>ROUND(E25*H25,0)</f>
        <v>7519122</v>
      </c>
      <c r="K25" s="135"/>
      <c r="L25" s="135"/>
      <c r="M25" s="133"/>
      <c r="N25" s="51"/>
      <c r="O25" s="157"/>
      <c r="P25" s="51"/>
      <c r="Q25" s="51"/>
      <c r="R25" s="36"/>
      <c r="S25" s="152"/>
      <c r="T25" s="152"/>
      <c r="U25" s="152"/>
      <c r="V25" s="152"/>
      <c r="W25" s="36"/>
      <c r="X25" s="70"/>
      <c r="Y25" s="70"/>
      <c r="Z25" s="36"/>
      <c r="AA25" s="36"/>
      <c r="AB25" s="70"/>
      <c r="AC25" s="36"/>
      <c r="AD25" s="36"/>
      <c r="AE25" s="36"/>
    </row>
    <row r="26" spans="1:31" s="131" customFormat="1" ht="18" x14ac:dyDescent="0.4">
      <c r="A26" s="134">
        <v>11</v>
      </c>
      <c r="C26" s="132" t="str">
        <f>+C18</f>
        <v xml:space="preserve">  Common</v>
      </c>
      <c r="D26" s="268" t="s">
        <v>179</v>
      </c>
      <c r="E26" s="20">
        <f>'OATT Input Data'!$E$116</f>
        <v>99291151.599999994</v>
      </c>
      <c r="F26" s="135"/>
      <c r="G26" s="135" t="str">
        <f>+G18</f>
        <v>CE</v>
      </c>
      <c r="H26" s="148">
        <f>+H18</f>
        <v>5.799E-2</v>
      </c>
      <c r="I26" s="135"/>
      <c r="J26" s="176">
        <f>ROUND(E26*H26,0)</f>
        <v>5757894</v>
      </c>
      <c r="K26" s="135"/>
      <c r="L26" s="135"/>
      <c r="M26" s="133"/>
      <c r="N26" s="51"/>
      <c r="O26" s="159"/>
      <c r="P26" s="51"/>
      <c r="Q26" s="51"/>
      <c r="R26" s="36"/>
      <c r="S26" s="151"/>
      <c r="T26" s="152"/>
      <c r="U26" s="70"/>
      <c r="V26" s="152"/>
      <c r="W26" s="36"/>
      <c r="X26" s="36"/>
      <c r="Y26" s="36"/>
      <c r="Z26" s="36"/>
      <c r="AA26" s="36"/>
      <c r="AB26" s="70"/>
      <c r="AC26" s="36"/>
      <c r="AD26" s="36"/>
      <c r="AE26" s="36"/>
    </row>
    <row r="27" spans="1:31" s="131" customFormat="1" x14ac:dyDescent="0.25">
      <c r="A27" s="134">
        <v>12</v>
      </c>
      <c r="C27" s="154" t="s">
        <v>172</v>
      </c>
      <c r="D27" s="288" t="s">
        <v>267</v>
      </c>
      <c r="E27" s="175">
        <f>ROUND(SUM(E22:E26),0)</f>
        <v>4933120774</v>
      </c>
      <c r="F27" s="135"/>
      <c r="G27" s="135"/>
      <c r="H27" s="135"/>
      <c r="I27" s="135"/>
      <c r="J27" s="175">
        <f>ROUND(SUM(J23,J25:J26),0)</f>
        <v>471461878</v>
      </c>
      <c r="K27" s="135"/>
      <c r="L27" s="135"/>
      <c r="M27" s="133"/>
      <c r="N27" s="160"/>
      <c r="O27" s="35"/>
      <c r="P27" s="51"/>
      <c r="Q27" s="51"/>
      <c r="R27" s="36"/>
      <c r="S27" s="152"/>
      <c r="T27" s="152"/>
      <c r="U27" s="36"/>
      <c r="V27" s="36"/>
      <c r="W27" s="150"/>
      <c r="X27" s="70"/>
      <c r="Y27" s="36"/>
      <c r="Z27" s="36"/>
      <c r="AA27" s="36"/>
      <c r="AB27" s="70"/>
      <c r="AC27" s="36"/>
      <c r="AD27" s="36"/>
      <c r="AE27" s="36"/>
    </row>
    <row r="28" spans="1:31" s="131" customFormat="1" x14ac:dyDescent="0.25">
      <c r="A28" s="134"/>
      <c r="D28" s="135" t="s">
        <v>0</v>
      </c>
      <c r="E28" s="149"/>
      <c r="F28" s="135"/>
      <c r="G28" s="135"/>
      <c r="H28" s="156"/>
      <c r="I28" s="135"/>
      <c r="J28" s="149"/>
      <c r="K28" s="135"/>
      <c r="L28" s="156"/>
      <c r="M28" s="133"/>
      <c r="N28" s="51"/>
      <c r="O28" s="51"/>
      <c r="P28" s="24"/>
      <c r="Q28" s="36"/>
      <c r="R28" s="36"/>
      <c r="S28" s="36"/>
      <c r="T28" s="36"/>
      <c r="U28" s="36"/>
      <c r="V28" s="36"/>
      <c r="W28" s="36"/>
      <c r="X28" s="70"/>
      <c r="Y28" s="36"/>
      <c r="Z28" s="36"/>
      <c r="AA28" s="36"/>
      <c r="AB28" s="70"/>
      <c r="AC28" s="36"/>
      <c r="AD28" s="36"/>
      <c r="AE28" s="36"/>
    </row>
    <row r="29" spans="1:31" s="131" customFormat="1" x14ac:dyDescent="0.25">
      <c r="A29" s="134"/>
      <c r="C29" s="132" t="s">
        <v>42</v>
      </c>
      <c r="D29" s="135"/>
      <c r="E29" s="149"/>
      <c r="F29" s="135"/>
      <c r="G29" s="135"/>
      <c r="H29" s="135"/>
      <c r="I29" s="135"/>
      <c r="J29" s="149"/>
      <c r="K29" s="135"/>
      <c r="L29" s="135"/>
      <c r="M29" s="133"/>
      <c r="N29" s="51"/>
      <c r="O29" s="51"/>
      <c r="P29" s="51"/>
      <c r="Q29" s="51"/>
      <c r="R29" s="36"/>
      <c r="S29" s="151"/>
      <c r="T29" s="152"/>
      <c r="U29" s="151"/>
      <c r="V29" s="36"/>
      <c r="W29" s="36"/>
      <c r="X29" s="70"/>
      <c r="Y29" s="36"/>
      <c r="Z29" s="36"/>
      <c r="AA29" s="36"/>
      <c r="AB29" s="36"/>
      <c r="AC29" s="36"/>
      <c r="AD29" s="36"/>
      <c r="AE29" s="36"/>
    </row>
    <row r="30" spans="1:31" s="131" customFormat="1" x14ac:dyDescent="0.25">
      <c r="A30" s="134">
        <v>13</v>
      </c>
      <c r="C30" s="132" t="str">
        <f>+C22</f>
        <v xml:space="preserve">  Production</v>
      </c>
      <c r="D30" s="288" t="s">
        <v>268</v>
      </c>
      <c r="E30" s="175">
        <f>E14-E22</f>
        <v>4959612397.3299999</v>
      </c>
      <c r="F30" s="135"/>
      <c r="G30" s="135"/>
      <c r="H30" s="156"/>
      <c r="I30" s="135"/>
      <c r="J30" s="175"/>
      <c r="K30" s="135"/>
      <c r="L30" s="156"/>
      <c r="M30" s="133"/>
      <c r="N30" s="51"/>
      <c r="O30" s="51"/>
      <c r="P30" s="51"/>
      <c r="Q30" s="51"/>
      <c r="R30" s="36"/>
      <c r="S30" s="151"/>
      <c r="T30" s="152"/>
      <c r="U30" s="151"/>
      <c r="V30" s="36"/>
      <c r="W30" s="36"/>
      <c r="X30" s="70"/>
      <c r="Y30" s="70"/>
      <c r="Z30" s="36"/>
      <c r="AA30" s="36"/>
      <c r="AB30" s="150"/>
      <c r="AC30" s="150"/>
      <c r="AD30" s="36"/>
      <c r="AE30" s="36"/>
    </row>
    <row r="31" spans="1:31" s="131" customFormat="1" x14ac:dyDescent="0.25">
      <c r="A31" s="134">
        <v>14</v>
      </c>
      <c r="C31" s="132" t="str">
        <f>+C23</f>
        <v xml:space="preserve">  Transmission</v>
      </c>
      <c r="D31" s="288" t="s">
        <v>269</v>
      </c>
      <c r="E31" s="149">
        <f t="shared" ref="E31:E34" si="0">E15-E23</f>
        <v>636519506.48000002</v>
      </c>
      <c r="F31" s="135"/>
      <c r="G31" s="135"/>
      <c r="H31" s="148"/>
      <c r="I31" s="135"/>
      <c r="J31" s="175">
        <f>J15-J23</f>
        <v>607806111</v>
      </c>
      <c r="K31" s="135"/>
      <c r="L31" s="156"/>
      <c r="M31" s="133"/>
      <c r="N31" s="51"/>
      <c r="O31" s="51"/>
      <c r="P31" s="51"/>
      <c r="Q31" s="51"/>
      <c r="R31" s="36"/>
      <c r="S31" s="151"/>
      <c r="T31" s="152"/>
      <c r="U31" s="151"/>
      <c r="V31" s="36"/>
      <c r="W31" s="36"/>
      <c r="X31" s="36"/>
      <c r="Y31" s="70"/>
      <c r="Z31" s="36"/>
      <c r="AA31" s="70"/>
      <c r="AB31" s="70"/>
      <c r="AC31" s="36"/>
      <c r="AD31" s="36"/>
      <c r="AE31" s="36"/>
    </row>
    <row r="32" spans="1:31" s="131" customFormat="1" x14ac:dyDescent="0.25">
      <c r="A32" s="134">
        <v>15</v>
      </c>
      <c r="C32" s="132" t="str">
        <f>+C24</f>
        <v xml:space="preserve">  Distribution</v>
      </c>
      <c r="D32" s="288" t="s">
        <v>270</v>
      </c>
      <c r="E32" s="149">
        <f t="shared" si="0"/>
        <v>1696031024.0999999</v>
      </c>
      <c r="F32" s="135"/>
      <c r="G32" s="135"/>
      <c r="H32" s="156"/>
      <c r="I32" s="135"/>
      <c r="J32" s="149"/>
      <c r="K32" s="135"/>
      <c r="L32" s="156"/>
      <c r="M32" s="133"/>
      <c r="N32" s="51"/>
      <c r="O32" s="88"/>
      <c r="P32" s="51"/>
      <c r="Q32" s="36"/>
      <c r="R32" s="150"/>
      <c r="S32" s="151"/>
      <c r="T32" s="152"/>
      <c r="U32" s="152"/>
      <c r="V32" s="36"/>
      <c r="W32" s="36"/>
      <c r="X32" s="70"/>
      <c r="Y32" s="70"/>
      <c r="Z32" s="36"/>
      <c r="AA32" s="70"/>
      <c r="AB32" s="70"/>
      <c r="AC32" s="161"/>
      <c r="AD32" s="36"/>
      <c r="AE32" s="36"/>
    </row>
    <row r="33" spans="1:28" s="131" customFormat="1" x14ac:dyDescent="0.25">
      <c r="A33" s="134">
        <v>16</v>
      </c>
      <c r="C33" s="132" t="str">
        <f>+C25</f>
        <v xml:space="preserve">  General &amp; Intangible</v>
      </c>
      <c r="D33" s="288" t="s">
        <v>271</v>
      </c>
      <c r="E33" s="149">
        <f t="shared" si="0"/>
        <v>75424942.590000004</v>
      </c>
      <c r="F33" s="135"/>
      <c r="G33" s="135"/>
      <c r="H33" s="156"/>
      <c r="I33" s="135"/>
      <c r="J33" s="149">
        <f>J17-J25</f>
        <v>4706516</v>
      </c>
      <c r="K33" s="135"/>
      <c r="L33" s="156"/>
      <c r="M33" s="133"/>
      <c r="N33" s="51"/>
      <c r="O33" s="35"/>
      <c r="P33" s="24"/>
      <c r="Q33" s="36"/>
      <c r="R33" s="36"/>
      <c r="S33" s="36"/>
      <c r="T33" s="36"/>
      <c r="U33" s="36"/>
      <c r="V33" s="36"/>
      <c r="W33" s="36"/>
      <c r="X33" s="70"/>
      <c r="Y33" s="70"/>
      <c r="Z33" s="36"/>
      <c r="AA33" s="70"/>
      <c r="AB33" s="70"/>
    </row>
    <row r="34" spans="1:28" s="131" customFormat="1" ht="18" x14ac:dyDescent="0.4">
      <c r="A34" s="134">
        <v>17</v>
      </c>
      <c r="C34" s="132" t="str">
        <f>+C26</f>
        <v xml:space="preserve">  Common</v>
      </c>
      <c r="D34" s="288" t="s">
        <v>272</v>
      </c>
      <c r="E34" s="176">
        <f t="shared" si="0"/>
        <v>78509681.400000006</v>
      </c>
      <c r="F34" s="135"/>
      <c r="G34" s="135"/>
      <c r="H34" s="156"/>
      <c r="I34" s="135"/>
      <c r="J34" s="176">
        <f>J18-J26</f>
        <v>4552776</v>
      </c>
      <c r="K34" s="135"/>
      <c r="L34" s="156"/>
      <c r="M34" s="133"/>
      <c r="N34" s="51"/>
      <c r="O34" s="35"/>
      <c r="P34" s="24"/>
      <c r="Q34" s="36"/>
      <c r="R34" s="36"/>
      <c r="S34" s="36"/>
      <c r="T34" s="36"/>
      <c r="U34" s="36"/>
      <c r="V34" s="36"/>
      <c r="W34" s="36"/>
      <c r="X34" s="70"/>
      <c r="Y34" s="36"/>
      <c r="Z34" s="36"/>
      <c r="AA34" s="36"/>
      <c r="AB34" s="70"/>
    </row>
    <row r="35" spans="1:28" s="131" customFormat="1" x14ac:dyDescent="0.25">
      <c r="A35" s="134">
        <v>18</v>
      </c>
      <c r="C35" s="154" t="s">
        <v>171</v>
      </c>
      <c r="D35" s="288" t="s">
        <v>273</v>
      </c>
      <c r="E35" s="175">
        <f>ROUND(SUM(E30:E34),0)</f>
        <v>7446097552</v>
      </c>
      <c r="F35" s="135"/>
      <c r="G35" s="135" t="s">
        <v>321</v>
      </c>
      <c r="H35" s="155">
        <f>ROUND(J35/E35,5)</f>
        <v>8.2869999999999999E-2</v>
      </c>
      <c r="I35" s="135"/>
      <c r="J35" s="175">
        <f>ROUND(SUM(J31,J33:J34),0)</f>
        <v>617065403</v>
      </c>
      <c r="K35" s="135"/>
      <c r="L35" s="135"/>
      <c r="M35" s="133"/>
      <c r="N35" s="162"/>
      <c r="O35" s="51"/>
      <c r="P35" s="24"/>
      <c r="Q35" s="36"/>
      <c r="R35" s="36"/>
      <c r="S35" s="36"/>
      <c r="T35" s="36"/>
      <c r="U35" s="36"/>
      <c r="V35" s="36"/>
      <c r="W35" s="36"/>
      <c r="X35" s="70"/>
      <c r="Y35" s="36"/>
      <c r="Z35" s="36"/>
      <c r="AA35" s="36"/>
      <c r="AB35" s="36"/>
    </row>
    <row r="36" spans="1:28" s="131" customFormat="1" x14ac:dyDescent="0.25">
      <c r="A36" s="134"/>
      <c r="D36" s="135"/>
      <c r="E36" s="149"/>
      <c r="F36" s="135"/>
      <c r="I36" s="135"/>
      <c r="J36" s="149"/>
      <c r="K36" s="135"/>
      <c r="L36" s="156"/>
      <c r="M36" s="133"/>
      <c r="N36" s="51"/>
      <c r="O36" s="51"/>
      <c r="P36" s="24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70"/>
    </row>
    <row r="37" spans="1:28" s="131" customFormat="1" x14ac:dyDescent="0.25">
      <c r="A37" s="134"/>
      <c r="C37" s="154" t="s">
        <v>191</v>
      </c>
      <c r="D37" s="288" t="s">
        <v>253</v>
      </c>
      <c r="E37" s="149"/>
      <c r="F37" s="135"/>
      <c r="G37" s="135"/>
      <c r="H37" s="135"/>
      <c r="I37" s="135"/>
      <c r="J37" s="149"/>
      <c r="K37" s="135"/>
      <c r="L37" s="135"/>
      <c r="M37" s="133"/>
      <c r="N37" s="51"/>
      <c r="O37" s="51"/>
      <c r="P37" s="24"/>
      <c r="Q37" s="36"/>
      <c r="R37" s="36"/>
      <c r="S37" s="36"/>
      <c r="T37" s="36"/>
      <c r="U37" s="36"/>
      <c r="V37" s="51"/>
      <c r="W37" s="36"/>
      <c r="X37" s="36"/>
      <c r="Y37" s="36"/>
      <c r="Z37" s="36"/>
      <c r="AA37" s="36"/>
      <c r="AB37" s="36"/>
    </row>
    <row r="38" spans="1:28" s="131" customFormat="1" x14ac:dyDescent="0.25">
      <c r="A38" s="134">
        <v>19</v>
      </c>
      <c r="C38" s="132" t="s">
        <v>44</v>
      </c>
      <c r="D38" s="268" t="s">
        <v>380</v>
      </c>
      <c r="E38" s="543">
        <f>'OATT Input Data'!$E$121*-1</f>
        <v>0</v>
      </c>
      <c r="F38" s="9"/>
      <c r="G38" s="135" t="s">
        <v>32</v>
      </c>
      <c r="H38" s="182"/>
      <c r="I38" s="135"/>
      <c r="J38" s="175"/>
      <c r="K38" s="135"/>
      <c r="L38" s="156"/>
      <c r="M38" s="133"/>
      <c r="N38" s="163"/>
      <c r="O38" s="35"/>
      <c r="P38" s="51"/>
      <c r="Q38" s="51"/>
      <c r="R38" s="36"/>
      <c r="S38" s="152"/>
      <c r="T38" s="152"/>
      <c r="U38" s="152"/>
      <c r="V38" s="152"/>
      <c r="W38" s="36"/>
      <c r="X38" s="36"/>
      <c r="Y38" s="36"/>
      <c r="Z38" s="36"/>
      <c r="AA38" s="36"/>
      <c r="AB38" s="36"/>
    </row>
    <row r="39" spans="1:28" s="131" customFormat="1" x14ac:dyDescent="0.25">
      <c r="A39" s="134">
        <f>A38+1</f>
        <v>20</v>
      </c>
      <c r="C39" s="132" t="s">
        <v>45</v>
      </c>
      <c r="D39" s="268" t="s">
        <v>261</v>
      </c>
      <c r="E39" s="53">
        <f>'OATT Input Data'!$E$122*-1</f>
        <v>-1528425672</v>
      </c>
      <c r="F39" s="135"/>
      <c r="G39" s="135" t="s">
        <v>46</v>
      </c>
      <c r="H39" s="148">
        <f>+H35</f>
        <v>8.2869999999999999E-2</v>
      </c>
      <c r="I39" s="135"/>
      <c r="J39" s="175">
        <f t="shared" ref="J39:J46" si="1">ROUND(E39*H39,0)</f>
        <v>-126660635</v>
      </c>
      <c r="K39" s="135"/>
      <c r="L39" s="156"/>
      <c r="M39" s="133"/>
      <c r="N39" s="163"/>
      <c r="O39" s="35"/>
      <c r="P39" s="51"/>
      <c r="Q39" s="51"/>
      <c r="R39" s="36"/>
      <c r="S39" s="151"/>
      <c r="T39" s="152"/>
      <c r="U39" s="151"/>
      <c r="V39" s="152"/>
      <c r="W39" s="36"/>
      <c r="X39" s="36"/>
      <c r="Y39" s="36"/>
      <c r="Z39" s="36"/>
      <c r="AA39" s="36"/>
      <c r="AB39" s="36"/>
    </row>
    <row r="40" spans="1:28" s="131" customFormat="1" x14ac:dyDescent="0.25">
      <c r="A40" s="134">
        <f>A39+1</f>
        <v>21</v>
      </c>
      <c r="C40" s="132" t="s">
        <v>47</v>
      </c>
      <c r="D40" s="267" t="s">
        <v>262</v>
      </c>
      <c r="E40" s="53">
        <f>'OATT Input Data'!$E$126*-1</f>
        <v>-240437848</v>
      </c>
      <c r="F40" s="135"/>
      <c r="G40" s="135" t="s">
        <v>46</v>
      </c>
      <c r="H40" s="148">
        <f>+H39</f>
        <v>8.2869999999999999E-2</v>
      </c>
      <c r="I40" s="135"/>
      <c r="J40" s="149">
        <f t="shared" si="1"/>
        <v>-19925084</v>
      </c>
      <c r="K40" s="135"/>
      <c r="L40" s="156"/>
      <c r="M40" s="133"/>
      <c r="N40" s="496"/>
      <c r="O40" s="35"/>
      <c r="P40" s="51"/>
      <c r="Q40" s="51"/>
      <c r="R40" s="36"/>
      <c r="S40" s="151"/>
      <c r="T40" s="151"/>
      <c r="U40" s="151"/>
      <c r="V40" s="151"/>
      <c r="W40" s="36"/>
      <c r="X40" s="36"/>
      <c r="Y40" s="36"/>
      <c r="Z40" s="36"/>
      <c r="AA40" s="36"/>
      <c r="AB40" s="36"/>
    </row>
    <row r="41" spans="1:28" s="131" customFormat="1" x14ac:dyDescent="0.25">
      <c r="A41" s="134">
        <f>A40+1</f>
        <v>22</v>
      </c>
      <c r="C41" s="132" t="s">
        <v>48</v>
      </c>
      <c r="D41" s="267" t="s">
        <v>263</v>
      </c>
      <c r="E41" s="53">
        <f>'OATT Input Data'!$E$130</f>
        <v>347221899</v>
      </c>
      <c r="F41" s="135"/>
      <c r="G41" s="135" t="str">
        <f>+G40</f>
        <v>NP</v>
      </c>
      <c r="H41" s="148">
        <f>+H40</f>
        <v>8.2869999999999999E-2</v>
      </c>
      <c r="I41" s="135"/>
      <c r="J41" s="149">
        <f t="shared" si="1"/>
        <v>28774279</v>
      </c>
      <c r="K41" s="135"/>
      <c r="L41" s="156"/>
      <c r="M41" s="133"/>
      <c r="N41" s="496"/>
      <c r="O41" s="35"/>
      <c r="P41" s="51"/>
      <c r="Q41" s="51"/>
      <c r="R41" s="36"/>
      <c r="S41" s="151"/>
      <c r="T41" s="151"/>
      <c r="U41" s="151"/>
      <c r="V41" s="151"/>
      <c r="W41" s="36"/>
      <c r="X41" s="36"/>
      <c r="Y41" s="36"/>
      <c r="Z41" s="36"/>
      <c r="AA41" s="36"/>
      <c r="AB41" s="36"/>
    </row>
    <row r="42" spans="1:28" s="131" customFormat="1" x14ac:dyDescent="0.25">
      <c r="A42" s="134">
        <f>A41+1</f>
        <v>23</v>
      </c>
      <c r="C42" s="131" t="s">
        <v>49</v>
      </c>
      <c r="D42" s="268" t="s">
        <v>264</v>
      </c>
      <c r="E42" s="544">
        <f>'OATT Input Data'!$E$131*-1</f>
        <v>0</v>
      </c>
      <c r="F42" s="135"/>
      <c r="G42" s="135" t="s">
        <v>46</v>
      </c>
      <c r="H42" s="148">
        <f>+H40</f>
        <v>8.2869999999999999E-2</v>
      </c>
      <c r="I42" s="135"/>
      <c r="J42" s="546">
        <f t="shared" si="1"/>
        <v>0</v>
      </c>
      <c r="K42" s="135"/>
      <c r="L42" s="156"/>
      <c r="M42" s="133"/>
      <c r="N42" s="497"/>
      <c r="O42" s="35"/>
      <c r="P42" s="51"/>
      <c r="Q42" s="5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131" customFormat="1" x14ac:dyDescent="0.25">
      <c r="A43" s="134">
        <f t="shared" ref="A43:A47" si="2">A42+1</f>
        <v>24</v>
      </c>
      <c r="C43" s="2" t="s">
        <v>50</v>
      </c>
      <c r="D43" s="289" t="s">
        <v>287</v>
      </c>
      <c r="E43" s="544">
        <f>'OATT Input Data'!$E$146*-1</f>
        <v>-2118536</v>
      </c>
      <c r="F43" s="135"/>
      <c r="G43" s="135" t="str">
        <f>G15</f>
        <v>TP</v>
      </c>
      <c r="H43" s="158">
        <f>H15</f>
        <v>0.95489000000000002</v>
      </c>
      <c r="I43" s="135"/>
      <c r="J43" s="546">
        <f t="shared" si="1"/>
        <v>-2022969</v>
      </c>
      <c r="K43" s="135"/>
      <c r="L43" s="156"/>
      <c r="M43" s="133"/>
      <c r="N43" s="497"/>
      <c r="O43" s="35"/>
      <c r="P43" s="51"/>
      <c r="Q43" s="5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s="131" customFormat="1" x14ac:dyDescent="0.25">
      <c r="A44" s="134">
        <f t="shared" si="2"/>
        <v>25</v>
      </c>
      <c r="C44" s="285" t="s">
        <v>51</v>
      </c>
      <c r="D44" s="289" t="s">
        <v>287</v>
      </c>
      <c r="E44" s="53">
        <f>'OATT Input Data'!$E$153*-1</f>
        <v>-8056328.6920770183</v>
      </c>
      <c r="F44" s="135"/>
      <c r="G44" s="135"/>
      <c r="H44" s="165">
        <v>1</v>
      </c>
      <c r="I44" s="135"/>
      <c r="J44" s="149">
        <f t="shared" si="1"/>
        <v>-8056329</v>
      </c>
      <c r="K44" s="135"/>
      <c r="L44" s="156"/>
      <c r="M44" s="133"/>
      <c r="N44" s="498"/>
      <c r="O44" s="35"/>
      <c r="P44" s="51"/>
      <c r="Q44" s="5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s="131" customFormat="1" x14ac:dyDescent="0.25">
      <c r="A45" s="134">
        <f t="shared" si="2"/>
        <v>26</v>
      </c>
      <c r="C45" s="284" t="s">
        <v>183</v>
      </c>
      <c r="E45" s="53">
        <f>'OATT Input Data'!$E$135*-1</f>
        <v>-576882.12</v>
      </c>
      <c r="F45" s="135"/>
      <c r="G45" s="135" t="str">
        <f>$G$15</f>
        <v>TP</v>
      </c>
      <c r="H45" s="158">
        <f>$H$15</f>
        <v>0.95489000000000002</v>
      </c>
      <c r="I45" s="135"/>
      <c r="J45" s="149">
        <f t="shared" si="1"/>
        <v>-550859</v>
      </c>
      <c r="K45" s="135"/>
      <c r="L45" s="156"/>
      <c r="M45" s="133"/>
      <c r="N45" s="498"/>
      <c r="O45" s="35"/>
      <c r="P45" s="51"/>
      <c r="Q45" s="51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s="131" customFormat="1" ht="18" x14ac:dyDescent="0.4">
      <c r="A46" s="134">
        <f t="shared" si="2"/>
        <v>27</v>
      </c>
      <c r="C46" s="284" t="s">
        <v>184</v>
      </c>
      <c r="E46" s="545">
        <f>'OATT Input Data'!$E$139*-1</f>
        <v>0</v>
      </c>
      <c r="F46" s="135"/>
      <c r="G46" s="135" t="str">
        <f>$G$18</f>
        <v>CE</v>
      </c>
      <c r="H46" s="158">
        <f>$H$18</f>
        <v>5.799E-2</v>
      </c>
      <c r="I46" s="135"/>
      <c r="J46" s="547">
        <f t="shared" si="1"/>
        <v>0</v>
      </c>
      <c r="K46" s="135"/>
      <c r="L46" s="156"/>
      <c r="M46" s="133"/>
      <c r="N46" s="498"/>
      <c r="O46" s="35"/>
      <c r="P46" s="51"/>
      <c r="Q46" s="5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131" customFormat="1" x14ac:dyDescent="0.25">
      <c r="A47" s="134">
        <f t="shared" si="2"/>
        <v>28</v>
      </c>
      <c r="C47" s="154" t="s">
        <v>192</v>
      </c>
      <c r="D47" s="288" t="s">
        <v>265</v>
      </c>
      <c r="E47" s="175">
        <f>ROUND(SUM(E38:E46),0)</f>
        <v>-1432393368</v>
      </c>
      <c r="F47" s="135"/>
      <c r="G47" s="135"/>
      <c r="H47" s="135"/>
      <c r="I47" s="135"/>
      <c r="J47" s="175">
        <f>ROUND(SUM(J39:J46),0)</f>
        <v>-128441597</v>
      </c>
      <c r="K47" s="135"/>
      <c r="L47" s="135"/>
      <c r="M47" s="133"/>
      <c r="N47" s="166"/>
      <c r="O47" s="51"/>
      <c r="P47" s="24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131" customFormat="1" x14ac:dyDescent="0.25">
      <c r="A48" s="134"/>
      <c r="D48" s="135"/>
      <c r="E48" s="149"/>
      <c r="F48" s="135"/>
      <c r="G48" s="135"/>
      <c r="H48" s="156"/>
      <c r="I48" s="135"/>
      <c r="J48" s="149"/>
      <c r="K48" s="135"/>
      <c r="L48" s="156"/>
      <c r="M48" s="133"/>
      <c r="N48" s="69"/>
      <c r="O48" s="51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50" x14ac:dyDescent="0.25">
      <c r="A49" s="134">
        <f>A47+1</f>
        <v>29</v>
      </c>
      <c r="C49" s="132" t="s">
        <v>260</v>
      </c>
      <c r="D49" s="268" t="s">
        <v>335</v>
      </c>
      <c r="E49" s="543">
        <f>'OATT Input Data'!$E$155*-1</f>
        <v>0</v>
      </c>
      <c r="F49" s="135"/>
      <c r="G49" s="135" t="str">
        <f>+G23</f>
        <v>TP</v>
      </c>
      <c r="H49" s="148">
        <f>+H23</f>
        <v>0.95489000000000002</v>
      </c>
      <c r="I49" s="135"/>
      <c r="J49" s="548">
        <f>ROUND(E49*H49,0)</f>
        <v>0</v>
      </c>
      <c r="K49" s="135"/>
      <c r="L49" s="135"/>
      <c r="M49" s="133"/>
      <c r="N49" s="69"/>
      <c r="O49" s="51"/>
      <c r="P49" s="51"/>
      <c r="Q49" s="51"/>
    </row>
    <row r="50" spans="1:50" x14ac:dyDescent="0.25">
      <c r="A50" s="134"/>
      <c r="C50" s="132"/>
      <c r="D50" s="135"/>
      <c r="E50" s="149"/>
      <c r="F50" s="135"/>
      <c r="G50" s="135"/>
      <c r="H50" s="135"/>
      <c r="I50" s="135"/>
      <c r="J50" s="149"/>
      <c r="K50" s="135"/>
      <c r="L50" s="135"/>
      <c r="M50" s="133"/>
      <c r="N50" s="69"/>
      <c r="O50" s="51"/>
      <c r="P50" s="24"/>
    </row>
    <row r="51" spans="1:50" x14ac:dyDescent="0.25">
      <c r="A51" s="134"/>
      <c r="C51" s="154" t="s">
        <v>256</v>
      </c>
      <c r="D51" s="288" t="s">
        <v>255</v>
      </c>
      <c r="E51" s="149"/>
      <c r="F51" s="135"/>
      <c r="G51" s="135"/>
      <c r="H51" s="135"/>
      <c r="I51" s="135"/>
      <c r="J51" s="149"/>
      <c r="K51" s="135"/>
      <c r="L51" s="135"/>
      <c r="M51" s="133"/>
      <c r="N51" s="51"/>
      <c r="O51" s="51"/>
      <c r="P51" s="24"/>
    </row>
    <row r="52" spans="1:50" x14ac:dyDescent="0.25">
      <c r="A52" s="134">
        <f>A49+1</f>
        <v>30</v>
      </c>
      <c r="C52" s="284" t="s">
        <v>169</v>
      </c>
      <c r="D52" s="290" t="s">
        <v>52</v>
      </c>
      <c r="E52" s="152">
        <f>ROUND('NITS Pg 3 of 5'!$E$22/8,0)</f>
        <v>27178344</v>
      </c>
      <c r="F52" s="135"/>
      <c r="G52" s="135"/>
      <c r="H52" s="156"/>
      <c r="I52" s="135"/>
      <c r="J52" s="152">
        <f>ROUND('NITS Pg 3 of 5'!$J$22/8,0)</f>
        <v>5703741</v>
      </c>
      <c r="K52" s="133"/>
      <c r="L52" s="156"/>
      <c r="M52" s="133"/>
      <c r="N52" s="167"/>
      <c r="O52" s="168"/>
      <c r="P52" s="24"/>
    </row>
    <row r="53" spans="1:50" x14ac:dyDescent="0.25">
      <c r="A53" s="134">
        <f>A52+1</f>
        <v>31</v>
      </c>
      <c r="C53" s="284" t="s">
        <v>257</v>
      </c>
      <c r="D53" s="268" t="s">
        <v>384</v>
      </c>
      <c r="E53" s="53">
        <f>'OATT Input Data'!$E$161</f>
        <v>8335997.5970423017</v>
      </c>
      <c r="F53" s="135"/>
      <c r="G53" s="135" t="s">
        <v>53</v>
      </c>
      <c r="H53" s="148">
        <f>'NITS Pg 4 of 5'!$J$25</f>
        <v>0.86341000000000001</v>
      </c>
      <c r="I53" s="135"/>
      <c r="J53" s="149">
        <f t="shared" ref="J53:J54" si="3">ROUND(E53*H53,0)</f>
        <v>7197384</v>
      </c>
      <c r="K53" s="135" t="s">
        <v>0</v>
      </c>
      <c r="L53" s="156"/>
      <c r="M53" s="133"/>
      <c r="N53" s="169"/>
      <c r="O53" s="168"/>
      <c r="P53" s="54"/>
      <c r="Q53" s="54"/>
    </row>
    <row r="54" spans="1:50" ht="18" x14ac:dyDescent="0.4">
      <c r="A54" s="134">
        <f t="shared" ref="A54:A55" si="4">A53+1</f>
        <v>32</v>
      </c>
      <c r="C54" s="285" t="s">
        <v>170</v>
      </c>
      <c r="D54" s="268" t="s">
        <v>420</v>
      </c>
      <c r="E54" s="177">
        <f>'OATT Input Data'!$E$166</f>
        <v>15266260</v>
      </c>
      <c r="F54" s="135"/>
      <c r="G54" s="135" t="s">
        <v>54</v>
      </c>
      <c r="H54" s="148">
        <f>+H19</f>
        <v>8.7929999999999994E-2</v>
      </c>
      <c r="I54" s="135"/>
      <c r="J54" s="176">
        <f t="shared" si="3"/>
        <v>1342362</v>
      </c>
      <c r="K54" s="135"/>
      <c r="L54" s="156"/>
      <c r="M54" s="133"/>
      <c r="N54" s="169"/>
      <c r="O54" s="35"/>
      <c r="P54" s="54"/>
      <c r="Q54" s="54"/>
    </row>
    <row r="55" spans="1:50" x14ac:dyDescent="0.25">
      <c r="A55" s="134">
        <f t="shared" si="4"/>
        <v>33</v>
      </c>
      <c r="C55" s="154" t="s">
        <v>193</v>
      </c>
      <c r="D55" s="288" t="str">
        <f>"Sum of Ls. "&amp;A52&amp;" - "&amp;A54</f>
        <v>Sum of Ls. 30 - 32</v>
      </c>
      <c r="E55" s="175">
        <f>ROUND(SUM(E52:E54),0)</f>
        <v>50780602</v>
      </c>
      <c r="F55" s="133"/>
      <c r="G55" s="133"/>
      <c r="H55" s="133"/>
      <c r="I55" s="133"/>
      <c r="J55" s="175">
        <f>ROUND(SUM(J52:J54),0)</f>
        <v>14243487</v>
      </c>
      <c r="K55" s="133"/>
      <c r="L55" s="133"/>
      <c r="M55" s="133"/>
      <c r="N55" s="160"/>
      <c r="O55" s="51"/>
      <c r="P55" s="24"/>
    </row>
    <row r="56" spans="1:50" x14ac:dyDescent="0.25">
      <c r="D56" s="135"/>
      <c r="E56" s="149"/>
      <c r="F56" s="135"/>
      <c r="G56" s="135"/>
      <c r="H56" s="135"/>
      <c r="I56" s="135"/>
      <c r="J56" s="149"/>
      <c r="K56" s="135"/>
      <c r="L56" s="135"/>
      <c r="M56" s="133"/>
      <c r="N56" s="51"/>
      <c r="O56" s="51"/>
      <c r="P56" s="24"/>
    </row>
    <row r="57" spans="1:50" x14ac:dyDescent="0.25">
      <c r="A57" s="134">
        <f>A55+1</f>
        <v>34</v>
      </c>
      <c r="C57" s="132" t="s">
        <v>258</v>
      </c>
      <c r="D57" s="288" t="s">
        <v>259</v>
      </c>
      <c r="E57" s="178">
        <f>ROUND(E55+E49+E47+E35,0)</f>
        <v>6064484786</v>
      </c>
      <c r="F57" s="135"/>
      <c r="G57" s="135"/>
      <c r="H57" s="156"/>
      <c r="I57" s="135"/>
      <c r="J57" s="178">
        <f>ROUND(J55+J49+J47+J35,0)</f>
        <v>502867293</v>
      </c>
      <c r="K57" s="135"/>
      <c r="L57" s="156"/>
      <c r="M57" s="135"/>
      <c r="N57" s="51"/>
      <c r="O57" s="51"/>
      <c r="P57" s="24"/>
    </row>
    <row r="58" spans="1:50" x14ac:dyDescent="0.25">
      <c r="A58" s="134"/>
      <c r="C58" s="132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51"/>
      <c r="O58" s="51"/>
      <c r="P58" s="24"/>
    </row>
    <row r="59" spans="1:50" x14ac:dyDescent="0.25">
      <c r="Q59" s="86"/>
      <c r="R59" s="86"/>
      <c r="S59" s="86"/>
      <c r="AR59" s="1"/>
      <c r="AS59" s="1"/>
      <c r="AT59" s="1"/>
      <c r="AU59" s="1"/>
      <c r="AV59" s="1"/>
      <c r="AW59" s="1"/>
      <c r="AX59" s="1"/>
    </row>
    <row r="60" spans="1:50" x14ac:dyDescent="0.25">
      <c r="Q60" s="86"/>
      <c r="R60" s="86"/>
      <c r="S60" s="86"/>
      <c r="AR60" s="1"/>
      <c r="AS60" s="1"/>
      <c r="AT60" s="1"/>
      <c r="AU60" s="1"/>
      <c r="AV60" s="1"/>
      <c r="AW60" s="1"/>
      <c r="AX60" s="1"/>
    </row>
    <row r="61" spans="1:50" x14ac:dyDescent="0.25">
      <c r="Q61" s="86"/>
      <c r="R61" s="86"/>
      <c r="S61" s="86"/>
      <c r="AR61" s="1"/>
      <c r="AS61" s="1"/>
      <c r="AT61" s="1"/>
      <c r="AU61" s="1"/>
      <c r="AV61" s="1"/>
      <c r="AW61" s="1"/>
      <c r="AX61" s="1"/>
    </row>
    <row r="62" spans="1:50" x14ac:dyDescent="0.25">
      <c r="Q62" s="86"/>
      <c r="R62" s="86"/>
      <c r="S62" s="86"/>
      <c r="AR62" s="1"/>
      <c r="AS62" s="1"/>
      <c r="AT62" s="1"/>
      <c r="AU62" s="1"/>
      <c r="AV62" s="1"/>
      <c r="AW62" s="1"/>
      <c r="AX62" s="1"/>
    </row>
    <row r="63" spans="1:50" x14ac:dyDescent="0.25">
      <c r="Q63" s="86"/>
      <c r="R63" s="86"/>
      <c r="S63" s="86"/>
      <c r="AR63" s="1"/>
      <c r="AS63" s="1"/>
      <c r="AT63" s="1"/>
      <c r="AU63" s="1"/>
      <c r="AV63" s="1"/>
      <c r="AW63" s="1"/>
      <c r="AX63" s="1"/>
    </row>
    <row r="64" spans="1:50" x14ac:dyDescent="0.25">
      <c r="Q64" s="86"/>
      <c r="R64" s="86"/>
      <c r="S64" s="86"/>
      <c r="AR64" s="1"/>
      <c r="AS64" s="1"/>
      <c r="AT64" s="1"/>
      <c r="AU64" s="1"/>
      <c r="AV64" s="1"/>
      <c r="AW64" s="1"/>
      <c r="AX64" s="1"/>
    </row>
    <row r="65" spans="17:50" s="131" customFormat="1" x14ac:dyDescent="0.25">
      <c r="Q65" s="86"/>
      <c r="R65" s="86"/>
      <c r="S65" s="8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"/>
      <c r="AS65" s="1"/>
      <c r="AT65" s="1"/>
      <c r="AU65" s="1"/>
      <c r="AV65" s="1"/>
      <c r="AW65" s="1"/>
      <c r="AX65" s="1"/>
    </row>
    <row r="66" spans="17:50" s="131" customFormat="1" x14ac:dyDescent="0.25">
      <c r="Q66" s="86"/>
      <c r="R66" s="86"/>
      <c r="S66" s="8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1"/>
      <c r="AS66" s="1"/>
      <c r="AT66" s="1"/>
      <c r="AU66" s="1"/>
      <c r="AV66" s="1"/>
      <c r="AW66" s="1"/>
      <c r="AX66" s="1"/>
    </row>
    <row r="67" spans="17:50" s="131" customFormat="1" x14ac:dyDescent="0.25">
      <c r="Q67" s="86"/>
      <c r="R67" s="86"/>
      <c r="S67" s="8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"/>
      <c r="AS67" s="1"/>
      <c r="AT67" s="1"/>
      <c r="AU67" s="1"/>
      <c r="AV67" s="1"/>
      <c r="AW67" s="1"/>
      <c r="AX67" s="1"/>
    </row>
    <row r="68" spans="17:50" s="131" customFormat="1" x14ac:dyDescent="0.25">
      <c r="Q68" s="86"/>
      <c r="R68" s="86"/>
      <c r="S68" s="8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1"/>
      <c r="AS68" s="1"/>
      <c r="AT68" s="1"/>
      <c r="AU68" s="1"/>
      <c r="AV68" s="1"/>
      <c r="AW68" s="1"/>
      <c r="AX68" s="1"/>
    </row>
    <row r="69" spans="17:50" s="131" customFormat="1" x14ac:dyDescent="0.25">
      <c r="Q69" s="86"/>
      <c r="R69" s="86"/>
      <c r="S69" s="8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1"/>
      <c r="AS69" s="1"/>
      <c r="AT69" s="1"/>
      <c r="AU69" s="1"/>
      <c r="AV69" s="1"/>
      <c r="AW69" s="1"/>
      <c r="AX69" s="1"/>
    </row>
    <row r="70" spans="17:50" s="131" customFormat="1" x14ac:dyDescent="0.25">
      <c r="Q70" s="86"/>
      <c r="R70" s="86"/>
      <c r="S70" s="8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1"/>
      <c r="AS70" s="1"/>
      <c r="AT70" s="1"/>
      <c r="AU70" s="1"/>
      <c r="AV70" s="1"/>
      <c r="AW70" s="1"/>
      <c r="AX70" s="1"/>
    </row>
    <row r="71" spans="17:50" s="131" customFormat="1" x14ac:dyDescent="0.25">
      <c r="Q71" s="86"/>
      <c r="R71" s="86"/>
      <c r="S71" s="8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1"/>
      <c r="AS71" s="1"/>
      <c r="AT71" s="1"/>
      <c r="AU71" s="1"/>
      <c r="AV71" s="1"/>
      <c r="AW71" s="1"/>
      <c r="AX71" s="1"/>
    </row>
    <row r="72" spans="17:50" s="131" customFormat="1" x14ac:dyDescent="0.25">
      <c r="Q72" s="86"/>
      <c r="R72" s="86"/>
      <c r="S72" s="8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1"/>
      <c r="AS72" s="1"/>
      <c r="AT72" s="1"/>
      <c r="AU72" s="1"/>
      <c r="AV72" s="1"/>
      <c r="AW72" s="1"/>
      <c r="AX72" s="1"/>
    </row>
    <row r="73" spans="17:50" s="131" customFormat="1" x14ac:dyDescent="0.25">
      <c r="Q73" s="86"/>
      <c r="R73" s="86"/>
      <c r="S73" s="8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1"/>
      <c r="AS73" s="1"/>
      <c r="AT73" s="1"/>
      <c r="AU73" s="1"/>
      <c r="AV73" s="1"/>
      <c r="AW73" s="1"/>
      <c r="AX73" s="1"/>
    </row>
    <row r="74" spans="17:50" s="131" customFormat="1" x14ac:dyDescent="0.25">
      <c r="Q74" s="86"/>
      <c r="R74" s="86"/>
      <c r="S74" s="8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1"/>
      <c r="AS74" s="1"/>
      <c r="AT74" s="1"/>
      <c r="AU74" s="1"/>
      <c r="AV74" s="1"/>
      <c r="AW74" s="1"/>
      <c r="AX74" s="1"/>
    </row>
    <row r="75" spans="17:50" s="131" customFormat="1" x14ac:dyDescent="0.25">
      <c r="Q75" s="86"/>
      <c r="R75" s="86"/>
      <c r="S75" s="8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1"/>
      <c r="AS75" s="1"/>
      <c r="AT75" s="1"/>
      <c r="AU75" s="1"/>
      <c r="AV75" s="1"/>
      <c r="AW75" s="1"/>
      <c r="AX75" s="1"/>
    </row>
    <row r="76" spans="17:50" s="131" customFormat="1" x14ac:dyDescent="0.25">
      <c r="Q76" s="86"/>
      <c r="R76" s="86"/>
      <c r="S76" s="8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1"/>
      <c r="AS76" s="1"/>
      <c r="AT76" s="1"/>
      <c r="AU76" s="1"/>
      <c r="AV76" s="1"/>
      <c r="AW76" s="1"/>
      <c r="AX76" s="1"/>
    </row>
    <row r="77" spans="17:50" s="131" customFormat="1" x14ac:dyDescent="0.25">
      <c r="Q77" s="86"/>
      <c r="R77" s="86"/>
      <c r="S77" s="8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1"/>
      <c r="AS77" s="1"/>
      <c r="AT77" s="1"/>
      <c r="AU77" s="1"/>
      <c r="AV77" s="1"/>
      <c r="AW77" s="1"/>
      <c r="AX77" s="1"/>
    </row>
    <row r="78" spans="17:50" s="131" customFormat="1" x14ac:dyDescent="0.25">
      <c r="Q78" s="86"/>
      <c r="R78" s="86"/>
      <c r="S78" s="8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1"/>
      <c r="AS78" s="1"/>
      <c r="AT78" s="1"/>
      <c r="AU78" s="1"/>
      <c r="AV78" s="1"/>
      <c r="AW78" s="1"/>
      <c r="AX78" s="1"/>
    </row>
    <row r="79" spans="17:50" s="131" customFormat="1" x14ac:dyDescent="0.25">
      <c r="Q79" s="86"/>
      <c r="R79" s="86"/>
      <c r="S79" s="8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1"/>
      <c r="AS79" s="1"/>
      <c r="AT79" s="1"/>
      <c r="AU79" s="1"/>
      <c r="AV79" s="1"/>
      <c r="AW79" s="1"/>
      <c r="AX79" s="1"/>
    </row>
    <row r="80" spans="17:50" s="131" customFormat="1" x14ac:dyDescent="0.25">
      <c r="Q80" s="86"/>
      <c r="R80" s="86"/>
      <c r="S80" s="8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1"/>
      <c r="AS80" s="1"/>
      <c r="AT80" s="1"/>
      <c r="AU80" s="1"/>
      <c r="AV80" s="1"/>
      <c r="AW80" s="1"/>
      <c r="AX80" s="1"/>
    </row>
    <row r="81" spans="17:50" s="131" customFormat="1" x14ac:dyDescent="0.25">
      <c r="Q81" s="86"/>
      <c r="R81" s="86"/>
      <c r="S81" s="8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"/>
      <c r="AS81" s="1"/>
      <c r="AT81" s="1"/>
      <c r="AU81" s="1"/>
      <c r="AV81" s="1"/>
      <c r="AW81" s="1"/>
      <c r="AX81" s="1"/>
    </row>
    <row r="82" spans="17:50" s="131" customFormat="1" x14ac:dyDescent="0.25">
      <c r="Q82" s="86"/>
      <c r="R82" s="86"/>
      <c r="S82" s="8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1"/>
      <c r="AS82" s="1"/>
      <c r="AT82" s="1"/>
      <c r="AU82" s="1"/>
      <c r="AV82" s="1"/>
      <c r="AW82" s="1"/>
      <c r="AX82" s="1"/>
    </row>
    <row r="83" spans="17:50" s="131" customFormat="1" x14ac:dyDescent="0.25">
      <c r="Q83" s="86"/>
      <c r="R83" s="86"/>
      <c r="S83" s="8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1"/>
      <c r="AS83" s="1"/>
      <c r="AT83" s="1"/>
      <c r="AU83" s="1"/>
      <c r="AV83" s="1"/>
      <c r="AW83" s="1"/>
      <c r="AX83" s="1"/>
    </row>
    <row r="84" spans="17:50" s="131" customFormat="1" x14ac:dyDescent="0.25">
      <c r="Q84" s="86"/>
      <c r="R84" s="86"/>
      <c r="S84" s="8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1"/>
      <c r="AS84" s="1"/>
      <c r="AT84" s="1"/>
      <c r="AU84" s="1"/>
      <c r="AV84" s="1"/>
      <c r="AW84" s="1"/>
      <c r="AX84" s="1"/>
    </row>
    <row r="85" spans="17:50" s="131" customFormat="1" x14ac:dyDescent="0.25">
      <c r="Q85" s="86"/>
      <c r="R85" s="86"/>
      <c r="S85" s="8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1"/>
      <c r="AS85" s="1"/>
      <c r="AT85" s="1"/>
      <c r="AU85" s="1"/>
      <c r="AV85" s="1"/>
      <c r="AW85" s="1"/>
      <c r="AX85" s="1"/>
    </row>
    <row r="86" spans="17:50" s="131" customFormat="1" x14ac:dyDescent="0.25">
      <c r="Q86" s="86"/>
      <c r="R86" s="86"/>
      <c r="S86" s="8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1"/>
      <c r="AS86" s="1"/>
      <c r="AT86" s="1"/>
      <c r="AU86" s="1"/>
      <c r="AV86" s="1"/>
      <c r="AW86" s="1"/>
      <c r="AX86" s="1"/>
    </row>
    <row r="87" spans="17:50" s="131" customFormat="1" x14ac:dyDescent="0.25">
      <c r="Q87" s="86"/>
      <c r="R87" s="86"/>
      <c r="S87" s="8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1"/>
      <c r="AS87" s="1"/>
      <c r="AT87" s="1"/>
      <c r="AU87" s="1"/>
      <c r="AV87" s="1"/>
      <c r="AW87" s="1"/>
      <c r="AX87" s="1"/>
    </row>
    <row r="88" spans="17:50" s="131" customFormat="1" x14ac:dyDescent="0.25">
      <c r="Q88" s="86"/>
      <c r="R88" s="86"/>
      <c r="S88" s="8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1"/>
      <c r="AS88" s="1"/>
      <c r="AT88" s="1"/>
      <c r="AU88" s="1"/>
      <c r="AV88" s="1"/>
      <c r="AW88" s="1"/>
      <c r="AX88" s="1"/>
    </row>
    <row r="89" spans="17:50" s="131" customFormat="1" x14ac:dyDescent="0.25">
      <c r="Q89" s="86"/>
      <c r="R89" s="86"/>
      <c r="S89" s="8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1"/>
      <c r="AS89" s="1"/>
      <c r="AT89" s="1"/>
      <c r="AU89" s="1"/>
      <c r="AV89" s="1"/>
      <c r="AW89" s="1"/>
      <c r="AX89" s="1"/>
    </row>
    <row r="90" spans="17:50" s="131" customFormat="1" x14ac:dyDescent="0.25">
      <c r="Q90" s="86"/>
      <c r="R90" s="86"/>
      <c r="S90" s="8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1"/>
      <c r="AS90" s="1"/>
      <c r="AT90" s="1"/>
      <c r="AU90" s="1"/>
      <c r="AV90" s="1"/>
      <c r="AW90" s="1"/>
      <c r="AX90" s="1"/>
    </row>
    <row r="91" spans="17:50" s="131" customFormat="1" x14ac:dyDescent="0.25">
      <c r="Q91" s="86"/>
      <c r="R91" s="86"/>
      <c r="S91" s="8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1"/>
      <c r="AS91" s="1"/>
      <c r="AT91" s="1"/>
      <c r="AU91" s="1"/>
      <c r="AV91" s="1"/>
      <c r="AW91" s="1"/>
      <c r="AX91" s="1"/>
    </row>
    <row r="92" spans="17:50" s="131" customFormat="1" x14ac:dyDescent="0.25">
      <c r="Q92" s="86"/>
      <c r="R92" s="86"/>
      <c r="S92" s="8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1"/>
      <c r="AS92" s="1"/>
      <c r="AT92" s="1"/>
      <c r="AU92" s="1"/>
      <c r="AV92" s="1"/>
      <c r="AW92" s="1"/>
      <c r="AX92" s="1"/>
    </row>
    <row r="93" spans="17:50" s="131" customFormat="1" x14ac:dyDescent="0.25">
      <c r="Q93" s="86"/>
      <c r="R93" s="86"/>
      <c r="S93" s="8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1"/>
      <c r="AS93" s="1"/>
      <c r="AT93" s="1"/>
      <c r="AU93" s="1"/>
      <c r="AV93" s="1"/>
      <c r="AW93" s="1"/>
      <c r="AX93" s="1"/>
    </row>
    <row r="94" spans="17:50" s="131" customFormat="1" x14ac:dyDescent="0.25">
      <c r="Q94" s="86"/>
      <c r="R94" s="86"/>
      <c r="S94" s="8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1"/>
      <c r="AS94" s="1"/>
      <c r="AT94" s="1"/>
      <c r="AU94" s="1"/>
      <c r="AV94" s="1"/>
      <c r="AW94" s="1"/>
      <c r="AX94" s="1"/>
    </row>
    <row r="95" spans="17:50" s="131" customFormat="1" x14ac:dyDescent="0.25">
      <c r="Q95" s="86"/>
      <c r="R95" s="86"/>
      <c r="S95" s="8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1"/>
      <c r="AS95" s="1"/>
      <c r="AT95" s="1"/>
      <c r="AU95" s="1"/>
      <c r="AV95" s="1"/>
      <c r="AW95" s="1"/>
      <c r="AX95" s="1"/>
    </row>
    <row r="96" spans="17:50" s="131" customFormat="1" x14ac:dyDescent="0.25">
      <c r="Q96" s="86"/>
      <c r="R96" s="86"/>
      <c r="S96" s="8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1"/>
      <c r="AS96" s="1"/>
      <c r="AT96" s="1"/>
      <c r="AU96" s="1"/>
      <c r="AV96" s="1"/>
      <c r="AW96" s="1"/>
      <c r="AX96" s="1"/>
    </row>
    <row r="97" spans="17:50" s="131" customFormat="1" x14ac:dyDescent="0.25">
      <c r="Q97" s="86"/>
      <c r="R97" s="86"/>
      <c r="S97" s="8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1"/>
      <c r="AS97" s="1"/>
      <c r="AT97" s="1"/>
      <c r="AU97" s="1"/>
      <c r="AV97" s="1"/>
      <c r="AW97" s="1"/>
      <c r="AX97" s="1"/>
    </row>
    <row r="98" spans="17:50" s="131" customFormat="1" x14ac:dyDescent="0.25">
      <c r="Q98" s="86"/>
      <c r="R98" s="86"/>
      <c r="S98" s="8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1"/>
      <c r="AS98" s="1"/>
      <c r="AT98" s="1"/>
      <c r="AU98" s="1"/>
      <c r="AV98" s="1"/>
      <c r="AW98" s="1"/>
      <c r="AX98" s="1"/>
    </row>
    <row r="99" spans="17:50" s="131" customFormat="1" x14ac:dyDescent="0.25">
      <c r="Q99" s="86"/>
      <c r="R99" s="86"/>
      <c r="S99" s="8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1"/>
      <c r="AS99" s="1"/>
      <c r="AT99" s="1"/>
      <c r="AU99" s="1"/>
      <c r="AV99" s="1"/>
      <c r="AW99" s="1"/>
      <c r="AX99" s="1"/>
    </row>
    <row r="100" spans="17:50" s="131" customFormat="1" x14ac:dyDescent="0.25">
      <c r="Q100" s="86"/>
      <c r="R100" s="86"/>
      <c r="S100" s="8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1"/>
      <c r="AS100" s="1"/>
      <c r="AT100" s="1"/>
      <c r="AU100" s="1"/>
      <c r="AV100" s="1"/>
      <c r="AW100" s="1"/>
      <c r="AX100" s="1"/>
    </row>
    <row r="101" spans="17:50" s="131" customFormat="1" x14ac:dyDescent="0.25">
      <c r="Q101" s="86"/>
      <c r="R101" s="86"/>
      <c r="S101" s="8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1"/>
      <c r="AS101" s="1"/>
      <c r="AT101" s="1"/>
      <c r="AU101" s="1"/>
      <c r="AV101" s="1"/>
      <c r="AW101" s="1"/>
      <c r="AX101" s="1"/>
    </row>
    <row r="102" spans="17:50" s="131" customFormat="1" x14ac:dyDescent="0.25">
      <c r="Q102" s="86"/>
      <c r="R102" s="86"/>
      <c r="S102" s="8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1"/>
      <c r="AS102" s="1"/>
      <c r="AT102" s="1"/>
      <c r="AU102" s="1"/>
      <c r="AV102" s="1"/>
      <c r="AW102" s="1"/>
      <c r="AX102" s="1"/>
    </row>
    <row r="103" spans="17:50" s="131" customFormat="1" x14ac:dyDescent="0.25">
      <c r="Q103" s="86"/>
      <c r="R103" s="86"/>
      <c r="S103" s="8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1"/>
      <c r="AS103" s="1"/>
      <c r="AT103" s="1"/>
      <c r="AU103" s="1"/>
      <c r="AV103" s="1"/>
      <c r="AW103" s="1"/>
      <c r="AX103" s="1"/>
    </row>
    <row r="104" spans="17:50" s="131" customFormat="1" x14ac:dyDescent="0.25">
      <c r="Q104" s="86"/>
      <c r="R104" s="86"/>
      <c r="S104" s="8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1"/>
      <c r="AS104" s="1"/>
      <c r="AT104" s="1"/>
      <c r="AU104" s="1"/>
      <c r="AV104" s="1"/>
      <c r="AW104" s="1"/>
      <c r="AX104" s="1"/>
    </row>
    <row r="105" spans="17:50" s="131" customFormat="1" x14ac:dyDescent="0.25">
      <c r="Q105" s="86"/>
      <c r="R105" s="86"/>
      <c r="S105" s="8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1"/>
      <c r="AS105" s="1"/>
      <c r="AT105" s="1"/>
      <c r="AU105" s="1"/>
      <c r="AV105" s="1"/>
      <c r="AW105" s="1"/>
      <c r="AX105" s="1"/>
    </row>
    <row r="106" spans="17:50" s="131" customFormat="1" x14ac:dyDescent="0.25">
      <c r="Q106" s="86"/>
      <c r="R106" s="86"/>
      <c r="S106" s="8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1"/>
      <c r="AS106" s="1"/>
      <c r="AT106" s="1"/>
      <c r="AU106" s="1"/>
      <c r="AV106" s="1"/>
      <c r="AW106" s="1"/>
      <c r="AX106" s="1"/>
    </row>
    <row r="107" spans="17:50" s="131" customFormat="1" x14ac:dyDescent="0.25">
      <c r="Q107" s="86"/>
      <c r="R107" s="86"/>
      <c r="S107" s="8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1"/>
      <c r="AS107" s="1"/>
      <c r="AT107" s="1"/>
      <c r="AU107" s="1"/>
      <c r="AV107" s="1"/>
      <c r="AW107" s="1"/>
      <c r="AX107" s="1"/>
    </row>
    <row r="108" spans="17:50" s="131" customFormat="1" x14ac:dyDescent="0.25">
      <c r="Q108" s="86"/>
      <c r="R108" s="86"/>
      <c r="S108" s="8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1"/>
      <c r="AS108" s="1"/>
      <c r="AT108" s="1"/>
      <c r="AU108" s="1"/>
      <c r="AV108" s="1"/>
      <c r="AW108" s="1"/>
      <c r="AX108" s="1"/>
    </row>
    <row r="109" spans="17:50" s="131" customFormat="1" x14ac:dyDescent="0.25">
      <c r="Q109" s="86"/>
      <c r="R109" s="86"/>
      <c r="S109" s="8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1"/>
      <c r="AS109" s="1"/>
      <c r="AT109" s="1"/>
      <c r="AU109" s="1"/>
      <c r="AV109" s="1"/>
      <c r="AW109" s="1"/>
      <c r="AX109" s="1"/>
    </row>
    <row r="110" spans="17:50" s="131" customFormat="1" x14ac:dyDescent="0.25">
      <c r="Q110" s="86"/>
      <c r="R110" s="86"/>
      <c r="S110" s="8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1"/>
      <c r="AS110" s="1"/>
      <c r="AT110" s="1"/>
      <c r="AU110" s="1"/>
      <c r="AV110" s="1"/>
      <c r="AW110" s="1"/>
      <c r="AX110" s="1"/>
    </row>
    <row r="111" spans="17:50" s="131" customFormat="1" x14ac:dyDescent="0.25">
      <c r="Q111" s="86"/>
      <c r="R111" s="86"/>
      <c r="S111" s="8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1"/>
      <c r="AS111" s="1"/>
      <c r="AT111" s="1"/>
      <c r="AU111" s="1"/>
      <c r="AV111" s="1"/>
      <c r="AW111" s="1"/>
      <c r="AX111" s="1"/>
    </row>
    <row r="112" spans="17:50" s="131" customFormat="1" x14ac:dyDescent="0.25">
      <c r="Q112" s="86"/>
      <c r="R112" s="86"/>
      <c r="S112" s="8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1"/>
      <c r="AS112" s="1"/>
      <c r="AT112" s="1"/>
      <c r="AU112" s="1"/>
      <c r="AV112" s="1"/>
      <c r="AW112" s="1"/>
      <c r="AX112" s="1"/>
    </row>
    <row r="113" spans="17:50" s="131" customFormat="1" x14ac:dyDescent="0.25">
      <c r="Q113" s="86"/>
      <c r="R113" s="86"/>
      <c r="S113" s="8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1"/>
      <c r="AS113" s="1"/>
      <c r="AT113" s="1"/>
      <c r="AU113" s="1"/>
      <c r="AV113" s="1"/>
      <c r="AW113" s="1"/>
      <c r="AX113" s="1"/>
    </row>
    <row r="114" spans="17:50" s="131" customFormat="1" x14ac:dyDescent="0.25">
      <c r="Q114" s="86"/>
      <c r="R114" s="86"/>
      <c r="S114" s="8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1"/>
      <c r="AS114" s="1"/>
      <c r="AT114" s="1"/>
      <c r="AU114" s="1"/>
      <c r="AV114" s="1"/>
      <c r="AW114" s="1"/>
      <c r="AX114" s="1"/>
    </row>
    <row r="115" spans="17:50" s="131" customFormat="1" x14ac:dyDescent="0.25">
      <c r="Q115" s="86"/>
      <c r="R115" s="86"/>
      <c r="S115" s="8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1"/>
      <c r="AS115" s="1"/>
      <c r="AT115" s="1"/>
      <c r="AU115" s="1"/>
      <c r="AV115" s="1"/>
      <c r="AW115" s="1"/>
      <c r="AX115" s="1"/>
    </row>
    <row r="116" spans="17:50" s="131" customFormat="1" x14ac:dyDescent="0.25">
      <c r="Q116" s="86"/>
      <c r="R116" s="86"/>
      <c r="S116" s="8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1"/>
      <c r="AS116" s="1"/>
      <c r="AT116" s="1"/>
      <c r="AU116" s="1"/>
      <c r="AV116" s="1"/>
      <c r="AW116" s="1"/>
      <c r="AX116" s="1"/>
    </row>
    <row r="117" spans="17:50" s="131" customFormat="1" x14ac:dyDescent="0.25">
      <c r="Q117" s="86"/>
      <c r="R117" s="86"/>
      <c r="S117" s="8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1"/>
      <c r="AS117" s="1"/>
      <c r="AT117" s="1"/>
      <c r="AU117" s="1"/>
      <c r="AV117" s="1"/>
      <c r="AW117" s="1"/>
      <c r="AX117" s="1"/>
    </row>
    <row r="118" spans="17:50" s="131" customFormat="1" x14ac:dyDescent="0.25">
      <c r="Q118" s="86"/>
      <c r="R118" s="86"/>
      <c r="S118" s="8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1"/>
      <c r="AS118" s="1"/>
      <c r="AT118" s="1"/>
      <c r="AU118" s="1"/>
      <c r="AV118" s="1"/>
      <c r="AW118" s="1"/>
      <c r="AX118" s="1"/>
    </row>
    <row r="119" spans="17:50" s="131" customFormat="1" x14ac:dyDescent="0.25">
      <c r="Q119" s="86"/>
      <c r="R119" s="86"/>
      <c r="S119" s="8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1"/>
      <c r="AS119" s="1"/>
      <c r="AT119" s="1"/>
      <c r="AU119" s="1"/>
      <c r="AV119" s="1"/>
      <c r="AW119" s="1"/>
      <c r="AX119" s="1"/>
    </row>
    <row r="120" spans="17:50" s="131" customFormat="1" x14ac:dyDescent="0.25">
      <c r="Q120" s="86"/>
      <c r="R120" s="86"/>
      <c r="S120" s="8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1"/>
      <c r="AS120" s="1"/>
      <c r="AT120" s="1"/>
      <c r="AU120" s="1"/>
      <c r="AV120" s="1"/>
      <c r="AW120" s="1"/>
      <c r="AX120" s="1"/>
    </row>
    <row r="121" spans="17:50" s="131" customFormat="1" x14ac:dyDescent="0.25">
      <c r="Q121" s="86"/>
      <c r="R121" s="86"/>
      <c r="S121" s="8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1"/>
      <c r="AS121" s="1"/>
      <c r="AT121" s="1"/>
      <c r="AU121" s="1"/>
      <c r="AV121" s="1"/>
      <c r="AW121" s="1"/>
      <c r="AX121" s="1"/>
    </row>
    <row r="122" spans="17:50" s="131" customFormat="1" x14ac:dyDescent="0.25">
      <c r="Q122" s="86"/>
      <c r="R122" s="86"/>
      <c r="S122" s="8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1"/>
      <c r="AS122" s="1"/>
      <c r="AT122" s="1"/>
      <c r="AU122" s="1"/>
      <c r="AV122" s="1"/>
      <c r="AW122" s="1"/>
      <c r="AX122" s="1"/>
    </row>
    <row r="123" spans="17:50" s="131" customFormat="1" x14ac:dyDescent="0.25">
      <c r="Q123" s="86"/>
      <c r="R123" s="86"/>
      <c r="S123" s="8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1"/>
      <c r="AS123" s="1"/>
      <c r="AT123" s="1"/>
      <c r="AU123" s="1"/>
      <c r="AV123" s="1"/>
      <c r="AW123" s="1"/>
      <c r="AX123" s="1"/>
    </row>
    <row r="124" spans="17:50" s="131" customFormat="1" x14ac:dyDescent="0.25">
      <c r="Q124" s="86"/>
      <c r="R124" s="86"/>
      <c r="S124" s="8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1"/>
      <c r="AS124" s="1"/>
      <c r="AT124" s="1"/>
      <c r="AU124" s="1"/>
      <c r="AV124" s="1"/>
      <c r="AW124" s="1"/>
      <c r="AX124" s="1"/>
    </row>
    <row r="125" spans="17:50" s="131" customFormat="1" x14ac:dyDescent="0.25">
      <c r="Q125" s="86"/>
      <c r="R125" s="86"/>
      <c r="S125" s="8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1"/>
      <c r="AS125" s="1"/>
      <c r="AT125" s="1"/>
      <c r="AU125" s="1"/>
      <c r="AV125" s="1"/>
      <c r="AW125" s="1"/>
      <c r="AX125" s="1"/>
    </row>
    <row r="126" spans="17:50" s="131" customFormat="1" x14ac:dyDescent="0.25">
      <c r="Q126" s="86"/>
      <c r="R126" s="86"/>
      <c r="S126" s="8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1"/>
      <c r="AS126" s="1"/>
      <c r="AT126" s="1"/>
      <c r="AU126" s="1"/>
      <c r="AV126" s="1"/>
      <c r="AW126" s="1"/>
      <c r="AX126" s="1"/>
    </row>
    <row r="127" spans="17:50" s="131" customFormat="1" x14ac:dyDescent="0.25">
      <c r="Q127" s="86"/>
      <c r="R127" s="86"/>
      <c r="S127" s="8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1"/>
      <c r="AS127" s="1"/>
      <c r="AT127" s="1"/>
      <c r="AU127" s="1"/>
      <c r="AV127" s="1"/>
      <c r="AW127" s="1"/>
      <c r="AX127" s="1"/>
    </row>
    <row r="128" spans="17:50" s="131" customFormat="1" x14ac:dyDescent="0.25">
      <c r="Q128" s="86"/>
      <c r="R128" s="86"/>
      <c r="S128" s="8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1"/>
      <c r="AS128" s="1"/>
      <c r="AT128" s="1"/>
      <c r="AU128" s="1"/>
      <c r="AV128" s="1"/>
      <c r="AW128" s="1"/>
      <c r="AX128" s="1"/>
    </row>
    <row r="129" spans="17:50" s="131" customFormat="1" x14ac:dyDescent="0.25">
      <c r="Q129" s="86"/>
      <c r="R129" s="86"/>
      <c r="S129" s="8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1"/>
      <c r="AS129" s="1"/>
      <c r="AT129" s="1"/>
      <c r="AU129" s="1"/>
      <c r="AV129" s="1"/>
      <c r="AW129" s="1"/>
      <c r="AX129" s="1"/>
    </row>
    <row r="130" spans="17:50" s="131" customFormat="1" x14ac:dyDescent="0.25">
      <c r="Q130" s="86"/>
      <c r="R130" s="86"/>
      <c r="S130" s="8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1"/>
      <c r="AS130" s="1"/>
      <c r="AT130" s="1"/>
      <c r="AU130" s="1"/>
      <c r="AV130" s="1"/>
      <c r="AW130" s="1"/>
      <c r="AX130" s="1"/>
    </row>
    <row r="131" spans="17:50" s="131" customFormat="1" x14ac:dyDescent="0.25">
      <c r="Q131" s="86"/>
      <c r="R131" s="86"/>
      <c r="S131" s="8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1"/>
      <c r="AS131" s="1"/>
      <c r="AT131" s="1"/>
      <c r="AU131" s="1"/>
      <c r="AV131" s="1"/>
      <c r="AW131" s="1"/>
      <c r="AX131" s="1"/>
    </row>
    <row r="132" spans="17:50" s="131" customFormat="1" x14ac:dyDescent="0.25">
      <c r="Q132" s="86"/>
      <c r="R132" s="86"/>
      <c r="S132" s="8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1"/>
      <c r="AS132" s="1"/>
      <c r="AT132" s="1"/>
      <c r="AU132" s="1"/>
      <c r="AV132" s="1"/>
      <c r="AW132" s="1"/>
      <c r="AX132" s="1"/>
    </row>
    <row r="133" spans="17:50" s="131" customFormat="1" x14ac:dyDescent="0.25">
      <c r="Q133" s="86"/>
      <c r="R133" s="86"/>
      <c r="S133" s="8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1"/>
      <c r="AS133" s="1"/>
      <c r="AT133" s="1"/>
      <c r="AU133" s="1"/>
      <c r="AV133" s="1"/>
      <c r="AW133" s="1"/>
      <c r="AX133" s="1"/>
    </row>
    <row r="134" spans="17:50" s="131" customFormat="1" x14ac:dyDescent="0.25">
      <c r="Q134" s="86"/>
      <c r="R134" s="86"/>
      <c r="S134" s="8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1"/>
      <c r="AS134" s="1"/>
      <c r="AT134" s="1"/>
      <c r="AU134" s="1"/>
      <c r="AV134" s="1"/>
      <c r="AW134" s="1"/>
      <c r="AX134" s="1"/>
    </row>
    <row r="135" spans="17:50" s="131" customFormat="1" x14ac:dyDescent="0.25">
      <c r="Q135" s="86"/>
      <c r="R135" s="86"/>
      <c r="S135" s="8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1"/>
      <c r="AS135" s="1"/>
      <c r="AT135" s="1"/>
      <c r="AU135" s="1"/>
      <c r="AV135" s="1"/>
      <c r="AW135" s="1"/>
      <c r="AX135" s="1"/>
    </row>
    <row r="136" spans="17:50" s="131" customFormat="1" x14ac:dyDescent="0.25">
      <c r="Q136" s="86"/>
      <c r="R136" s="86"/>
      <c r="S136" s="8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1"/>
      <c r="AS136" s="1"/>
      <c r="AT136" s="1"/>
      <c r="AU136" s="1"/>
      <c r="AV136" s="1"/>
      <c r="AW136" s="1"/>
      <c r="AX136" s="1"/>
    </row>
    <row r="137" spans="17:50" s="131" customFormat="1" x14ac:dyDescent="0.25">
      <c r="Q137" s="86"/>
      <c r="R137" s="86"/>
      <c r="S137" s="8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1"/>
      <c r="AS137" s="1"/>
      <c r="AT137" s="1"/>
      <c r="AU137" s="1"/>
      <c r="AV137" s="1"/>
      <c r="AW137" s="1"/>
      <c r="AX137" s="1"/>
    </row>
    <row r="138" spans="17:50" s="131" customFormat="1" x14ac:dyDescent="0.25">
      <c r="Q138" s="86"/>
      <c r="R138" s="86"/>
      <c r="S138" s="8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1"/>
      <c r="AS138" s="1"/>
      <c r="AT138" s="1"/>
      <c r="AU138" s="1"/>
      <c r="AV138" s="1"/>
      <c r="AW138" s="1"/>
      <c r="AX138" s="1"/>
    </row>
    <row r="139" spans="17:50" s="131" customFormat="1" x14ac:dyDescent="0.25">
      <c r="Q139" s="86"/>
      <c r="R139" s="86"/>
      <c r="S139" s="8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1"/>
      <c r="AS139" s="1"/>
      <c r="AT139" s="1"/>
      <c r="AU139" s="1"/>
      <c r="AV139" s="1"/>
      <c r="AW139" s="1"/>
      <c r="AX139" s="1"/>
    </row>
    <row r="140" spans="17:50" s="131" customFormat="1" x14ac:dyDescent="0.25">
      <c r="Q140" s="86"/>
      <c r="R140" s="86"/>
      <c r="S140" s="8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1"/>
      <c r="AS140" s="1"/>
      <c r="AT140" s="1"/>
      <c r="AU140" s="1"/>
      <c r="AV140" s="1"/>
      <c r="AW140" s="1"/>
      <c r="AX140" s="1"/>
    </row>
    <row r="141" spans="17:50" s="131" customFormat="1" x14ac:dyDescent="0.25">
      <c r="Q141" s="86"/>
      <c r="R141" s="86"/>
      <c r="S141" s="8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1"/>
      <c r="AS141" s="1"/>
      <c r="AT141" s="1"/>
      <c r="AU141" s="1"/>
      <c r="AV141" s="1"/>
      <c r="AW141" s="1"/>
      <c r="AX141" s="1"/>
    </row>
    <row r="142" spans="17:50" s="131" customFormat="1" x14ac:dyDescent="0.25">
      <c r="Q142" s="86"/>
      <c r="R142" s="86"/>
      <c r="S142" s="8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1"/>
      <c r="AS142" s="1"/>
      <c r="AT142" s="1"/>
      <c r="AU142" s="1"/>
      <c r="AV142" s="1"/>
      <c r="AW142" s="1"/>
      <c r="AX142" s="1"/>
    </row>
    <row r="143" spans="17:50" s="131" customFormat="1" x14ac:dyDescent="0.25">
      <c r="Q143" s="86"/>
      <c r="R143" s="86"/>
      <c r="S143" s="8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1"/>
      <c r="AS143" s="1"/>
      <c r="AT143" s="1"/>
      <c r="AU143" s="1"/>
      <c r="AV143" s="1"/>
      <c r="AW143" s="1"/>
      <c r="AX143" s="1"/>
    </row>
    <row r="144" spans="17:50" s="131" customFormat="1" x14ac:dyDescent="0.25">
      <c r="Q144" s="86"/>
      <c r="R144" s="86"/>
      <c r="S144" s="8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1"/>
      <c r="AS144" s="1"/>
      <c r="AT144" s="1"/>
      <c r="AU144" s="1"/>
      <c r="AV144" s="1"/>
      <c r="AW144" s="1"/>
      <c r="AX144" s="1"/>
    </row>
    <row r="145" spans="17:50" s="131" customFormat="1" x14ac:dyDescent="0.25">
      <c r="Q145" s="86"/>
      <c r="R145" s="86"/>
      <c r="S145" s="8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1"/>
      <c r="AS145" s="1"/>
      <c r="AT145" s="1"/>
      <c r="AU145" s="1"/>
      <c r="AV145" s="1"/>
      <c r="AW145" s="1"/>
      <c r="AX145" s="1"/>
    </row>
    <row r="146" spans="17:50" s="131" customFormat="1" x14ac:dyDescent="0.25">
      <c r="Q146" s="86"/>
      <c r="R146" s="86"/>
      <c r="S146" s="8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1"/>
      <c r="AS146" s="1"/>
      <c r="AT146" s="1"/>
      <c r="AU146" s="1"/>
      <c r="AV146" s="1"/>
      <c r="AW146" s="1"/>
      <c r="AX146" s="1"/>
    </row>
    <row r="147" spans="17:50" s="131" customFormat="1" x14ac:dyDescent="0.25">
      <c r="Q147" s="86"/>
      <c r="R147" s="86"/>
      <c r="S147" s="8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1"/>
      <c r="AS147" s="1"/>
      <c r="AT147" s="1"/>
      <c r="AU147" s="1"/>
      <c r="AV147" s="1"/>
      <c r="AW147" s="1"/>
      <c r="AX147" s="1"/>
    </row>
    <row r="148" spans="17:50" s="131" customFormat="1" x14ac:dyDescent="0.25">
      <c r="Q148" s="86"/>
      <c r="R148" s="86"/>
      <c r="S148" s="8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1"/>
      <c r="AS148" s="1"/>
      <c r="AT148" s="1"/>
      <c r="AU148" s="1"/>
      <c r="AV148" s="1"/>
      <c r="AW148" s="1"/>
      <c r="AX148" s="1"/>
    </row>
    <row r="149" spans="17:50" s="131" customFormat="1" x14ac:dyDescent="0.25">
      <c r="Q149" s="86"/>
      <c r="R149" s="86"/>
      <c r="S149" s="8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1"/>
      <c r="AS149" s="1"/>
      <c r="AT149" s="1"/>
      <c r="AU149" s="1"/>
      <c r="AV149" s="1"/>
      <c r="AW149" s="1"/>
      <c r="AX149" s="1"/>
    </row>
    <row r="150" spans="17:50" s="131" customFormat="1" x14ac:dyDescent="0.25">
      <c r="Q150" s="86"/>
      <c r="R150" s="86"/>
      <c r="S150" s="8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1"/>
      <c r="AS150" s="1"/>
      <c r="AT150" s="1"/>
      <c r="AU150" s="1"/>
      <c r="AV150" s="1"/>
      <c r="AW150" s="1"/>
      <c r="AX150" s="1"/>
    </row>
    <row r="151" spans="17:50" s="131" customFormat="1" x14ac:dyDescent="0.25">
      <c r="Q151" s="86"/>
      <c r="R151" s="86"/>
      <c r="S151" s="8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1"/>
      <c r="AS151" s="1"/>
      <c r="AT151" s="1"/>
      <c r="AU151" s="1"/>
      <c r="AV151" s="1"/>
      <c r="AW151" s="1"/>
      <c r="AX151" s="1"/>
    </row>
    <row r="152" spans="17:50" s="131" customFormat="1" x14ac:dyDescent="0.25">
      <c r="Q152" s="86"/>
      <c r="R152" s="86"/>
      <c r="S152" s="8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1"/>
      <c r="AS152" s="1"/>
      <c r="AT152" s="1"/>
      <c r="AU152" s="1"/>
      <c r="AV152" s="1"/>
      <c r="AW152" s="1"/>
      <c r="AX152" s="1"/>
    </row>
    <row r="153" spans="17:50" s="131" customFormat="1" x14ac:dyDescent="0.25">
      <c r="Q153" s="86"/>
      <c r="R153" s="86"/>
      <c r="S153" s="8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1"/>
      <c r="AS153" s="1"/>
      <c r="AT153" s="1"/>
      <c r="AU153" s="1"/>
      <c r="AV153" s="1"/>
      <c r="AW153" s="1"/>
      <c r="AX153" s="1"/>
    </row>
    <row r="154" spans="17:50" s="131" customFormat="1" x14ac:dyDescent="0.25">
      <c r="Q154" s="86"/>
      <c r="R154" s="86"/>
      <c r="S154" s="8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1"/>
      <c r="AS154" s="1"/>
      <c r="AT154" s="1"/>
      <c r="AU154" s="1"/>
      <c r="AV154" s="1"/>
      <c r="AW154" s="1"/>
      <c r="AX154" s="1"/>
    </row>
    <row r="155" spans="17:50" s="131" customFormat="1" x14ac:dyDescent="0.25">
      <c r="Q155" s="86"/>
      <c r="R155" s="86"/>
      <c r="S155" s="8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1"/>
      <c r="AS155" s="1"/>
      <c r="AT155" s="1"/>
      <c r="AU155" s="1"/>
      <c r="AV155" s="1"/>
      <c r="AW155" s="1"/>
      <c r="AX155" s="1"/>
    </row>
    <row r="156" spans="17:50" s="131" customFormat="1" x14ac:dyDescent="0.25">
      <c r="Q156" s="86"/>
      <c r="R156" s="86"/>
      <c r="S156" s="8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1"/>
      <c r="AS156" s="1"/>
      <c r="AT156" s="1"/>
      <c r="AU156" s="1"/>
      <c r="AV156" s="1"/>
      <c r="AW156" s="1"/>
      <c r="AX156" s="1"/>
    </row>
    <row r="157" spans="17:50" s="131" customFormat="1" x14ac:dyDescent="0.25">
      <c r="Q157" s="86"/>
      <c r="R157" s="86"/>
      <c r="S157" s="8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1"/>
      <c r="AS157" s="1"/>
      <c r="AT157" s="1"/>
      <c r="AU157" s="1"/>
      <c r="AV157" s="1"/>
      <c r="AW157" s="1"/>
      <c r="AX157" s="1"/>
    </row>
    <row r="158" spans="17:50" s="131" customFormat="1" x14ac:dyDescent="0.25">
      <c r="Q158" s="86"/>
      <c r="R158" s="86"/>
      <c r="S158" s="8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1"/>
      <c r="AS158" s="1"/>
      <c r="AT158" s="1"/>
      <c r="AU158" s="1"/>
      <c r="AV158" s="1"/>
      <c r="AW158" s="1"/>
      <c r="AX158" s="1"/>
    </row>
    <row r="159" spans="17:50" s="131" customFormat="1" x14ac:dyDescent="0.25">
      <c r="Q159" s="86"/>
      <c r="R159" s="86"/>
      <c r="S159" s="8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1"/>
      <c r="AS159" s="1"/>
      <c r="AT159" s="1"/>
      <c r="AU159" s="1"/>
      <c r="AV159" s="1"/>
      <c r="AW159" s="1"/>
      <c r="AX159" s="1"/>
    </row>
    <row r="160" spans="17:50" s="131" customFormat="1" x14ac:dyDescent="0.25">
      <c r="Q160" s="86"/>
      <c r="R160" s="86"/>
      <c r="S160" s="8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1"/>
      <c r="AS160" s="1"/>
      <c r="AT160" s="1"/>
      <c r="AU160" s="1"/>
      <c r="AV160" s="1"/>
      <c r="AW160" s="1"/>
      <c r="AX160" s="1"/>
    </row>
    <row r="161" spans="17:50" s="131" customFormat="1" x14ac:dyDescent="0.25">
      <c r="Q161" s="86"/>
      <c r="R161" s="86"/>
      <c r="S161" s="8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1"/>
      <c r="AS161" s="1"/>
      <c r="AT161" s="1"/>
      <c r="AU161" s="1"/>
      <c r="AV161" s="1"/>
      <c r="AW161" s="1"/>
      <c r="AX161" s="1"/>
    </row>
    <row r="162" spans="17:50" s="131" customFormat="1" x14ac:dyDescent="0.25">
      <c r="Q162" s="86"/>
      <c r="R162" s="86"/>
      <c r="S162" s="8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1"/>
      <c r="AS162" s="1"/>
      <c r="AT162" s="1"/>
      <c r="AU162" s="1"/>
      <c r="AV162" s="1"/>
      <c r="AW162" s="1"/>
      <c r="AX162" s="1"/>
    </row>
    <row r="163" spans="17:50" s="131" customFormat="1" x14ac:dyDescent="0.25">
      <c r="Q163" s="86"/>
      <c r="R163" s="86"/>
      <c r="S163" s="8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1"/>
      <c r="AS163" s="1"/>
      <c r="AT163" s="1"/>
      <c r="AU163" s="1"/>
      <c r="AV163" s="1"/>
      <c r="AW163" s="1"/>
      <c r="AX163" s="1"/>
    </row>
    <row r="164" spans="17:50" s="131" customFormat="1" x14ac:dyDescent="0.25">
      <c r="Q164" s="86"/>
      <c r="R164" s="86"/>
      <c r="S164" s="8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1"/>
      <c r="AS164" s="1"/>
      <c r="AT164" s="1"/>
      <c r="AU164" s="1"/>
      <c r="AV164" s="1"/>
      <c r="AW164" s="1"/>
      <c r="AX164" s="1"/>
    </row>
    <row r="165" spans="17:50" s="131" customFormat="1" x14ac:dyDescent="0.25">
      <c r="Q165" s="86"/>
      <c r="R165" s="86"/>
      <c r="S165" s="8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1"/>
      <c r="AS165" s="1"/>
      <c r="AT165" s="1"/>
      <c r="AU165" s="1"/>
      <c r="AV165" s="1"/>
      <c r="AW165" s="1"/>
      <c r="AX165" s="1"/>
    </row>
    <row r="166" spans="17:50" s="131" customFormat="1" x14ac:dyDescent="0.25">
      <c r="Q166" s="86"/>
      <c r="R166" s="86"/>
      <c r="S166" s="8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1"/>
      <c r="AS166" s="1"/>
      <c r="AT166" s="1"/>
      <c r="AU166" s="1"/>
      <c r="AV166" s="1"/>
      <c r="AW166" s="1"/>
      <c r="AX166" s="1"/>
    </row>
    <row r="167" spans="17:50" s="131" customFormat="1" x14ac:dyDescent="0.25">
      <c r="Q167" s="86"/>
      <c r="R167" s="86"/>
      <c r="S167" s="8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1"/>
      <c r="AS167" s="1"/>
      <c r="AT167" s="1"/>
      <c r="AU167" s="1"/>
      <c r="AV167" s="1"/>
      <c r="AW167" s="1"/>
      <c r="AX167" s="1"/>
    </row>
    <row r="168" spans="17:50" s="131" customFormat="1" x14ac:dyDescent="0.25">
      <c r="Q168" s="86"/>
      <c r="R168" s="86"/>
      <c r="S168" s="8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1"/>
      <c r="AS168" s="1"/>
      <c r="AT168" s="1"/>
      <c r="AU168" s="1"/>
      <c r="AV168" s="1"/>
      <c r="AW168" s="1"/>
      <c r="AX168" s="1"/>
    </row>
    <row r="169" spans="17:50" s="131" customFormat="1" x14ac:dyDescent="0.25">
      <c r="Q169" s="86"/>
      <c r="R169" s="86"/>
      <c r="S169" s="8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1"/>
      <c r="AS169" s="1"/>
      <c r="AT169" s="1"/>
      <c r="AU169" s="1"/>
      <c r="AV169" s="1"/>
      <c r="AW169" s="1"/>
      <c r="AX169" s="1"/>
    </row>
    <row r="170" spans="17:50" s="131" customFormat="1" x14ac:dyDescent="0.25">
      <c r="Q170" s="86"/>
      <c r="R170" s="86"/>
      <c r="S170" s="8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1"/>
      <c r="AS170" s="1"/>
      <c r="AT170" s="1"/>
      <c r="AU170" s="1"/>
      <c r="AV170" s="1"/>
      <c r="AW170" s="1"/>
      <c r="AX170" s="1"/>
    </row>
    <row r="171" spans="17:50" s="131" customFormat="1" x14ac:dyDescent="0.25">
      <c r="Q171" s="86"/>
      <c r="R171" s="86"/>
      <c r="S171" s="8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1"/>
      <c r="AS171" s="1"/>
      <c r="AT171" s="1"/>
      <c r="AU171" s="1"/>
      <c r="AV171" s="1"/>
      <c r="AW171" s="1"/>
      <c r="AX171" s="1"/>
    </row>
    <row r="172" spans="17:50" s="131" customFormat="1" x14ac:dyDescent="0.25">
      <c r="Q172" s="86"/>
      <c r="R172" s="86"/>
      <c r="S172" s="8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1"/>
      <c r="AS172" s="1"/>
      <c r="AT172" s="1"/>
      <c r="AU172" s="1"/>
      <c r="AV172" s="1"/>
      <c r="AW172" s="1"/>
      <c r="AX172" s="1"/>
    </row>
    <row r="173" spans="17:50" s="131" customFormat="1" x14ac:dyDescent="0.25">
      <c r="Q173" s="86"/>
      <c r="R173" s="86"/>
      <c r="S173" s="8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1"/>
      <c r="AS173" s="1"/>
      <c r="AT173" s="1"/>
      <c r="AU173" s="1"/>
      <c r="AV173" s="1"/>
      <c r="AW173" s="1"/>
      <c r="AX173" s="1"/>
    </row>
    <row r="174" spans="17:50" s="131" customFormat="1" x14ac:dyDescent="0.25">
      <c r="Q174" s="86"/>
      <c r="R174" s="86"/>
      <c r="S174" s="8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1"/>
      <c r="AS174" s="1"/>
      <c r="AT174" s="1"/>
      <c r="AU174" s="1"/>
      <c r="AV174" s="1"/>
      <c r="AW174" s="1"/>
      <c r="AX174" s="1"/>
    </row>
    <row r="175" spans="17:50" s="131" customFormat="1" x14ac:dyDescent="0.25">
      <c r="Q175" s="86"/>
      <c r="R175" s="86"/>
      <c r="S175" s="8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1"/>
      <c r="AS175" s="1"/>
      <c r="AT175" s="1"/>
      <c r="AU175" s="1"/>
      <c r="AV175" s="1"/>
      <c r="AW175" s="1"/>
      <c r="AX175" s="1"/>
    </row>
    <row r="176" spans="17:50" s="131" customFormat="1" x14ac:dyDescent="0.25">
      <c r="Q176" s="86"/>
      <c r="R176" s="86"/>
      <c r="S176" s="8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1"/>
      <c r="AS176" s="1"/>
      <c r="AT176" s="1"/>
      <c r="AU176" s="1"/>
      <c r="AV176" s="1"/>
      <c r="AW176" s="1"/>
      <c r="AX176" s="1"/>
    </row>
    <row r="177" spans="1:50" x14ac:dyDescent="0.25">
      <c r="Q177" s="86"/>
      <c r="R177" s="86"/>
      <c r="S177" s="86"/>
      <c r="AR177" s="1"/>
      <c r="AS177" s="1"/>
      <c r="AT177" s="1"/>
      <c r="AU177" s="1"/>
      <c r="AV177" s="1"/>
      <c r="AW177" s="1"/>
      <c r="AX177" s="1"/>
    </row>
    <row r="178" spans="1:50" x14ac:dyDescent="0.25">
      <c r="Q178" s="86"/>
      <c r="R178" s="86"/>
      <c r="S178" s="86"/>
      <c r="AR178" s="1"/>
      <c r="AS178" s="1"/>
      <c r="AT178" s="1"/>
      <c r="AU178" s="1"/>
      <c r="AV178" s="1"/>
      <c r="AW178" s="1"/>
      <c r="AX178" s="1"/>
    </row>
    <row r="179" spans="1:50" x14ac:dyDescent="0.25">
      <c r="Q179" s="86"/>
      <c r="R179" s="86"/>
      <c r="S179" s="86"/>
      <c r="AR179" s="1"/>
      <c r="AS179" s="1"/>
      <c r="AT179" s="1"/>
      <c r="AU179" s="1"/>
      <c r="AV179" s="1"/>
      <c r="AW179" s="1"/>
      <c r="AX179" s="1"/>
    </row>
    <row r="180" spans="1:50" x14ac:dyDescent="0.25">
      <c r="Q180" s="86"/>
      <c r="R180" s="86"/>
      <c r="S180" s="86"/>
      <c r="AR180" s="1"/>
      <c r="AS180" s="1"/>
      <c r="AT180" s="1"/>
      <c r="AU180" s="1"/>
      <c r="AV180" s="1"/>
      <c r="AW180" s="1"/>
      <c r="AX180" s="1"/>
    </row>
    <row r="181" spans="1:50" x14ac:dyDescent="0.25">
      <c r="Q181" s="86"/>
      <c r="R181" s="86"/>
      <c r="S181" s="86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Q182" s="86"/>
      <c r="R182" s="86"/>
      <c r="S182" s="86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6"/>
      <c r="O183" s="86"/>
      <c r="Q183" s="86"/>
      <c r="R183" s="86"/>
      <c r="S183" s="86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6"/>
      <c r="O184" s="86"/>
      <c r="P184" s="86"/>
      <c r="Q184" s="86"/>
      <c r="R184" s="86"/>
      <c r="S184" s="86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6"/>
      <c r="O185" s="86"/>
      <c r="P185" s="86"/>
      <c r="Q185" s="86"/>
      <c r="R185" s="86"/>
      <c r="S185" s="86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6"/>
      <c r="O186" s="86"/>
      <c r="P186" s="86"/>
      <c r="Q186" s="86"/>
      <c r="R186" s="86"/>
      <c r="S186" s="86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6"/>
      <c r="O187" s="86"/>
      <c r="P187" s="86"/>
      <c r="Q187" s="86"/>
      <c r="R187" s="86"/>
      <c r="S187" s="86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6"/>
      <c r="O188" s="86"/>
      <c r="P188" s="86"/>
      <c r="Q188" s="86"/>
      <c r="R188" s="86"/>
      <c r="S188" s="86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6"/>
      <c r="O189" s="86"/>
      <c r="P189" s="86"/>
      <c r="Q189" s="86"/>
      <c r="R189" s="86"/>
      <c r="S189" s="86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6"/>
      <c r="O190" s="86"/>
      <c r="P190" s="86"/>
      <c r="Q190" s="86"/>
      <c r="R190" s="86"/>
      <c r="S190" s="86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6"/>
      <c r="O191" s="86"/>
      <c r="P191" s="86"/>
      <c r="Q191" s="86"/>
      <c r="R191" s="86"/>
      <c r="S191" s="86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6"/>
      <c r="O192" s="86"/>
      <c r="P192" s="86"/>
      <c r="Q192" s="86"/>
      <c r="R192" s="86"/>
      <c r="S192" s="86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6"/>
      <c r="O193" s="86"/>
      <c r="P193" s="86"/>
      <c r="Q193" s="86"/>
      <c r="R193" s="86"/>
      <c r="S193" s="86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6"/>
      <c r="O194" s="86"/>
      <c r="P194" s="86"/>
      <c r="Q194" s="86"/>
      <c r="R194" s="86"/>
      <c r="S194" s="86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6"/>
      <c r="O195" s="86"/>
      <c r="P195" s="86"/>
      <c r="Q195" s="86"/>
      <c r="R195" s="86"/>
      <c r="S195" s="86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6"/>
      <c r="O196" s="86"/>
      <c r="P196" s="86"/>
      <c r="Q196" s="86"/>
      <c r="R196" s="86"/>
      <c r="S196" s="86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6"/>
      <c r="O197" s="86"/>
      <c r="P197" s="86"/>
      <c r="Q197" s="86"/>
      <c r="R197" s="86"/>
      <c r="S197" s="86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6"/>
      <c r="O198" s="86"/>
      <c r="P198" s="86"/>
      <c r="Q198" s="86"/>
      <c r="R198" s="86"/>
      <c r="S198" s="86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6"/>
      <c r="O199" s="86"/>
      <c r="P199" s="86"/>
      <c r="Q199" s="86"/>
      <c r="R199" s="86"/>
      <c r="S199" s="86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6"/>
      <c r="O200" s="86"/>
      <c r="P200" s="86"/>
      <c r="Q200" s="86"/>
      <c r="R200" s="86"/>
      <c r="S200" s="86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6"/>
      <c r="O201" s="86"/>
      <c r="P201" s="86"/>
      <c r="Q201" s="86"/>
      <c r="R201" s="86"/>
      <c r="S201" s="86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6"/>
      <c r="O202" s="86"/>
      <c r="P202" s="86"/>
      <c r="Q202" s="86"/>
      <c r="R202" s="86"/>
      <c r="S202" s="86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6"/>
      <c r="O203" s="86"/>
      <c r="P203" s="86"/>
      <c r="Q203" s="86"/>
      <c r="R203" s="86"/>
      <c r="S203" s="86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6"/>
      <c r="O204" s="86"/>
      <c r="P204" s="86"/>
      <c r="Q204" s="86"/>
      <c r="R204" s="86"/>
      <c r="S204" s="86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6"/>
      <c r="O205" s="86"/>
      <c r="P205" s="86"/>
      <c r="Q205" s="86"/>
      <c r="R205" s="86"/>
      <c r="S205" s="86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6"/>
      <c r="O206" s="86"/>
      <c r="P206" s="86"/>
      <c r="Q206" s="86"/>
      <c r="R206" s="86"/>
      <c r="S206" s="86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6"/>
      <c r="O207" s="86"/>
      <c r="P207" s="86"/>
      <c r="Q207" s="86"/>
      <c r="R207" s="86"/>
      <c r="S207" s="86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6"/>
      <c r="O208" s="86"/>
      <c r="P208" s="86"/>
      <c r="Q208" s="86"/>
      <c r="R208" s="86"/>
      <c r="S208" s="86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6"/>
      <c r="O209" s="86"/>
      <c r="P209" s="86"/>
      <c r="Q209" s="86"/>
      <c r="R209" s="86"/>
      <c r="S209" s="86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6"/>
      <c r="O210" s="86"/>
      <c r="P210" s="86"/>
      <c r="Q210" s="86"/>
      <c r="R210" s="86"/>
      <c r="S210" s="86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6"/>
      <c r="O211" s="86"/>
      <c r="P211" s="86"/>
      <c r="Q211" s="86"/>
      <c r="R211" s="86"/>
      <c r="S211" s="86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6"/>
      <c r="O212" s="86"/>
      <c r="P212" s="86"/>
      <c r="Q212" s="86"/>
      <c r="R212" s="86"/>
      <c r="S212" s="86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6"/>
      <c r="O213" s="86"/>
      <c r="P213" s="86"/>
      <c r="Q213" s="86"/>
      <c r="R213" s="86"/>
      <c r="S213" s="86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6"/>
      <c r="O214" s="86"/>
      <c r="P214" s="86"/>
      <c r="Q214" s="86"/>
      <c r="R214" s="86"/>
      <c r="S214" s="86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6"/>
      <c r="O215" s="86"/>
      <c r="P215" s="86"/>
      <c r="Q215" s="86"/>
      <c r="R215" s="86"/>
      <c r="S215" s="86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6"/>
      <c r="O216" s="86"/>
      <c r="P216" s="86"/>
      <c r="Q216" s="86"/>
      <c r="R216" s="86"/>
      <c r="S216" s="86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6"/>
      <c r="O217" s="86"/>
      <c r="P217" s="86"/>
      <c r="Q217" s="86"/>
      <c r="R217" s="86"/>
      <c r="S217" s="86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6"/>
      <c r="O218" s="86"/>
      <c r="P218" s="86"/>
      <c r="Q218" s="86"/>
      <c r="R218" s="86"/>
      <c r="S218" s="86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6"/>
      <c r="O219" s="86"/>
      <c r="P219" s="86"/>
      <c r="Q219" s="86"/>
      <c r="R219" s="86"/>
      <c r="S219" s="86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6"/>
      <c r="O220" s="86"/>
      <c r="P220" s="86"/>
      <c r="Q220" s="86"/>
      <c r="R220" s="86"/>
      <c r="S220" s="86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6"/>
      <c r="O221" s="86"/>
      <c r="P221" s="86"/>
      <c r="Q221" s="86"/>
      <c r="R221" s="86"/>
      <c r="S221" s="86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6"/>
      <c r="O222" s="86"/>
      <c r="P222" s="86"/>
      <c r="Q222" s="86"/>
      <c r="R222" s="86"/>
      <c r="S222" s="86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6"/>
      <c r="O223" s="86"/>
      <c r="P223" s="86"/>
      <c r="Q223" s="86"/>
      <c r="R223" s="86"/>
      <c r="S223" s="86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6"/>
      <c r="O224" s="86"/>
      <c r="P224" s="86"/>
      <c r="Q224" s="86"/>
      <c r="R224" s="86"/>
      <c r="S224" s="86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6"/>
      <c r="O225" s="86"/>
      <c r="P225" s="86"/>
      <c r="Q225" s="86"/>
      <c r="R225" s="86"/>
      <c r="S225" s="86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6"/>
      <c r="O226" s="86"/>
      <c r="P226" s="86"/>
      <c r="Q226" s="86"/>
      <c r="R226" s="86"/>
      <c r="S226" s="86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6"/>
      <c r="O227" s="86"/>
      <c r="P227" s="86"/>
      <c r="Q227" s="86"/>
      <c r="R227" s="86"/>
      <c r="S227" s="86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6"/>
      <c r="O228" s="86"/>
      <c r="P228" s="86"/>
      <c r="Q228" s="86"/>
      <c r="R228" s="86"/>
      <c r="S228" s="86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6"/>
      <c r="O229" s="86"/>
      <c r="P229" s="86"/>
      <c r="Q229" s="86"/>
      <c r="R229" s="86"/>
      <c r="S229" s="86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6"/>
      <c r="O230" s="86"/>
      <c r="P230" s="86"/>
      <c r="Q230" s="86"/>
      <c r="R230" s="86"/>
      <c r="S230" s="86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6"/>
      <c r="O231" s="86"/>
      <c r="P231" s="86"/>
      <c r="Q231" s="86"/>
      <c r="R231" s="86"/>
      <c r="S231" s="86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6"/>
      <c r="O232" s="86"/>
      <c r="P232" s="86"/>
      <c r="Q232" s="86"/>
      <c r="R232" s="86"/>
      <c r="S232" s="86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6"/>
      <c r="O233" s="86"/>
      <c r="P233" s="86"/>
      <c r="Q233" s="86"/>
      <c r="R233" s="86"/>
      <c r="S233" s="86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6"/>
      <c r="O234" s="86"/>
      <c r="P234" s="86"/>
      <c r="Q234" s="86"/>
      <c r="R234" s="86"/>
      <c r="S234" s="86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6"/>
      <c r="O235" s="86"/>
      <c r="P235" s="86"/>
      <c r="Q235" s="86"/>
      <c r="R235" s="86"/>
      <c r="S235" s="86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6"/>
      <c r="O236" s="86"/>
      <c r="P236" s="86"/>
      <c r="Q236" s="86"/>
      <c r="R236" s="86"/>
      <c r="S236" s="86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6"/>
      <c r="O237" s="86"/>
      <c r="P237" s="86"/>
      <c r="Q237" s="86"/>
      <c r="R237" s="86"/>
      <c r="S237" s="86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6"/>
      <c r="O238" s="86"/>
      <c r="P238" s="86"/>
      <c r="Q238" s="86"/>
      <c r="R238" s="86"/>
      <c r="S238" s="86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86"/>
      <c r="Q239" s="86"/>
      <c r="R239" s="86"/>
      <c r="S239" s="86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131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131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131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131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131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131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31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131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131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131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131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131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131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131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131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131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131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131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31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131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31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131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131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31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131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131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131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131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131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131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131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131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131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131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131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131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131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131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131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31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131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131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131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131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131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31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31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131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131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131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131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131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131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131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31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131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131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131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31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131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131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31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131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131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131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131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131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131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131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131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131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31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131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131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31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31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131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131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131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131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131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131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131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131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131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131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131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131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131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131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131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131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131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131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131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131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131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131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131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131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131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131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131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131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131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131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131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131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31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131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131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131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131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131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131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131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131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131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131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131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31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131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131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131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131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131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131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31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131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131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131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31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131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131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131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131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131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31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31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31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31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31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31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31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31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31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31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31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31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31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31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31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31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31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31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31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31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31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31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31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31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31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31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31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31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31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31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31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31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31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31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31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31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31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31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31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31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31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31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31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31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31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31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31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31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31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31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31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31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31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31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31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31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31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31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31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31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31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31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31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31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31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31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31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31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31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31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31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31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31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31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31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31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31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31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31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31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31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31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31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31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31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31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printOptions horizontalCentered="1"/>
  <pageMargins left="0.75" right="0.75" top="0.52" bottom="0.49" header="0.5" footer="0.5"/>
  <pageSetup scale="2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FF99"/>
    <pageSetUpPr fitToPage="1"/>
  </sheetPr>
  <dimension ref="A1:AX572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53.33203125" style="89" customWidth="1"/>
    <col min="4" max="4" width="35.6640625" style="89" customWidth="1"/>
    <col min="5" max="5" width="23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9.332031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6"/>
      <c r="N1" s="95"/>
      <c r="O1" s="95"/>
      <c r="P1" s="95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6"/>
      <c r="N2" s="95"/>
      <c r="O2" s="95"/>
      <c r="P2" s="9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95"/>
      <c r="O3" s="95"/>
      <c r="P3" s="9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352" t="s">
        <v>918</v>
      </c>
      <c r="K4" s="4"/>
      <c r="L4" s="4"/>
      <c r="M4" s="4"/>
      <c r="N4" s="95"/>
      <c r="O4" s="95"/>
      <c r="P4" s="95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x14ac:dyDescent="0.25">
      <c r="A5" s="353" t="s">
        <v>187</v>
      </c>
      <c r="B5" s="1"/>
      <c r="C5" s="2"/>
      <c r="D5" s="131" t="s">
        <v>0</v>
      </c>
      <c r="E5" s="1"/>
      <c r="F5" s="9"/>
      <c r="G5" s="9"/>
      <c r="H5" s="9"/>
      <c r="I5" s="2"/>
      <c r="J5" s="286" t="s">
        <v>124</v>
      </c>
      <c r="K5" s="300"/>
      <c r="L5" s="300"/>
      <c r="M5" s="4"/>
      <c r="N5" s="95"/>
      <c r="O5" s="95"/>
      <c r="P5" s="9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95"/>
      <c r="O6" s="95"/>
      <c r="P6" s="95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x14ac:dyDescent="0.25">
      <c r="A7" s="356" t="str">
        <f>'NITS Pg 2 of 5'!A7</f>
        <v>LG&amp;E and KU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98"/>
      <c r="O7" s="98"/>
      <c r="P7" s="96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93"/>
      <c r="C8" s="219" t="s">
        <v>18</v>
      </c>
      <c r="D8" s="219" t="s">
        <v>19</v>
      </c>
      <c r="E8" s="219" t="s">
        <v>20</v>
      </c>
      <c r="F8" s="98" t="s">
        <v>0</v>
      </c>
      <c r="G8" s="98"/>
      <c r="H8" s="252" t="s">
        <v>21</v>
      </c>
      <c r="I8" s="98"/>
      <c r="J8" s="253" t="s">
        <v>22</v>
      </c>
      <c r="K8" s="98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/>
      <c r="C9" s="219"/>
      <c r="D9" s="91"/>
      <c r="E9" s="91"/>
      <c r="F9" s="91"/>
      <c r="G9" s="91"/>
      <c r="H9" s="91"/>
      <c r="I9" s="91"/>
      <c r="J9" s="91"/>
      <c r="K9" s="91"/>
      <c r="L9" s="254"/>
      <c r="M9" s="91"/>
      <c r="N9" s="91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x14ac:dyDescent="0.25">
      <c r="A10" s="93" t="s">
        <v>1</v>
      </c>
      <c r="C10" s="96"/>
      <c r="D10" s="255" t="s">
        <v>23</v>
      </c>
      <c r="E10" s="98"/>
      <c r="F10" s="98"/>
      <c r="G10" s="98"/>
      <c r="H10" s="93"/>
      <c r="I10" s="98"/>
      <c r="J10" s="254" t="s">
        <v>24</v>
      </c>
      <c r="K10" s="98"/>
      <c r="L10" s="254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6.5" thickBot="1" x14ac:dyDescent="0.3">
      <c r="A11" s="185" t="s">
        <v>3</v>
      </c>
      <c r="C11" s="96"/>
      <c r="D11" s="256" t="s">
        <v>25</v>
      </c>
      <c r="E11" s="254" t="s">
        <v>26</v>
      </c>
      <c r="F11" s="257"/>
      <c r="G11" s="258" t="s">
        <v>7</v>
      </c>
      <c r="H11" s="259"/>
      <c r="I11" s="257"/>
      <c r="J11" s="260" t="s">
        <v>28</v>
      </c>
      <c r="K11" s="98"/>
      <c r="L11" s="254"/>
      <c r="M11" s="261"/>
      <c r="N11" s="254"/>
      <c r="O11" s="98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C12" s="96"/>
      <c r="D12" s="98"/>
      <c r="E12" s="262"/>
      <c r="F12" s="263"/>
      <c r="G12" s="264"/>
      <c r="I12" s="263"/>
      <c r="J12" s="262"/>
      <c r="K12" s="98"/>
      <c r="L12" s="98"/>
      <c r="M12" s="98"/>
      <c r="N12" s="98"/>
      <c r="O12" s="98"/>
      <c r="P12" s="97"/>
      <c r="Q12" s="265"/>
      <c r="R12" s="97"/>
      <c r="S12" s="97"/>
      <c r="T12" s="97"/>
      <c r="U12" s="97"/>
      <c r="V12" s="232"/>
      <c r="W12" s="97"/>
      <c r="X12" s="266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x14ac:dyDescent="0.25">
      <c r="A13" s="93"/>
      <c r="C13" s="96" t="s">
        <v>55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99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1</v>
      </c>
      <c r="C14" s="209" t="s">
        <v>24</v>
      </c>
      <c r="D14" s="267" t="s">
        <v>385</v>
      </c>
      <c r="E14" s="187">
        <f>'OATT Input Data'!E176</f>
        <v>44727255.659999996</v>
      </c>
      <c r="F14" s="98"/>
      <c r="G14" s="98" t="s">
        <v>53</v>
      </c>
      <c r="H14" s="215">
        <f>'NITS Pg 4 of 5'!$J$25</f>
        <v>0.86341000000000001</v>
      </c>
      <c r="I14" s="98"/>
      <c r="J14" s="187">
        <f>ROUND(E14*H14,0)</f>
        <v>38617960</v>
      </c>
      <c r="K14" s="95"/>
      <c r="L14" s="98"/>
      <c r="M14" s="98"/>
      <c r="N14" s="98"/>
      <c r="O14" s="199"/>
      <c r="P14" s="186"/>
      <c r="Q14" s="186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>
        <v>2</v>
      </c>
      <c r="C15" s="209" t="s">
        <v>198</v>
      </c>
      <c r="D15" s="268" t="s">
        <v>274</v>
      </c>
      <c r="E15" s="188">
        <f>'OATT Input Data'!E177*-1</f>
        <v>-4284886</v>
      </c>
      <c r="F15" s="98"/>
      <c r="G15" s="98" t="s">
        <v>0</v>
      </c>
      <c r="H15" s="215">
        <v>1</v>
      </c>
      <c r="I15" s="98"/>
      <c r="J15" s="188">
        <f>ROUND(E15*H15,0)</f>
        <v>-4284886</v>
      </c>
      <c r="K15" s="95"/>
      <c r="L15" s="98"/>
      <c r="M15" s="98"/>
      <c r="N15" s="98"/>
      <c r="O15" s="200"/>
      <c r="P15" s="186"/>
      <c r="Q15" s="186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3</v>
      </c>
      <c r="C16" s="96" t="s">
        <v>56</v>
      </c>
      <c r="D16" s="268" t="s">
        <v>275</v>
      </c>
      <c r="E16" s="188">
        <f>'OATT Input Data'!E179</f>
        <v>185335907</v>
      </c>
      <c r="F16" s="98"/>
      <c r="G16" s="98" t="s">
        <v>36</v>
      </c>
      <c r="H16" s="215">
        <f>'NITS Pg 4 of 5'!$J$33</f>
        <v>6.2399999999999997E-2</v>
      </c>
      <c r="I16" s="98"/>
      <c r="J16" s="188">
        <f t="shared" ref="J16:J21" si="0">ROUND(E16*H16,0)</f>
        <v>11564961</v>
      </c>
      <c r="K16" s="98"/>
      <c r="L16" s="98" t="s">
        <v>0</v>
      </c>
      <c r="M16" s="98"/>
      <c r="N16" s="98"/>
      <c r="O16" s="200"/>
      <c r="P16" s="186"/>
      <c r="Q16" s="186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>
        <v>4</v>
      </c>
      <c r="C17" s="209" t="s">
        <v>200</v>
      </c>
      <c r="D17" s="268" t="s">
        <v>276</v>
      </c>
      <c r="E17" s="188">
        <f>'OATT Input Data'!E181*-1</f>
        <v>-593008</v>
      </c>
      <c r="F17" s="98"/>
      <c r="G17" s="98" t="str">
        <f>+G16</f>
        <v>W/S</v>
      </c>
      <c r="H17" s="215">
        <f>'NITS Pg 4 of 5'!$J$33</f>
        <v>6.2399999999999997E-2</v>
      </c>
      <c r="I17" s="98"/>
      <c r="J17" s="188">
        <f t="shared" si="0"/>
        <v>-37004</v>
      </c>
      <c r="K17" s="98"/>
      <c r="L17" s="98"/>
      <c r="M17" s="98"/>
      <c r="N17" s="98"/>
      <c r="O17" s="200"/>
      <c r="P17" s="186"/>
      <c r="Q17" s="186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ht="31.5" x14ac:dyDescent="0.25">
      <c r="A18" s="362">
        <v>5</v>
      </c>
      <c r="C18" s="331" t="s">
        <v>279</v>
      </c>
      <c r="D18" s="363" t="s">
        <v>277</v>
      </c>
      <c r="E18" s="188">
        <f>'OATT Input Data'!E187*-1</f>
        <v>-8074403</v>
      </c>
      <c r="F18" s="364"/>
      <c r="G18" s="364" t="str">
        <f>+G17</f>
        <v>W/S</v>
      </c>
      <c r="H18" s="365">
        <f>'NITS Pg 4 of 5'!$J$33</f>
        <v>6.2399999999999997E-2</v>
      </c>
      <c r="I18" s="364"/>
      <c r="J18" s="188">
        <f t="shared" si="0"/>
        <v>-503843</v>
      </c>
      <c r="K18" s="98"/>
      <c r="L18" s="98"/>
      <c r="M18" s="98"/>
      <c r="N18" s="98"/>
      <c r="O18" s="96"/>
      <c r="P18" s="186"/>
      <c r="Q18" s="186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304" t="s">
        <v>278</v>
      </c>
      <c r="D19" s="306" t="s">
        <v>277</v>
      </c>
      <c r="E19" s="188">
        <f>'OATT Input Data'!E188</f>
        <v>315889</v>
      </c>
      <c r="F19" s="98"/>
      <c r="G19" s="269" t="str">
        <f>+G14</f>
        <v>TE</v>
      </c>
      <c r="H19" s="215">
        <f>'NITS Pg 4 of 5'!$J$25</f>
        <v>0.86341000000000001</v>
      </c>
      <c r="I19" s="98"/>
      <c r="J19" s="188">
        <f t="shared" si="0"/>
        <v>272742</v>
      </c>
      <c r="K19" s="98"/>
      <c r="L19" s="98"/>
      <c r="M19" s="98"/>
      <c r="O19" s="219"/>
      <c r="P19" s="186"/>
      <c r="Q19" s="18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x14ac:dyDescent="0.25">
      <c r="A20" s="93">
        <v>7</v>
      </c>
      <c r="C20" s="96" t="s">
        <v>43</v>
      </c>
      <c r="D20" s="268" t="s">
        <v>179</v>
      </c>
      <c r="E20" s="549">
        <f>'OATT Input Data'!E189</f>
        <v>0</v>
      </c>
      <c r="F20" s="98"/>
      <c r="G20" s="98" t="s">
        <v>38</v>
      </c>
      <c r="H20" s="215">
        <f>'NITS Pg 4 of 5'!$J$41</f>
        <v>5.799E-2</v>
      </c>
      <c r="I20" s="98"/>
      <c r="J20" s="549">
        <f t="shared" si="0"/>
        <v>0</v>
      </c>
      <c r="K20" s="98"/>
      <c r="L20" s="98"/>
      <c r="M20" s="98"/>
      <c r="N20" s="98"/>
      <c r="O20" s="219"/>
      <c r="P20" s="186"/>
      <c r="Q20" s="186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ht="18" x14ac:dyDescent="0.4">
      <c r="A21" s="93">
        <v>8</v>
      </c>
      <c r="C21" s="96" t="s">
        <v>199</v>
      </c>
      <c r="D21" s="98"/>
      <c r="E21" s="550">
        <f>'OATT Input Data'!E190</f>
        <v>0</v>
      </c>
      <c r="F21" s="98"/>
      <c r="G21" s="98" t="s">
        <v>0</v>
      </c>
      <c r="H21" s="215">
        <v>1</v>
      </c>
      <c r="I21" s="98"/>
      <c r="J21" s="550">
        <f t="shared" si="0"/>
        <v>0</v>
      </c>
      <c r="K21" s="98"/>
      <c r="L21" s="98"/>
      <c r="M21" s="98"/>
      <c r="N21" s="98"/>
      <c r="O21" s="219"/>
      <c r="P21" s="186"/>
      <c r="Q21" s="18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>
        <v>9</v>
      </c>
      <c r="C22" s="209" t="s">
        <v>197</v>
      </c>
      <c r="D22" s="303" t="s">
        <v>322</v>
      </c>
      <c r="E22" s="270">
        <f>ROUND(SUM(E14:E21),0)</f>
        <v>217426755</v>
      </c>
      <c r="F22" s="98"/>
      <c r="G22" s="98"/>
      <c r="H22" s="98"/>
      <c r="I22" s="98"/>
      <c r="J22" s="270">
        <f>ROUND(SUM(J14:J21),0)</f>
        <v>45629930</v>
      </c>
      <c r="K22" s="98"/>
      <c r="L22" s="98"/>
      <c r="M22" s="98"/>
      <c r="N22" s="271"/>
      <c r="O22" s="98"/>
      <c r="P22" s="96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/>
      <c r="D23" s="98"/>
      <c r="E23" s="272"/>
      <c r="F23" s="98"/>
      <c r="G23" s="98"/>
      <c r="H23" s="98"/>
      <c r="I23" s="98"/>
      <c r="J23" s="272"/>
      <c r="K23" s="98"/>
      <c r="L23" s="98"/>
      <c r="M23" s="98"/>
      <c r="N23" s="98"/>
      <c r="O23" s="98"/>
      <c r="P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/>
      <c r="C24" s="209" t="s">
        <v>417</v>
      </c>
      <c r="D24" s="305" t="s">
        <v>252</v>
      </c>
      <c r="E24" s="272"/>
      <c r="F24" s="98"/>
      <c r="G24" s="98"/>
      <c r="H24" s="98"/>
      <c r="I24" s="98"/>
      <c r="J24" s="272"/>
      <c r="K24" s="98"/>
      <c r="L24" s="98"/>
      <c r="M24" s="98"/>
      <c r="N24" s="98"/>
      <c r="O24" s="98"/>
      <c r="P24" s="96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10</v>
      </c>
      <c r="C25" s="359" t="s">
        <v>415</v>
      </c>
      <c r="D25" s="303" t="s">
        <v>194</v>
      </c>
      <c r="E25" s="187">
        <f>'OATT Input Data'!$E$193</f>
        <v>20383429.07</v>
      </c>
      <c r="F25" s="98"/>
      <c r="G25" s="98" t="s">
        <v>9</v>
      </c>
      <c r="H25" s="215">
        <f>'NITS Pg 4 of 5'!$J$24</f>
        <v>0.95489000000000002</v>
      </c>
      <c r="I25" s="98"/>
      <c r="J25" s="187">
        <f t="shared" ref="J25" si="1">ROUND(H25*E25,0)</f>
        <v>19463933</v>
      </c>
      <c r="K25" s="98"/>
      <c r="L25" s="221"/>
      <c r="M25" s="98"/>
      <c r="N25" s="98"/>
      <c r="O25" s="219"/>
      <c r="P25" s="96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>
        <v>11</v>
      </c>
      <c r="C26" s="359" t="s">
        <v>400</v>
      </c>
      <c r="D26" s="303" t="s">
        <v>195</v>
      </c>
      <c r="E26" s="188">
        <f>'OATT Input Data'!$E$196</f>
        <v>19864914.129999999</v>
      </c>
      <c r="F26" s="98"/>
      <c r="G26" s="98" t="s">
        <v>36</v>
      </c>
      <c r="H26" s="215">
        <f>'NITS Pg 4 of 5'!$J$33</f>
        <v>6.2399999999999997E-2</v>
      </c>
      <c r="I26" s="98"/>
      <c r="J26" s="188">
        <f>ROUND(H26*E26,0)</f>
        <v>1239571</v>
      </c>
      <c r="K26" s="98"/>
      <c r="L26" s="221"/>
      <c r="M26" s="98"/>
      <c r="N26" s="210"/>
      <c r="O26" s="219"/>
      <c r="P26" s="96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>
        <v>12</v>
      </c>
      <c r="C27" s="359" t="s">
        <v>416</v>
      </c>
      <c r="D27" s="303" t="s">
        <v>196</v>
      </c>
      <c r="E27" s="218">
        <f>'OATT Input Data'!$E$197</f>
        <v>10805212.129999999</v>
      </c>
      <c r="F27" s="98"/>
      <c r="G27" s="98" t="s">
        <v>38</v>
      </c>
      <c r="H27" s="215">
        <f>'NITS Pg 4 of 5'!$J$41</f>
        <v>5.799E-2</v>
      </c>
      <c r="I27" s="98"/>
      <c r="J27" s="218">
        <f t="shared" ref="J27" si="2">ROUND(H27*E27,0)</f>
        <v>626594</v>
      </c>
      <c r="K27" s="98"/>
      <c r="L27" s="221"/>
      <c r="M27" s="98"/>
      <c r="N27" s="210"/>
      <c r="O27" s="219"/>
      <c r="P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>
        <v>13</v>
      </c>
      <c r="C28" s="209" t="s">
        <v>201</v>
      </c>
      <c r="D28" s="303" t="s">
        <v>336</v>
      </c>
      <c r="E28" s="270">
        <f>ROUND(SUM(E25:E27),0)</f>
        <v>51053555</v>
      </c>
      <c r="F28" s="98"/>
      <c r="G28" s="98"/>
      <c r="H28" s="98"/>
      <c r="I28" s="98"/>
      <c r="J28" s="270">
        <f>ROUND(SUM(J25:J27),0)</f>
        <v>21330098</v>
      </c>
      <c r="K28" s="98"/>
      <c r="L28" s="98"/>
      <c r="M28" s="98"/>
      <c r="N28" s="98"/>
      <c r="O28" s="98"/>
      <c r="P28" s="96"/>
      <c r="U28" s="273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/>
      <c r="C29" s="96"/>
      <c r="D29" s="98"/>
      <c r="E29" s="272"/>
      <c r="F29" s="98"/>
      <c r="G29" s="98"/>
      <c r="H29" s="98"/>
      <c r="I29" s="98"/>
      <c r="J29" s="272"/>
      <c r="K29" s="98"/>
      <c r="L29" s="98"/>
      <c r="M29" s="98"/>
      <c r="N29" s="98"/>
      <c r="O29" s="98"/>
      <c r="P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 t="s">
        <v>0</v>
      </c>
      <c r="C30" s="209" t="s">
        <v>280</v>
      </c>
      <c r="D30" s="127" t="s">
        <v>303</v>
      </c>
      <c r="E30" s="272"/>
      <c r="F30" s="98"/>
      <c r="G30" s="98"/>
      <c r="H30" s="98"/>
      <c r="I30" s="98"/>
      <c r="J30" s="272"/>
      <c r="K30" s="98"/>
      <c r="L30" s="98"/>
      <c r="M30" s="98"/>
      <c r="N30" s="98"/>
      <c r="O30" s="98"/>
      <c r="P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/>
      <c r="C31" s="96" t="s">
        <v>57</v>
      </c>
      <c r="D31" s="127"/>
      <c r="E31" s="272"/>
      <c r="F31" s="98"/>
      <c r="G31" s="98"/>
      <c r="I31" s="98"/>
      <c r="J31" s="272"/>
      <c r="K31" s="98"/>
      <c r="L31" s="221"/>
      <c r="M31" s="98"/>
      <c r="N31" s="207"/>
      <c r="O31" s="219"/>
      <c r="P31" s="9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x14ac:dyDescent="0.25">
      <c r="A32" s="93">
        <v>14</v>
      </c>
      <c r="C32" s="360" t="s">
        <v>59</v>
      </c>
      <c r="D32" s="305" t="s">
        <v>58</v>
      </c>
      <c r="E32" s="187">
        <f>'OATT Input Data'!$E$208</f>
        <v>15632079</v>
      </c>
      <c r="F32" s="98"/>
      <c r="G32" s="98" t="s">
        <v>36</v>
      </c>
      <c r="H32" s="215">
        <f>'NITS Pg 4 of 5'!$J$33</f>
        <v>6.2399999999999997E-2</v>
      </c>
      <c r="I32" s="98"/>
      <c r="J32" s="187">
        <f>ROUND(H32*E32,0)</f>
        <v>975442</v>
      </c>
      <c r="K32" s="98"/>
      <c r="L32" s="221"/>
      <c r="M32" s="98"/>
      <c r="N32" s="207"/>
      <c r="P32" s="219"/>
      <c r="Q32" s="219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15</v>
      </c>
      <c r="C33" s="360" t="s">
        <v>391</v>
      </c>
      <c r="D33" s="305" t="s">
        <v>58</v>
      </c>
      <c r="E33" s="549">
        <f>'OATT Input Data'!$E$209</f>
        <v>0</v>
      </c>
      <c r="F33" s="98"/>
      <c r="G33" s="98" t="str">
        <f>+G32</f>
        <v>W/S</v>
      </c>
      <c r="H33" s="215">
        <f>'NITS Pg 4 of 5'!$J$33</f>
        <v>6.2399999999999997E-2</v>
      </c>
      <c r="I33" s="98"/>
      <c r="J33" s="549">
        <f>ROUND(H33*E33,0)</f>
        <v>0</v>
      </c>
      <c r="K33" s="98"/>
      <c r="L33" s="221"/>
      <c r="M33" s="98"/>
      <c r="N33" s="207"/>
      <c r="P33" s="186"/>
      <c r="Q33" s="18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>
        <v>16</v>
      </c>
      <c r="C34" s="96" t="s">
        <v>60</v>
      </c>
      <c r="D34" s="305" t="s">
        <v>0</v>
      </c>
      <c r="E34" s="272"/>
      <c r="F34" s="98"/>
      <c r="G34" s="98"/>
      <c r="I34" s="98"/>
      <c r="J34" s="272"/>
      <c r="K34" s="98"/>
      <c r="L34" s="221"/>
      <c r="M34" s="98"/>
      <c r="N34" s="207"/>
      <c r="P34" s="186"/>
      <c r="Q34" s="18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>
        <v>17</v>
      </c>
      <c r="C35" s="360" t="s">
        <v>61</v>
      </c>
      <c r="D35" s="305" t="s">
        <v>58</v>
      </c>
      <c r="E35" s="188">
        <f>'OATT Input Data'!$E$211</f>
        <v>41409511</v>
      </c>
      <c r="F35" s="98"/>
      <c r="G35" s="98" t="s">
        <v>54</v>
      </c>
      <c r="H35" s="225">
        <f>'NITS Pg 2 of 5'!$H$19</f>
        <v>8.7929999999999994E-2</v>
      </c>
      <c r="I35" s="98"/>
      <c r="J35" s="188">
        <f>ROUND(H35*E35,0)</f>
        <v>3641138</v>
      </c>
      <c r="K35" s="98"/>
      <c r="L35" s="221"/>
      <c r="M35" s="98"/>
      <c r="N35" s="207"/>
      <c r="P35" s="186"/>
      <c r="Q35" s="18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>
        <v>18</v>
      </c>
      <c r="C36" s="360" t="s">
        <v>41</v>
      </c>
      <c r="D36" s="305" t="s">
        <v>58</v>
      </c>
      <c r="E36" s="188">
        <f>'OATT Input Data'!$E$217</f>
        <v>4698828</v>
      </c>
      <c r="F36" s="98"/>
      <c r="G36" s="98" t="str">
        <f>+G35</f>
        <v>GP</v>
      </c>
      <c r="H36" s="225">
        <f>'NITS Pg 2 of 5'!$H$19</f>
        <v>8.7929999999999994E-2</v>
      </c>
      <c r="I36" s="98"/>
      <c r="J36" s="188">
        <f>ROUND(H36*E36,0)</f>
        <v>413168</v>
      </c>
      <c r="K36" s="98"/>
      <c r="L36" s="221"/>
      <c r="M36" s="98"/>
      <c r="P36" s="201"/>
      <c r="Q36" s="201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19</v>
      </c>
      <c r="C37" s="360" t="s">
        <v>392</v>
      </c>
      <c r="D37" s="98"/>
      <c r="E37" s="551">
        <v>0</v>
      </c>
      <c r="F37" s="98"/>
      <c r="G37" s="98" t="s">
        <v>54</v>
      </c>
      <c r="H37" s="225">
        <f>'NITS Pg 2 of 5'!$H$19</f>
        <v>8.7929999999999994E-2</v>
      </c>
      <c r="I37" s="98"/>
      <c r="J37" s="551">
        <f>ROUND(H37*E37,0)</f>
        <v>0</v>
      </c>
      <c r="K37" s="98"/>
      <c r="L37" s="221"/>
      <c r="M37" s="98"/>
      <c r="N37" s="207"/>
      <c r="O37" s="207"/>
      <c r="P37" s="186"/>
      <c r="Q37" s="18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20</v>
      </c>
      <c r="C38" s="209" t="s">
        <v>202</v>
      </c>
      <c r="D38" s="303" t="s">
        <v>411</v>
      </c>
      <c r="E38" s="270">
        <f>ROUND(SUM(E32:E37),0)</f>
        <v>61740418</v>
      </c>
      <c r="F38" s="98"/>
      <c r="G38" s="98"/>
      <c r="H38" s="225"/>
      <c r="I38" s="98"/>
      <c r="J38" s="270">
        <f>ROUND(SUM(J32:J37),0)</f>
        <v>5029748</v>
      </c>
      <c r="K38" s="98"/>
      <c r="L38" s="98"/>
      <c r="M38" s="98"/>
      <c r="N38" s="192"/>
      <c r="O38" s="233"/>
      <c r="P38" s="186"/>
      <c r="Q38" s="18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x14ac:dyDescent="0.25">
      <c r="A39" s="93"/>
      <c r="C39" s="96"/>
      <c r="D39" s="98"/>
      <c r="E39" s="272"/>
      <c r="F39" s="98"/>
      <c r="G39" s="98"/>
      <c r="H39" s="225"/>
      <c r="I39" s="98"/>
      <c r="J39" s="272"/>
      <c r="K39" s="98"/>
      <c r="L39" s="98"/>
      <c r="M39" s="98"/>
      <c r="N39" s="96"/>
      <c r="P39" s="219"/>
      <c r="Q39" s="219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 t="s">
        <v>62</v>
      </c>
      <c r="C40" s="96"/>
      <c r="D40" s="98"/>
      <c r="E40" s="272"/>
      <c r="F40" s="98"/>
      <c r="G40" s="98"/>
      <c r="H40" s="225"/>
      <c r="I40" s="98"/>
      <c r="J40" s="272"/>
      <c r="K40" s="98"/>
      <c r="L40" s="98"/>
      <c r="M40" s="98"/>
      <c r="N40" s="98"/>
      <c r="P40" s="219"/>
      <c r="Q40" s="219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 t="s">
        <v>0</v>
      </c>
      <c r="C41" s="209" t="s">
        <v>307</v>
      </c>
      <c r="D41" s="305" t="s">
        <v>305</v>
      </c>
      <c r="E41" s="272"/>
      <c r="F41" s="98"/>
      <c r="H41" s="220"/>
      <c r="I41" s="98"/>
      <c r="J41" s="272"/>
      <c r="K41" s="98"/>
      <c r="M41" s="98"/>
      <c r="N41" s="214"/>
      <c r="P41" s="219"/>
      <c r="Q41" s="219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>
        <v>21</v>
      </c>
      <c r="C42" s="341" t="s">
        <v>401</v>
      </c>
      <c r="D42" s="98"/>
      <c r="E42" s="275">
        <f>IF('OATT Input Data'!$B$221&gt;0,1-(((1-'OATT Input Data'!$B$222)*(1-'OATT Input Data'!$B$221))/(1-'OATT Input Data'!$B$222*'OATT Input Data'!$B$221*'OATT Input Data'!$B$223)),0)</f>
        <v>0.38900000000000001</v>
      </c>
      <c r="F42" s="98"/>
      <c r="H42" s="220"/>
      <c r="I42" s="98"/>
      <c r="J42" s="272"/>
      <c r="K42" s="98"/>
      <c r="M42" s="98"/>
      <c r="N42" s="98"/>
      <c r="P42" s="219"/>
      <c r="Q42" s="219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>
        <v>22</v>
      </c>
      <c r="C43" s="342" t="s">
        <v>402</v>
      </c>
      <c r="D43" s="98"/>
      <c r="E43" s="275">
        <f>IF('NITS Pg 4 of 5'!$J$56&gt;0,ROUND((E42/(1-E42))*(1-'NITS Pg 4 of 5'!$J$53/'NITS Pg 4 of 5'!$J$56),4),0)</f>
        <v>0.50680000000000003</v>
      </c>
      <c r="F43" s="98"/>
      <c r="H43" s="220"/>
      <c r="I43" s="98"/>
      <c r="J43" s="272"/>
      <c r="K43" s="98"/>
      <c r="M43" s="98"/>
      <c r="N43" s="98"/>
      <c r="O43" s="255"/>
      <c r="P43" s="219"/>
      <c r="Q43" s="219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/>
      <c r="C44" s="340" t="s">
        <v>337</v>
      </c>
      <c r="D44" s="303" t="s">
        <v>333</v>
      </c>
      <c r="E44" s="349">
        <f>'NITS Pg 4 of 5'!J53</f>
        <v>1.5599999999999999E-2</v>
      </c>
      <c r="F44" s="98"/>
      <c r="H44" s="220"/>
      <c r="I44" s="98"/>
      <c r="J44" s="272"/>
      <c r="K44" s="98"/>
      <c r="M44" s="98"/>
      <c r="O44" s="97"/>
      <c r="P44" s="186"/>
      <c r="Q44" s="97"/>
      <c r="R44" s="97"/>
      <c r="S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/>
      <c r="C45" s="340" t="s">
        <v>338</v>
      </c>
      <c r="D45" s="303" t="s">
        <v>334</v>
      </c>
      <c r="E45" s="349">
        <f>'NITS Pg 4 of 5'!J56</f>
        <v>7.6500000009999999E-2</v>
      </c>
      <c r="F45" s="98"/>
      <c r="H45" s="220"/>
      <c r="I45" s="98"/>
      <c r="J45" s="188"/>
      <c r="K45" s="98"/>
      <c r="M45" s="98"/>
      <c r="N45" s="98"/>
      <c r="O45" s="192"/>
      <c r="P45" s="186"/>
      <c r="Q45" s="97"/>
      <c r="R45" s="97"/>
      <c r="S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C46" s="340" t="s">
        <v>306</v>
      </c>
      <c r="D46" s="305" t="s">
        <v>305</v>
      </c>
      <c r="E46" s="272"/>
      <c r="F46" s="98"/>
      <c r="H46" s="220"/>
      <c r="I46" s="98"/>
      <c r="J46" s="188"/>
      <c r="K46" s="98"/>
      <c r="M46" s="98"/>
      <c r="N46" s="98"/>
      <c r="O46" s="192"/>
      <c r="P46" s="186"/>
      <c r="Q46" s="97"/>
      <c r="R46" s="97"/>
      <c r="S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23</v>
      </c>
      <c r="C47" s="274" t="s">
        <v>308</v>
      </c>
      <c r="D47" s="303" t="s">
        <v>924</v>
      </c>
      <c r="E47" s="369">
        <f>IF(E42&gt;0,ROUND(1/(1-E42),8),0)</f>
        <v>1.63666121</v>
      </c>
      <c r="F47" s="98"/>
      <c r="H47" s="220"/>
      <c r="I47" s="98"/>
      <c r="J47" s="188"/>
      <c r="K47" s="98"/>
      <c r="M47" s="98"/>
      <c r="N47" s="98"/>
      <c r="O47" s="192"/>
      <c r="P47" s="276"/>
      <c r="Q47" s="276"/>
      <c r="R47" s="97"/>
      <c r="S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24</v>
      </c>
      <c r="C48" s="209" t="s">
        <v>309</v>
      </c>
      <c r="D48" s="303" t="s">
        <v>393</v>
      </c>
      <c r="E48" s="549">
        <v>0</v>
      </c>
      <c r="F48" s="98"/>
      <c r="H48" s="220"/>
      <c r="I48" s="98"/>
      <c r="J48" s="188"/>
      <c r="K48" s="98"/>
      <c r="M48" s="98"/>
      <c r="N48" s="98"/>
      <c r="O48" s="192"/>
      <c r="P48" s="186"/>
      <c r="Q48" s="186"/>
      <c r="R48" s="97"/>
      <c r="S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50" x14ac:dyDescent="0.25">
      <c r="A49" s="93"/>
      <c r="C49" s="96"/>
      <c r="D49" s="98"/>
      <c r="E49" s="272"/>
      <c r="F49" s="98"/>
      <c r="H49" s="220"/>
      <c r="I49" s="98"/>
      <c r="J49" s="188"/>
      <c r="K49" s="98"/>
      <c r="M49" s="98"/>
      <c r="N49" s="98"/>
      <c r="O49" s="192"/>
      <c r="P49" s="192"/>
      <c r="Q49" s="97"/>
      <c r="R49" s="97"/>
      <c r="S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50" x14ac:dyDescent="0.25">
      <c r="A50" s="93">
        <v>25</v>
      </c>
      <c r="C50" s="274" t="s">
        <v>311</v>
      </c>
      <c r="D50" s="350" t="s">
        <v>412</v>
      </c>
      <c r="E50" s="270">
        <f>ROUND(E43*E54,0)</f>
        <v>235121288</v>
      </c>
      <c r="F50" s="98"/>
      <c r="G50" s="98"/>
      <c r="H50" s="225"/>
      <c r="I50" s="98"/>
      <c r="J50" s="187">
        <f>ROUND(E43*J54,0)</f>
        <v>19496266</v>
      </c>
      <c r="K50" s="98"/>
      <c r="L50" s="277" t="s">
        <v>0</v>
      </c>
      <c r="M50" s="98"/>
      <c r="N50" s="98"/>
      <c r="O50" s="192"/>
      <c r="P50" s="192"/>
      <c r="Q50" s="97"/>
      <c r="R50" s="97"/>
      <c r="S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50" ht="18" x14ac:dyDescent="0.4">
      <c r="A51" s="93">
        <v>26</v>
      </c>
      <c r="C51" s="241" t="s">
        <v>312</v>
      </c>
      <c r="D51" s="350" t="s">
        <v>413</v>
      </c>
      <c r="E51" s="552">
        <f>ROUND(E47*E48,0)</f>
        <v>0</v>
      </c>
      <c r="F51" s="98"/>
      <c r="G51" s="89" t="s">
        <v>46</v>
      </c>
      <c r="H51" s="225">
        <f>'NITS Pg 2 of 5'!$H$35</f>
        <v>8.2869999999999999E-2</v>
      </c>
      <c r="I51" s="98"/>
      <c r="J51" s="550">
        <f>ROUND(H53*E53,0)</f>
        <v>0</v>
      </c>
      <c r="K51" s="98"/>
      <c r="L51" s="277"/>
      <c r="M51" s="98"/>
      <c r="N51" s="98"/>
      <c r="O51" s="192"/>
      <c r="P51" s="192"/>
      <c r="Q51" s="97"/>
      <c r="R51" s="97"/>
      <c r="S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50" x14ac:dyDescent="0.25">
      <c r="A52" s="93">
        <v>27</v>
      </c>
      <c r="C52" s="278" t="s">
        <v>63</v>
      </c>
      <c r="D52" s="339" t="s">
        <v>414</v>
      </c>
      <c r="E52" s="279">
        <f>E50+E51</f>
        <v>235121288</v>
      </c>
      <c r="F52" s="98"/>
      <c r="G52" s="98" t="s">
        <v>0</v>
      </c>
      <c r="H52" s="225" t="s">
        <v>0</v>
      </c>
      <c r="I52" s="98"/>
      <c r="J52" s="279">
        <f>J50+J51</f>
        <v>19496266</v>
      </c>
      <c r="K52" s="98"/>
      <c r="L52" s="98"/>
      <c r="M52" s="98"/>
      <c r="N52" s="98"/>
      <c r="O52" s="98"/>
      <c r="P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50" x14ac:dyDescent="0.25">
      <c r="A53" s="93" t="s">
        <v>0</v>
      </c>
      <c r="D53" s="280"/>
      <c r="E53" s="272"/>
      <c r="F53" s="98"/>
      <c r="G53" s="98"/>
      <c r="H53" s="225"/>
      <c r="I53" s="98"/>
      <c r="J53" s="188"/>
      <c r="K53" s="98"/>
      <c r="L53" s="98"/>
      <c r="M53" s="98"/>
      <c r="N53" s="98"/>
      <c r="O53" s="98"/>
      <c r="P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50" ht="18" x14ac:dyDescent="0.4">
      <c r="A54" s="93">
        <v>28</v>
      </c>
      <c r="C54" s="209" t="s">
        <v>310</v>
      </c>
      <c r="D54" s="339" t="s">
        <v>339</v>
      </c>
      <c r="E54" s="281">
        <f>ROUND('NITS Pg 4 of 5'!$J$56*'NITS Pg 2 of 5'!$E$57,0)</f>
        <v>463933086</v>
      </c>
      <c r="F54" s="98"/>
      <c r="G54" s="98"/>
      <c r="H54" s="220"/>
      <c r="I54" s="98"/>
      <c r="J54" s="281">
        <f>ROUND('NITS Pg 4 of 5'!$J$56*'NITS Pg 2 of 5'!$J$57,0)</f>
        <v>38469348</v>
      </c>
      <c r="K54" s="98"/>
      <c r="M54" s="98"/>
      <c r="N54" s="98"/>
      <c r="O54" s="219"/>
      <c r="P54" s="98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50" x14ac:dyDescent="0.25">
      <c r="A55" s="93"/>
      <c r="C55" s="96"/>
      <c r="E55" s="272"/>
      <c r="F55" s="98"/>
      <c r="G55" s="98"/>
      <c r="H55" s="220"/>
      <c r="I55" s="98"/>
      <c r="J55" s="188"/>
      <c r="K55" s="98"/>
      <c r="L55" s="221"/>
      <c r="M55" s="98"/>
      <c r="N55" s="98"/>
      <c r="O55" s="219"/>
      <c r="P55" s="98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50" ht="18" x14ac:dyDescent="0.4">
      <c r="A56" s="93">
        <v>29</v>
      </c>
      <c r="C56" s="209" t="s">
        <v>203</v>
      </c>
      <c r="D56" s="303" t="s">
        <v>409</v>
      </c>
      <c r="E56" s="287">
        <f>ROUND(E54+E52+E38+E28+E22,0)</f>
        <v>1029275102</v>
      </c>
      <c r="F56" s="98"/>
      <c r="G56" s="98"/>
      <c r="H56" s="98"/>
      <c r="I56" s="98"/>
      <c r="J56" s="287">
        <f>ROUND(J54+J52+J38+J28+J22,0)</f>
        <v>129955390</v>
      </c>
      <c r="K56" s="95"/>
      <c r="L56" s="95"/>
      <c r="M56" s="95"/>
      <c r="N56" s="95"/>
      <c r="O56" s="95"/>
      <c r="P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50" x14ac:dyDescent="0.25">
      <c r="Q57" s="127"/>
      <c r="R57" s="127"/>
      <c r="S57" s="12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1:50" x14ac:dyDescent="0.25">
      <c r="Q58" s="127"/>
      <c r="R58" s="127"/>
      <c r="S58" s="12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1:50" x14ac:dyDescent="0.25">
      <c r="Q59" s="127"/>
      <c r="R59" s="127"/>
      <c r="S59" s="12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1:50" x14ac:dyDescent="0.25">
      <c r="Q60" s="127"/>
      <c r="R60" s="127"/>
      <c r="S60" s="12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1:50" x14ac:dyDescent="0.25">
      <c r="P61" s="89" t="s">
        <v>0</v>
      </c>
      <c r="Q61" s="127"/>
      <c r="R61" s="127"/>
      <c r="S61" s="12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1:50" x14ac:dyDescent="0.25">
      <c r="Q62" s="127"/>
      <c r="R62" s="127"/>
      <c r="S62" s="12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1:50" x14ac:dyDescent="0.25">
      <c r="Q63" s="127"/>
      <c r="R63" s="127"/>
      <c r="S63" s="12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1:50" x14ac:dyDescent="0.25">
      <c r="Q64" s="127"/>
      <c r="R64" s="127"/>
      <c r="S64" s="12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17:50" x14ac:dyDescent="0.25">
      <c r="Q65" s="127"/>
      <c r="R65" s="127"/>
      <c r="S65" s="12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7:50" x14ac:dyDescent="0.25">
      <c r="Q66" s="127"/>
      <c r="R66" s="127"/>
      <c r="S66" s="12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7:50" x14ac:dyDescent="0.25">
      <c r="Q67" s="127"/>
      <c r="R67" s="127"/>
      <c r="S67" s="12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7:50" x14ac:dyDescent="0.25">
      <c r="Q68" s="127"/>
      <c r="R68" s="127"/>
      <c r="S68" s="12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7:50" x14ac:dyDescent="0.25"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7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7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7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7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7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7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7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7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7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7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7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:50" x14ac:dyDescent="0.25">
      <c r="A179" s="97"/>
      <c r="B179" s="97"/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:50" x14ac:dyDescent="0.25">
      <c r="A180" s="97"/>
      <c r="B180" s="97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Q180" s="129"/>
      <c r="R180" s="129"/>
      <c r="S180" s="129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:50" x14ac:dyDescent="0.25">
      <c r="A181" s="97"/>
      <c r="B181" s="97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:50" x14ac:dyDescent="0.25">
      <c r="A182" s="97"/>
      <c r="B182" s="97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:50" x14ac:dyDescent="0.25">
      <c r="A183" s="97"/>
      <c r="B183" s="97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:50" x14ac:dyDescent="0.25">
      <c r="A184" s="97"/>
      <c r="B184" s="97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:50" x14ac:dyDescent="0.25">
      <c r="A185" s="97"/>
      <c r="B185" s="97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:50" x14ac:dyDescent="0.25">
      <c r="A186" s="97"/>
      <c r="B186" s="97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:50" x14ac:dyDescent="0.25">
      <c r="A187" s="97"/>
      <c r="B187" s="97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:50" x14ac:dyDescent="0.25">
      <c r="A188" s="97"/>
      <c r="B188" s="97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:50" x14ac:dyDescent="0.25">
      <c r="A189" s="97"/>
      <c r="B189" s="97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:50" x14ac:dyDescent="0.25">
      <c r="A190" s="97"/>
      <c r="B190" s="97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:50" x14ac:dyDescent="0.25">
      <c r="A191" s="97"/>
      <c r="B191" s="97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:50" x14ac:dyDescent="0.25">
      <c r="A192" s="97"/>
      <c r="B192" s="97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A193" s="97"/>
      <c r="B193" s="97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A194" s="97"/>
      <c r="B194" s="97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A195" s="97"/>
      <c r="B195" s="97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A196" s="97"/>
      <c r="B196" s="97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A197" s="97"/>
      <c r="B197" s="97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A198" s="97"/>
      <c r="B198" s="97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A199" s="97"/>
      <c r="B199" s="97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A200" s="97"/>
      <c r="B200" s="97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A201" s="97"/>
      <c r="B201" s="97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A202" s="97"/>
      <c r="B202" s="97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AB347" s="97"/>
      <c r="AD347" s="97"/>
      <c r="AE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W348" s="97"/>
      <c r="X348" s="97"/>
      <c r="Y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W349" s="97"/>
      <c r="Y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Y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</row>
    <row r="353" spans="1:14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</row>
    <row r="354" spans="1:14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</row>
    <row r="355" spans="1:14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</row>
    <row r="356" spans="1:14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</row>
    <row r="357" spans="1:14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</row>
    <row r="358" spans="1:14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</row>
    <row r="359" spans="1:14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</row>
    <row r="360" spans="1:14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</row>
    <row r="361" spans="1:14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</row>
    <row r="362" spans="1:14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</row>
    <row r="363" spans="1:14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</row>
    <row r="364" spans="1:14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</row>
    <row r="365" spans="1:14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</row>
    <row r="366" spans="1:14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1:14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</row>
    <row r="368" spans="1:14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</row>
    <row r="369" spans="1:14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</row>
    <row r="370" spans="1:14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</row>
    <row r="371" spans="1:14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</row>
    <row r="372" spans="1:14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</row>
    <row r="373" spans="1:14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</row>
    <row r="374" spans="1:14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</row>
    <row r="375" spans="1:14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14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14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14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14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14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14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14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14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14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</sheetData>
  <printOptions horizontalCentered="1"/>
  <pageMargins left="0.75" right="0.75" top="0.53" bottom="0.51" header="0.5" footer="0.5"/>
  <pageSetup scale="39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FF99"/>
    <pageSetUpPr fitToPage="1"/>
  </sheetPr>
  <dimension ref="A1:AX596"/>
  <sheetViews>
    <sheetView workbookViewId="0"/>
  </sheetViews>
  <sheetFormatPr defaultColWidth="9.33203125" defaultRowHeight="15.75" x14ac:dyDescent="0.25"/>
  <cols>
    <col min="1" max="1" width="9" style="89" customWidth="1"/>
    <col min="2" max="2" width="2.1640625" style="89" customWidth="1"/>
    <col min="3" max="3" width="44.6640625" style="89" customWidth="1"/>
    <col min="4" max="4" width="31.1640625" style="89" customWidth="1"/>
    <col min="5" max="5" width="26.33203125" style="89" customWidth="1"/>
    <col min="6" max="6" width="15" style="89" customWidth="1"/>
    <col min="7" max="7" width="20.6640625" style="89" customWidth="1"/>
    <col min="8" max="8" width="18.5" style="89" customWidth="1"/>
    <col min="9" max="9" width="8.6640625" style="89" customWidth="1"/>
    <col min="10" max="10" width="23" style="89" customWidth="1"/>
    <col min="11" max="11" width="12.1640625" style="89" customWidth="1"/>
    <col min="12" max="12" width="11.6640625" style="89" customWidth="1"/>
    <col min="13" max="13" width="2.83203125" style="89" customWidth="1"/>
    <col min="14" max="14" width="41" style="89" customWidth="1"/>
    <col min="15" max="15" width="48.83203125" style="89" customWidth="1"/>
    <col min="16" max="16" width="23.5" style="89" customWidth="1"/>
    <col min="17" max="17" width="20.5" style="89" customWidth="1"/>
    <col min="18" max="18" width="20.83203125" style="89" customWidth="1"/>
    <col min="19" max="19" width="23.6640625" style="89" bestFit="1" customWidth="1"/>
    <col min="20" max="20" width="22.1640625" style="89" bestFit="1" customWidth="1"/>
    <col min="21" max="21" width="23" style="89" bestFit="1" customWidth="1"/>
    <col min="22" max="22" width="19.83203125" style="89" customWidth="1"/>
    <col min="23" max="23" width="20.33203125" style="89" customWidth="1"/>
    <col min="24" max="24" width="23.5" style="89" bestFit="1" customWidth="1"/>
    <col min="25" max="25" width="21.6640625" style="89" bestFit="1" customWidth="1"/>
    <col min="26" max="26" width="16.1640625" style="89" customWidth="1"/>
    <col min="27" max="28" width="23.5" style="89" bestFit="1" customWidth="1"/>
    <col min="29" max="29" width="21.33203125" style="89" bestFit="1" customWidth="1"/>
    <col min="30" max="30" width="23.5" style="89" bestFit="1" customWidth="1"/>
    <col min="31" max="31" width="21.33203125" style="89" bestFit="1" customWidth="1"/>
    <col min="32" max="32" width="20.6640625" style="89" bestFit="1" customWidth="1"/>
    <col min="33" max="16384" width="9.33203125" style="89"/>
  </cols>
  <sheetData>
    <row r="1" spans="1:33" s="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2"/>
      <c r="M1" s="283"/>
      <c r="N1" s="4"/>
      <c r="O1" s="4"/>
      <c r="P1" s="4"/>
    </row>
    <row r="2" spans="1:33" s="1" customFormat="1" x14ac:dyDescent="0.25">
      <c r="A2" s="298" t="s">
        <v>429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2"/>
      <c r="M2" s="296"/>
      <c r="N2" s="4"/>
      <c r="O2" s="4"/>
      <c r="P2" s="4"/>
    </row>
    <row r="3" spans="1:33" s="1" customFormat="1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33" s="1" customFormat="1" x14ac:dyDescent="0.25">
      <c r="A4" s="1" t="s">
        <v>186</v>
      </c>
      <c r="C4" s="2"/>
      <c r="D4" s="2"/>
      <c r="E4" s="8"/>
      <c r="F4" s="2"/>
      <c r="G4" s="2"/>
      <c r="H4" s="2"/>
      <c r="I4" s="4"/>
      <c r="K4" s="352" t="s">
        <v>918</v>
      </c>
      <c r="L4" s="4"/>
      <c r="M4" s="4"/>
      <c r="N4" s="4"/>
      <c r="O4" s="5"/>
      <c r="P4" s="4"/>
    </row>
    <row r="5" spans="1:33" s="1" customFormat="1" x14ac:dyDescent="0.25">
      <c r="A5" s="353" t="s">
        <v>187</v>
      </c>
      <c r="C5" s="2"/>
      <c r="D5" s="9"/>
      <c r="F5" s="9"/>
      <c r="G5" s="9"/>
      <c r="H5" s="9"/>
      <c r="I5" s="2"/>
      <c r="J5" s="2"/>
      <c r="K5" s="286" t="s">
        <v>125</v>
      </c>
      <c r="L5" s="300"/>
      <c r="M5" s="4"/>
      <c r="N5" s="4"/>
      <c r="O5" s="4"/>
      <c r="P5" s="4"/>
    </row>
    <row r="6" spans="1:33" s="1" customFormat="1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33" s="1" customFormat="1" x14ac:dyDescent="0.25">
      <c r="A7" s="356" t="s">
        <v>130</v>
      </c>
      <c r="B7" s="298"/>
      <c r="C7" s="357"/>
      <c r="D7" s="357"/>
      <c r="E7" s="298"/>
      <c r="F7" s="357"/>
      <c r="G7" s="357"/>
      <c r="H7" s="357"/>
      <c r="I7" s="357"/>
      <c r="J7" s="357"/>
      <c r="K7" s="357"/>
      <c r="L7" s="2"/>
      <c r="M7" s="4"/>
      <c r="N7" s="4"/>
      <c r="O7" s="4"/>
      <c r="P7" s="4"/>
    </row>
    <row r="8" spans="1:33" x14ac:dyDescent="0.25">
      <c r="A8" s="358" t="s">
        <v>390</v>
      </c>
      <c r="B8" s="259"/>
      <c r="C8" s="259"/>
      <c r="D8" s="259"/>
      <c r="E8" s="259"/>
      <c r="F8" s="355"/>
      <c r="G8" s="355"/>
      <c r="H8" s="355"/>
      <c r="I8" s="355"/>
      <c r="J8" s="355"/>
      <c r="K8" s="302"/>
      <c r="L8" s="98"/>
      <c r="M8" s="98"/>
      <c r="N8" s="95"/>
      <c r="O8" s="98"/>
      <c r="P8" s="96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x14ac:dyDescent="0.25">
      <c r="A9" s="93" t="s">
        <v>1</v>
      </c>
      <c r="C9" s="184"/>
      <c r="D9" s="95"/>
      <c r="E9" s="95"/>
      <c r="F9" s="95"/>
      <c r="G9" s="95"/>
      <c r="H9" s="95"/>
      <c r="I9" s="95"/>
      <c r="J9" s="95"/>
      <c r="K9" s="98"/>
      <c r="L9" s="98"/>
      <c r="M9" s="98"/>
      <c r="N9" s="95"/>
      <c r="O9" s="98"/>
      <c r="P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ht="16.5" thickBot="1" x14ac:dyDescent="0.3">
      <c r="A10" s="185" t="s">
        <v>3</v>
      </c>
      <c r="C10" s="183" t="s">
        <v>204</v>
      </c>
      <c r="D10" s="114"/>
      <c r="E10" s="114"/>
      <c r="F10" s="114"/>
      <c r="G10" s="114"/>
      <c r="H10" s="114"/>
      <c r="I10" s="97"/>
      <c r="J10" s="97"/>
      <c r="K10" s="186"/>
      <c r="L10" s="98"/>
      <c r="M10" s="98"/>
      <c r="N10" s="95"/>
      <c r="O10" s="98"/>
      <c r="P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x14ac:dyDescent="0.25">
      <c r="A11" s="93">
        <v>1</v>
      </c>
      <c r="C11" s="183" t="s">
        <v>205</v>
      </c>
      <c r="D11" s="114"/>
      <c r="E11" s="186"/>
      <c r="F11" s="186"/>
      <c r="G11" s="310" t="s">
        <v>331</v>
      </c>
      <c r="H11" s="186"/>
      <c r="I11" s="186"/>
      <c r="J11" s="187">
        <f>'NITS Pg 2 of 5'!E15</f>
        <v>1116349499</v>
      </c>
      <c r="K11" s="186"/>
      <c r="L11" s="98"/>
      <c r="M11" s="98"/>
      <c r="N11" s="95"/>
      <c r="O11" s="98"/>
      <c r="P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x14ac:dyDescent="0.25">
      <c r="A12" s="93">
        <v>2</v>
      </c>
      <c r="C12" s="183" t="s">
        <v>207</v>
      </c>
      <c r="D12" s="97"/>
      <c r="E12" s="97"/>
      <c r="F12" s="97"/>
      <c r="G12" s="129" t="s">
        <v>206</v>
      </c>
      <c r="H12" s="97"/>
      <c r="I12" s="97"/>
      <c r="J12" s="188">
        <f>ROUND('VA Transmission'!$G$48,0)</f>
        <v>50360382</v>
      </c>
      <c r="K12" s="186"/>
      <c r="L12" s="98"/>
      <c r="M12" s="98"/>
      <c r="N12" s="95"/>
      <c r="O12" s="98"/>
      <c r="P12" s="189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8.75" thickBot="1" x14ac:dyDescent="0.45">
      <c r="A13" s="93">
        <v>3</v>
      </c>
      <c r="C13" s="308" t="s">
        <v>209</v>
      </c>
      <c r="D13" s="190"/>
      <c r="E13" s="191"/>
      <c r="F13" s="186"/>
      <c r="G13" s="307" t="s">
        <v>208</v>
      </c>
      <c r="H13" s="192"/>
      <c r="I13" s="186"/>
      <c r="J13" s="550">
        <v>0</v>
      </c>
      <c r="K13" s="186"/>
      <c r="L13" s="98"/>
      <c r="M13" s="98"/>
      <c r="N13" s="95"/>
      <c r="O13" s="98"/>
      <c r="P13" s="189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x14ac:dyDescent="0.25">
      <c r="A14" s="93">
        <v>4</v>
      </c>
      <c r="C14" s="183" t="s">
        <v>340</v>
      </c>
      <c r="D14" s="114"/>
      <c r="E14" s="186"/>
      <c r="F14" s="186"/>
      <c r="G14" s="306" t="s">
        <v>210</v>
      </c>
      <c r="H14" s="192"/>
      <c r="I14" s="186"/>
      <c r="J14" s="187">
        <f>ROUND(J11-J12-J13,0)</f>
        <v>1065989117</v>
      </c>
      <c r="K14" s="186"/>
      <c r="L14" s="98"/>
      <c r="M14" s="98"/>
      <c r="N14" s="95"/>
      <c r="O14" s="98"/>
      <c r="P14" s="96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x14ac:dyDescent="0.25">
      <c r="A15" s="93"/>
      <c r="C15" s="97"/>
      <c r="D15" s="114"/>
      <c r="E15" s="186"/>
      <c r="F15" s="186"/>
      <c r="G15" s="186"/>
      <c r="H15" s="192"/>
      <c r="I15" s="186"/>
      <c r="J15" s="188"/>
      <c r="K15" s="186"/>
      <c r="L15" s="98"/>
      <c r="M15" s="98"/>
      <c r="N15" s="95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x14ac:dyDescent="0.25">
      <c r="A16" s="93">
        <v>5</v>
      </c>
      <c r="C16" s="183" t="s">
        <v>341</v>
      </c>
      <c r="D16" s="194"/>
      <c r="E16" s="195"/>
      <c r="F16" s="195"/>
      <c r="G16" s="309" t="s">
        <v>211</v>
      </c>
      <c r="H16" s="196"/>
      <c r="I16" s="186" t="s">
        <v>64</v>
      </c>
      <c r="J16" s="197">
        <f>IF(J11&gt;0,ROUND(J14/J11,5),0)</f>
        <v>0.95489000000000002</v>
      </c>
      <c r="K16" s="186"/>
      <c r="L16" s="98"/>
      <c r="M16" s="98"/>
      <c r="N16" s="95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5">
      <c r="A17" s="93"/>
      <c r="C17" s="97"/>
      <c r="D17" s="97"/>
      <c r="E17" s="97"/>
      <c r="F17" s="97"/>
      <c r="G17" s="97"/>
      <c r="H17" s="97"/>
      <c r="I17" s="97"/>
      <c r="J17" s="188"/>
      <c r="K17" s="186"/>
      <c r="L17" s="98"/>
      <c r="M17" s="98"/>
      <c r="N17" s="95"/>
      <c r="R17" s="198"/>
      <c r="S17" s="198"/>
      <c r="T17" s="198"/>
      <c r="U17" s="198"/>
      <c r="V17" s="198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x14ac:dyDescent="0.25">
      <c r="A18" s="93"/>
      <c r="C18" s="199" t="s">
        <v>65</v>
      </c>
      <c r="D18" s="97"/>
      <c r="E18" s="97"/>
      <c r="F18" s="97"/>
      <c r="G18" s="97"/>
      <c r="H18" s="97"/>
      <c r="I18" s="97"/>
      <c r="J18" s="188"/>
      <c r="K18" s="186"/>
      <c r="L18" s="98"/>
      <c r="M18" s="98"/>
      <c r="N18" s="95"/>
      <c r="R18" s="198"/>
      <c r="S18" s="198"/>
      <c r="T18" s="198"/>
      <c r="U18" s="198"/>
      <c r="V18" s="198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x14ac:dyDescent="0.25">
      <c r="A19" s="93">
        <v>6</v>
      </c>
      <c r="C19" s="232" t="s">
        <v>216</v>
      </c>
      <c r="D19" s="97"/>
      <c r="E19" s="114"/>
      <c r="F19" s="114"/>
      <c r="G19" s="310" t="s">
        <v>332</v>
      </c>
      <c r="H19" s="200"/>
      <c r="I19" s="114"/>
      <c r="J19" s="187">
        <f>'NITS Pg 3 of 5'!E14</f>
        <v>44727255.659999996</v>
      </c>
      <c r="K19" s="186"/>
      <c r="L19" s="98"/>
      <c r="M19" s="98"/>
      <c r="N19" s="98"/>
      <c r="R19" s="201"/>
      <c r="S19" s="202"/>
      <c r="T19" s="198"/>
      <c r="U19" s="198"/>
      <c r="V19" s="198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ht="18.75" thickBot="1" x14ac:dyDescent="0.45">
      <c r="A20" s="93">
        <v>7</v>
      </c>
      <c r="C20" s="308" t="s">
        <v>215</v>
      </c>
      <c r="D20" s="190"/>
      <c r="E20" s="191"/>
      <c r="F20" s="201"/>
      <c r="G20" s="307" t="s">
        <v>212</v>
      </c>
      <c r="H20" s="186"/>
      <c r="I20" s="186"/>
      <c r="J20" s="193">
        <f>'NITS Pg 3 of 5'!E15*-1</f>
        <v>4284886</v>
      </c>
      <c r="K20" s="186"/>
      <c r="L20" s="98"/>
      <c r="M20" s="98"/>
      <c r="N20" s="201"/>
      <c r="R20" s="201"/>
      <c r="S20" s="202"/>
      <c r="T20" s="198"/>
      <c r="U20" s="198"/>
      <c r="V20" s="198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x14ac:dyDescent="0.25">
      <c r="A21" s="93">
        <v>8</v>
      </c>
      <c r="C21" s="183" t="s">
        <v>214</v>
      </c>
      <c r="D21" s="194"/>
      <c r="E21" s="195"/>
      <c r="F21" s="195"/>
      <c r="G21" s="310" t="s">
        <v>213</v>
      </c>
      <c r="H21" s="196"/>
      <c r="I21" s="195"/>
      <c r="J21" s="187">
        <f>ROUND(J19-J20,0)</f>
        <v>40442370</v>
      </c>
      <c r="K21" s="97"/>
      <c r="M21" s="98"/>
      <c r="N21" s="98"/>
      <c r="S21" s="198"/>
      <c r="T21" s="198"/>
      <c r="U21" s="198"/>
      <c r="V21" s="198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x14ac:dyDescent="0.25">
      <c r="A22" s="93"/>
      <c r="C22" s="118"/>
      <c r="D22" s="114"/>
      <c r="E22" s="186"/>
      <c r="F22" s="186"/>
      <c r="G22" s="186"/>
      <c r="H22" s="186"/>
      <c r="I22" s="97"/>
      <c r="J22" s="97"/>
      <c r="K22" s="97"/>
      <c r="M22" s="98"/>
      <c r="N22" s="98"/>
      <c r="S22" s="198"/>
      <c r="T22" s="198"/>
      <c r="U22" s="198"/>
      <c r="V22" s="198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x14ac:dyDescent="0.25">
      <c r="A23" s="93">
        <v>9</v>
      </c>
      <c r="C23" s="183" t="s">
        <v>220</v>
      </c>
      <c r="D23" s="114"/>
      <c r="E23" s="186"/>
      <c r="F23" s="186"/>
      <c r="G23" s="311" t="s">
        <v>217</v>
      </c>
      <c r="H23" s="186"/>
      <c r="I23" s="186"/>
      <c r="J23" s="203">
        <f>ROUND(J21/J19,5)</f>
        <v>0.9042</v>
      </c>
      <c r="K23" s="97"/>
      <c r="M23" s="98"/>
      <c r="N23" s="98"/>
      <c r="S23" s="204"/>
      <c r="T23" s="198"/>
      <c r="U23" s="198"/>
      <c r="V23" s="198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x14ac:dyDescent="0.25">
      <c r="A24" s="93">
        <v>10</v>
      </c>
      <c r="C24" s="183" t="s">
        <v>341</v>
      </c>
      <c r="D24" s="114"/>
      <c r="E24" s="186"/>
      <c r="F24" s="186"/>
      <c r="G24" s="307" t="s">
        <v>218</v>
      </c>
      <c r="H24" s="186"/>
      <c r="I24" s="114" t="s">
        <v>9</v>
      </c>
      <c r="J24" s="205">
        <f>J16</f>
        <v>0.95489000000000002</v>
      </c>
      <c r="K24" s="97"/>
      <c r="M24" s="98"/>
      <c r="N24" s="98"/>
      <c r="S24" s="204"/>
      <c r="T24" s="198"/>
      <c r="U24" s="198"/>
      <c r="V24" s="198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x14ac:dyDescent="0.25">
      <c r="A25" s="93">
        <v>11</v>
      </c>
      <c r="C25" s="183" t="s">
        <v>342</v>
      </c>
      <c r="D25" s="114"/>
      <c r="E25" s="114"/>
      <c r="F25" s="114"/>
      <c r="G25" s="307" t="s">
        <v>219</v>
      </c>
      <c r="H25" s="114"/>
      <c r="I25" s="114" t="s">
        <v>66</v>
      </c>
      <c r="J25" s="206">
        <f>ROUND(J24*J23,5)</f>
        <v>0.86341000000000001</v>
      </c>
      <c r="K25" s="97"/>
      <c r="M25" s="98"/>
      <c r="N25" s="98"/>
      <c r="S25" s="204"/>
      <c r="T25" s="198"/>
      <c r="U25" s="198"/>
      <c r="V25" s="198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x14ac:dyDescent="0.25">
      <c r="A26" s="93"/>
      <c r="D26" s="95"/>
      <c r="E26" s="98"/>
      <c r="F26" s="98"/>
      <c r="G26" s="98"/>
      <c r="H26" s="207"/>
      <c r="I26" s="98"/>
      <c r="M26" s="98"/>
      <c r="N26" s="98"/>
      <c r="S26" s="208"/>
      <c r="T26" s="198"/>
      <c r="U26" s="198"/>
      <c r="V26" s="198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x14ac:dyDescent="0.25">
      <c r="A27" s="93" t="s">
        <v>0</v>
      </c>
      <c r="C27" s="209" t="s">
        <v>167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S27" s="202"/>
      <c r="T27" s="198"/>
      <c r="U27" s="198"/>
      <c r="V27" s="198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x14ac:dyDescent="0.25">
      <c r="A28" s="93" t="s">
        <v>0</v>
      </c>
      <c r="C28" s="96"/>
      <c r="D28" s="316" t="s">
        <v>67</v>
      </c>
      <c r="E28" s="317" t="s">
        <v>230</v>
      </c>
      <c r="F28" s="317" t="s">
        <v>9</v>
      </c>
      <c r="G28" s="98"/>
      <c r="H28" s="317" t="s">
        <v>229</v>
      </c>
      <c r="I28" s="98"/>
      <c r="J28" s="98"/>
      <c r="K28" s="98"/>
      <c r="L28" s="98"/>
      <c r="M28" s="98"/>
      <c r="N28" s="98"/>
      <c r="S28" s="202"/>
      <c r="T28" s="198"/>
      <c r="U28" s="198"/>
      <c r="V28" s="198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x14ac:dyDescent="0.25">
      <c r="A29" s="93">
        <v>12</v>
      </c>
      <c r="C29" s="96" t="s">
        <v>31</v>
      </c>
      <c r="D29" s="303" t="s">
        <v>174</v>
      </c>
      <c r="E29" s="228">
        <f>'OATT Input Data'!$E$250</f>
        <v>77513046</v>
      </c>
      <c r="F29" s="212">
        <v>0</v>
      </c>
      <c r="G29" s="212"/>
      <c r="H29" s="555">
        <f>ROUND(E29*F29,0)</f>
        <v>0</v>
      </c>
      <c r="I29" s="98"/>
      <c r="J29" s="98"/>
      <c r="K29" s="98"/>
      <c r="L29" s="98"/>
      <c r="M29" s="98"/>
      <c r="N29" s="214"/>
      <c r="S29" s="198"/>
      <c r="T29" s="198"/>
      <c r="U29" s="198"/>
      <c r="V29" s="198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x14ac:dyDescent="0.25">
      <c r="A30" s="93">
        <v>13</v>
      </c>
      <c r="C30" s="96" t="s">
        <v>33</v>
      </c>
      <c r="D30" s="303" t="s">
        <v>221</v>
      </c>
      <c r="E30" s="211">
        <f>'OATT Input Data'!$E$251</f>
        <v>8552910</v>
      </c>
      <c r="F30" s="215">
        <f>+J16</f>
        <v>0.95489000000000002</v>
      </c>
      <c r="G30" s="212"/>
      <c r="H30" s="213">
        <f t="shared" ref="H30:H32" si="0">ROUND(E30*F30,0)</f>
        <v>8167088</v>
      </c>
      <c r="I30" s="98"/>
      <c r="J30" s="98"/>
      <c r="K30" s="98"/>
      <c r="L30" s="98"/>
      <c r="M30" s="95"/>
      <c r="N30" s="21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x14ac:dyDescent="0.25">
      <c r="A31" s="93">
        <v>14</v>
      </c>
      <c r="C31" s="96" t="s">
        <v>34</v>
      </c>
      <c r="D31" s="303" t="s">
        <v>222</v>
      </c>
      <c r="E31" s="211">
        <f>'OATT Input Data'!$E$252</f>
        <v>27454926</v>
      </c>
      <c r="F31" s="212">
        <v>0</v>
      </c>
      <c r="G31" s="212"/>
      <c r="H31" s="556">
        <f t="shared" si="0"/>
        <v>0</v>
      </c>
      <c r="I31" s="98"/>
      <c r="J31" s="217" t="s">
        <v>68</v>
      </c>
      <c r="K31" s="98"/>
      <c r="L31" s="98"/>
      <c r="M31" s="98"/>
      <c r="N31" s="21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ht="22.5" customHeight="1" x14ac:dyDescent="0.4">
      <c r="A32" s="93">
        <v>15</v>
      </c>
      <c r="C32" s="96" t="s">
        <v>69</v>
      </c>
      <c r="D32" s="303" t="s">
        <v>897</v>
      </c>
      <c r="E32" s="218">
        <f>'OATT Input Data'!$E$257</f>
        <v>17356671</v>
      </c>
      <c r="F32" s="212">
        <v>0</v>
      </c>
      <c r="G32" s="212"/>
      <c r="H32" s="552">
        <f t="shared" si="0"/>
        <v>0</v>
      </c>
      <c r="I32" s="98"/>
      <c r="J32" s="332" t="s">
        <v>394</v>
      </c>
      <c r="K32" s="98"/>
      <c r="L32" s="98"/>
      <c r="M32" s="98"/>
      <c r="N32" s="21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x14ac:dyDescent="0.25">
      <c r="A33" s="93">
        <v>16</v>
      </c>
      <c r="C33" s="209" t="s">
        <v>223</v>
      </c>
      <c r="D33" s="305" t="s">
        <v>224</v>
      </c>
      <c r="E33" s="236">
        <f>ROUND(SUM(E29:E32),0)</f>
        <v>130877553</v>
      </c>
      <c r="F33" s="98"/>
      <c r="G33" s="98"/>
      <c r="H33" s="236">
        <f>ROUND(SUM(H29:H32),0)</f>
        <v>8167088</v>
      </c>
      <c r="I33" s="219" t="s">
        <v>70</v>
      </c>
      <c r="J33" s="215">
        <f>IF(H33&gt;0,ROUND(H33/E33,5),0)</f>
        <v>6.2399999999999997E-2</v>
      </c>
      <c r="K33" s="344" t="s">
        <v>323</v>
      </c>
      <c r="L33" s="98"/>
      <c r="M33" s="98"/>
      <c r="N33" s="98"/>
      <c r="O33" s="98"/>
      <c r="P33" s="9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x14ac:dyDescent="0.25">
      <c r="A34" s="93"/>
      <c r="C34" s="96"/>
      <c r="D34" s="305"/>
      <c r="E34" s="213"/>
      <c r="F34" s="98"/>
      <c r="G34" s="98"/>
      <c r="H34" s="98"/>
      <c r="I34" s="98"/>
      <c r="J34" s="98"/>
      <c r="K34" s="98"/>
      <c r="L34" s="98"/>
      <c r="M34" s="98" t="s">
        <v>0</v>
      </c>
      <c r="N34" s="98"/>
      <c r="O34" s="98"/>
      <c r="P34" s="9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x14ac:dyDescent="0.25">
      <c r="A35" s="93"/>
      <c r="C35" s="209" t="s">
        <v>225</v>
      </c>
      <c r="D35" s="305" t="s">
        <v>226</v>
      </c>
      <c r="E35" s="213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99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x14ac:dyDescent="0.25">
      <c r="A36" s="93"/>
      <c r="C36" s="96"/>
      <c r="D36" s="305"/>
      <c r="E36" s="314" t="s">
        <v>231</v>
      </c>
      <c r="F36" s="98"/>
      <c r="G36" s="98"/>
      <c r="H36" s="207"/>
      <c r="I36" s="220" t="s">
        <v>0</v>
      </c>
      <c r="J36" s="221"/>
      <c r="M36" s="98"/>
      <c r="N36" s="98"/>
      <c r="O36" s="98"/>
      <c r="P36" s="201"/>
      <c r="Q36" s="222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x14ac:dyDescent="0.25">
      <c r="A37" s="93">
        <v>17</v>
      </c>
      <c r="C37" s="96" t="s">
        <v>71</v>
      </c>
      <c r="D37" s="305" t="s">
        <v>72</v>
      </c>
      <c r="E37" s="228">
        <f>ROUND('OATT Input Data'!E262,0)</f>
        <v>11023561714</v>
      </c>
      <c r="F37" s="98"/>
      <c r="H37" s="313"/>
      <c r="I37" s="223"/>
      <c r="J37" s="93"/>
      <c r="K37" s="98"/>
      <c r="L37" s="219"/>
      <c r="M37" s="98"/>
      <c r="N37" s="98"/>
      <c r="O37" s="98"/>
      <c r="P37" s="186"/>
      <c r="Q37" s="186"/>
      <c r="R37" s="224"/>
      <c r="S37" s="211"/>
      <c r="T37" s="224"/>
      <c r="U37" s="224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x14ac:dyDescent="0.25">
      <c r="A38" s="93">
        <v>18</v>
      </c>
      <c r="C38" s="96" t="s">
        <v>73</v>
      </c>
      <c r="D38" s="305" t="s">
        <v>74</v>
      </c>
      <c r="E38" s="211">
        <f>ROUND('OATT Input Data'!E263,0)</f>
        <v>838406461</v>
      </c>
      <c r="F38" s="98"/>
      <c r="I38" s="207"/>
      <c r="K38" s="220"/>
      <c r="M38" s="98"/>
      <c r="N38" s="98"/>
      <c r="O38" s="98"/>
      <c r="P38" s="199"/>
      <c r="Q38" s="186"/>
      <c r="R38" s="211"/>
      <c r="S38" s="211"/>
      <c r="T38" s="224"/>
      <c r="U38" s="224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ht="18" x14ac:dyDescent="0.4">
      <c r="A39" s="93">
        <v>19</v>
      </c>
      <c r="C39" s="226" t="s">
        <v>75</v>
      </c>
      <c r="D39" s="312" t="s">
        <v>76</v>
      </c>
      <c r="E39" s="550">
        <f>ROUND('OATT Input Data'!E264,0)</f>
        <v>0</v>
      </c>
      <c r="F39" s="98"/>
      <c r="G39" s="98"/>
      <c r="H39" s="98" t="s">
        <v>0</v>
      </c>
      <c r="I39" s="98"/>
      <c r="J39" s="98"/>
      <c r="K39" s="98"/>
      <c r="L39" s="98"/>
      <c r="M39" s="98"/>
      <c r="N39" s="98"/>
      <c r="O39" s="98"/>
      <c r="P39" s="199"/>
      <c r="Q39" s="97"/>
      <c r="R39" s="211"/>
      <c r="S39" s="211"/>
      <c r="T39" s="211"/>
      <c r="U39" s="211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x14ac:dyDescent="0.25">
      <c r="A40" s="93">
        <v>20</v>
      </c>
      <c r="C40" s="209" t="s">
        <v>228</v>
      </c>
      <c r="D40" s="305" t="s">
        <v>227</v>
      </c>
      <c r="E40" s="236">
        <f>ROUND(SUM(E37:E39),0)</f>
        <v>11861968175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6"/>
      <c r="R40" s="213"/>
      <c r="S40" s="213"/>
      <c r="T40" s="213"/>
      <c r="U40" s="213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x14ac:dyDescent="0.25">
      <c r="A41" s="93">
        <v>21</v>
      </c>
      <c r="C41" s="340" t="s">
        <v>313</v>
      </c>
      <c r="D41" s="305" t="s">
        <v>314</v>
      </c>
      <c r="F41" s="225">
        <f>IF(E40&gt;0,ROUND(E37/E40,5),0)</f>
        <v>0.92932000000000003</v>
      </c>
      <c r="G41" s="348" t="s">
        <v>324</v>
      </c>
      <c r="H41" s="225">
        <f>J33</f>
        <v>6.2399999999999997E-2</v>
      </c>
      <c r="I41" s="98"/>
      <c r="J41" s="225">
        <f>ROUND(H41*F41,5)</f>
        <v>5.799E-2</v>
      </c>
      <c r="K41" s="345" t="s">
        <v>315</v>
      </c>
      <c r="L41" s="98"/>
      <c r="M41" s="98"/>
      <c r="N41" s="98"/>
      <c r="O41" s="186"/>
      <c r="P41" s="199"/>
      <c r="Q41" s="97"/>
      <c r="R41" s="211"/>
      <c r="S41" s="211"/>
      <c r="T41" s="211"/>
      <c r="U41" s="211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x14ac:dyDescent="0.25">
      <c r="A42" s="93"/>
      <c r="C42" s="340"/>
      <c r="D42" s="305"/>
      <c r="F42" s="225"/>
      <c r="G42" s="343"/>
      <c r="H42" s="225"/>
      <c r="I42" s="98"/>
      <c r="J42" s="225"/>
      <c r="K42" s="345"/>
      <c r="L42" s="98"/>
      <c r="M42" s="98"/>
      <c r="N42" s="98"/>
      <c r="O42" s="186"/>
      <c r="P42" s="199"/>
      <c r="Q42" s="97"/>
      <c r="R42" s="211"/>
      <c r="S42" s="211"/>
      <c r="T42" s="211"/>
      <c r="U42" s="211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x14ac:dyDescent="0.25">
      <c r="A43" s="93"/>
      <c r="B43" s="91"/>
      <c r="C43" s="231" t="s">
        <v>316</v>
      </c>
      <c r="D43" s="98"/>
      <c r="E43" s="319" t="s">
        <v>232</v>
      </c>
      <c r="F43" s="98"/>
      <c r="G43" s="98"/>
      <c r="H43" s="98"/>
      <c r="I43" s="98"/>
      <c r="K43" s="98"/>
      <c r="L43" s="98"/>
      <c r="M43" s="98"/>
      <c r="N43" s="98"/>
      <c r="O43" s="186"/>
      <c r="P43" s="200"/>
      <c r="Q43" s="227"/>
      <c r="R43" s="211"/>
      <c r="S43" s="211"/>
      <c r="T43" s="211"/>
      <c r="U43" s="211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x14ac:dyDescent="0.25">
      <c r="A44" s="93">
        <v>22</v>
      </c>
      <c r="B44" s="91"/>
      <c r="C44" s="346" t="s">
        <v>77</v>
      </c>
      <c r="D44" s="303" t="s">
        <v>343</v>
      </c>
      <c r="E44" s="228">
        <f>'OATT Input Data'!$E$277</f>
        <v>122043992</v>
      </c>
      <c r="F44" s="98"/>
      <c r="H44" s="98"/>
      <c r="I44" s="98"/>
      <c r="K44" s="98"/>
      <c r="L44" s="98"/>
      <c r="M44" s="98"/>
      <c r="N44" s="98"/>
      <c r="O44" s="229"/>
      <c r="P44" s="186"/>
      <c r="Q44" s="186"/>
      <c r="R44" s="224"/>
      <c r="S44" s="224"/>
      <c r="T44" s="224"/>
      <c r="U44" s="224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x14ac:dyDescent="0.25">
      <c r="A45" s="93">
        <v>23</v>
      </c>
      <c r="B45" s="91"/>
      <c r="C45" s="346" t="s">
        <v>126</v>
      </c>
      <c r="D45" s="303" t="s">
        <v>233</v>
      </c>
      <c r="E45" s="553">
        <v>0</v>
      </c>
      <c r="F45" s="98"/>
      <c r="H45" s="98"/>
      <c r="I45" s="186"/>
      <c r="K45" s="98"/>
      <c r="L45" s="98"/>
      <c r="M45" s="98"/>
      <c r="N45" s="98"/>
      <c r="O45" s="186"/>
      <c r="P45" s="230"/>
      <c r="Q45" s="230"/>
      <c r="R45" s="211"/>
      <c r="S45" s="211"/>
      <c r="T45" s="211"/>
      <c r="U45" s="211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x14ac:dyDescent="0.25">
      <c r="A46" s="93"/>
      <c r="B46" s="91"/>
      <c r="C46" s="231" t="s">
        <v>129</v>
      </c>
      <c r="D46" s="98"/>
      <c r="E46" s="98"/>
      <c r="F46" s="98"/>
      <c r="G46" s="98"/>
      <c r="H46" s="98"/>
      <c r="I46" s="98"/>
      <c r="K46" s="98"/>
      <c r="L46" s="98"/>
      <c r="M46" s="98"/>
      <c r="N46" s="98"/>
      <c r="O46" s="186"/>
      <c r="P46" s="230"/>
      <c r="Q46" s="230"/>
      <c r="R46" s="224"/>
      <c r="S46" s="224"/>
      <c r="T46" s="224"/>
      <c r="U46" s="224"/>
      <c r="V46" s="232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x14ac:dyDescent="0.25">
      <c r="A47" s="93">
        <v>24</v>
      </c>
      <c r="B47" s="91"/>
      <c r="C47" s="346" t="s">
        <v>78</v>
      </c>
      <c r="D47" s="303" t="s">
        <v>344</v>
      </c>
      <c r="E47" s="228">
        <f>'OATT Input Data'!$E$291</f>
        <v>4383281365</v>
      </c>
      <c r="F47" s="98"/>
      <c r="H47" s="98"/>
      <c r="I47" s="98"/>
      <c r="K47" s="98"/>
      <c r="L47" s="98"/>
      <c r="M47" s="98"/>
      <c r="N47" s="98"/>
      <c r="O47" s="186"/>
      <c r="P47" s="186"/>
      <c r="Q47" s="186"/>
      <c r="R47" s="224"/>
      <c r="S47" s="224"/>
      <c r="T47" s="224"/>
      <c r="U47" s="224"/>
      <c r="V47" s="232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x14ac:dyDescent="0.25">
      <c r="A48" s="93">
        <v>25</v>
      </c>
      <c r="B48" s="91"/>
      <c r="C48" s="346" t="s">
        <v>318</v>
      </c>
      <c r="D48" s="303" t="s">
        <v>345</v>
      </c>
      <c r="E48" s="554">
        <f>-E54</f>
        <v>0</v>
      </c>
      <c r="F48" s="98"/>
      <c r="H48" s="98"/>
      <c r="I48" s="98"/>
      <c r="K48" s="98"/>
      <c r="L48" s="98"/>
      <c r="M48" s="98"/>
      <c r="N48" s="98"/>
      <c r="O48" s="186"/>
      <c r="P48" s="233"/>
      <c r="Q48" s="192"/>
      <c r="R48" s="224"/>
      <c r="S48" s="224"/>
      <c r="T48" s="224"/>
      <c r="U48" s="224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ht="33.75" x14ac:dyDescent="0.4">
      <c r="A49" s="93">
        <v>26</v>
      </c>
      <c r="B49" s="91"/>
      <c r="C49" s="347" t="s">
        <v>234</v>
      </c>
      <c r="D49" s="306" t="s">
        <v>235</v>
      </c>
      <c r="E49" s="193">
        <f>'OATT Input Data'!$E$301</f>
        <v>-1232509</v>
      </c>
      <c r="F49" s="186"/>
      <c r="H49" s="186"/>
      <c r="I49" s="186"/>
      <c r="K49" s="98"/>
      <c r="L49" s="98"/>
      <c r="M49" s="98"/>
      <c r="N49" s="98"/>
      <c r="O49" s="98"/>
      <c r="P49" s="219"/>
      <c r="Q49" s="234"/>
      <c r="R49" s="224"/>
      <c r="S49" s="224"/>
      <c r="T49" s="224"/>
      <c r="U49" s="224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x14ac:dyDescent="0.25">
      <c r="A50" s="93">
        <v>27</v>
      </c>
      <c r="B50" s="91"/>
      <c r="C50" s="351" t="s">
        <v>346</v>
      </c>
      <c r="D50" s="326" t="s">
        <v>325</v>
      </c>
      <c r="E50" s="236">
        <f>ROUND(SUM(E47:E49),0)</f>
        <v>4382048856</v>
      </c>
      <c r="F50" s="91"/>
      <c r="H50" s="235"/>
      <c r="I50" s="91"/>
      <c r="K50" s="98"/>
      <c r="L50" s="98"/>
      <c r="M50" s="98"/>
      <c r="N50" s="98"/>
      <c r="O50" s="98"/>
      <c r="P50" s="186"/>
      <c r="Q50" s="186"/>
      <c r="R50" s="224"/>
      <c r="S50" s="224"/>
      <c r="T50" s="211"/>
      <c r="U50" s="211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x14ac:dyDescent="0.25">
      <c r="A51" s="93"/>
      <c r="B51" s="91"/>
      <c r="C51" s="91"/>
      <c r="D51" s="98"/>
      <c r="E51" s="91"/>
      <c r="F51" s="91"/>
      <c r="G51" s="315"/>
      <c r="H51" s="93" t="s">
        <v>237</v>
      </c>
      <c r="I51" s="91"/>
      <c r="J51" s="236"/>
      <c r="K51" s="98"/>
      <c r="L51" s="98"/>
      <c r="M51" s="98"/>
      <c r="N51" s="98"/>
      <c r="O51" s="98"/>
      <c r="P51" s="186"/>
      <c r="Q51" s="186"/>
      <c r="R51" s="224"/>
      <c r="S51" s="224"/>
      <c r="T51" s="211"/>
      <c r="U51" s="211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x14ac:dyDescent="0.25">
      <c r="A52" s="93"/>
      <c r="C52" s="96" t="s">
        <v>347</v>
      </c>
      <c r="D52" s="98"/>
      <c r="E52" s="320" t="s">
        <v>327</v>
      </c>
      <c r="F52" s="318" t="s">
        <v>79</v>
      </c>
      <c r="G52" s="98"/>
      <c r="H52" s="320" t="s">
        <v>138</v>
      </c>
      <c r="I52" s="98"/>
      <c r="J52" s="318" t="s">
        <v>80</v>
      </c>
      <c r="K52" s="98"/>
      <c r="L52" s="98"/>
      <c r="M52" s="98"/>
      <c r="N52" s="98"/>
      <c r="O52" s="186"/>
      <c r="P52" s="200"/>
      <c r="Q52" s="227"/>
      <c r="R52" s="211"/>
      <c r="S52" s="211"/>
      <c r="T52" s="211"/>
      <c r="U52" s="211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x14ac:dyDescent="0.25">
      <c r="A53" s="93">
        <v>28</v>
      </c>
      <c r="C53" s="231" t="s">
        <v>282</v>
      </c>
      <c r="D53" s="339" t="s">
        <v>403</v>
      </c>
      <c r="E53" s="228">
        <f>'OATT Input Data'!$E$308</f>
        <v>3445511737</v>
      </c>
      <c r="F53" s="237">
        <f>ROUND(E53/E56,4)</f>
        <v>0.44019999999999998</v>
      </c>
      <c r="G53" s="238"/>
      <c r="H53" s="238">
        <f>IF(E53&gt;0.01,ROUND(E44/E53,4),0)</f>
        <v>3.5400000000000001E-2</v>
      </c>
      <c r="J53" s="371">
        <f>ROUND(F53*H53,4)</f>
        <v>1.5599999999999999E-2</v>
      </c>
      <c r="K53" s="344" t="s">
        <v>326</v>
      </c>
      <c r="M53" s="98"/>
      <c r="N53" s="98"/>
      <c r="O53" s="186"/>
      <c r="P53" s="200"/>
      <c r="Q53" s="227"/>
      <c r="R53" s="211"/>
      <c r="S53" s="211"/>
      <c r="T53" s="211"/>
      <c r="U53" s="211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x14ac:dyDescent="0.25">
      <c r="A54" s="93">
        <v>29</v>
      </c>
      <c r="C54" s="231" t="s">
        <v>283</v>
      </c>
      <c r="D54" s="127" t="s">
        <v>236</v>
      </c>
      <c r="E54" s="553">
        <v>0</v>
      </c>
      <c r="F54" s="237">
        <f>ROUND(E54/E56,4)+0.000001</f>
        <v>9.9999999999999995E-7</v>
      </c>
      <c r="G54" s="238"/>
      <c r="H54" s="238">
        <f>IF(E54&gt;0.01,E45/E54,0.00001)</f>
        <v>1.0000000000000001E-5</v>
      </c>
      <c r="J54" s="371">
        <f>F54*H54</f>
        <v>1.0000000000000001E-11</v>
      </c>
      <c r="K54" s="98"/>
      <c r="M54" s="98"/>
      <c r="N54" s="98"/>
      <c r="O54" s="186"/>
      <c r="P54" s="200"/>
      <c r="Q54" s="227"/>
      <c r="R54" s="211"/>
      <c r="S54" s="211"/>
      <c r="T54" s="211"/>
      <c r="U54" s="211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x14ac:dyDescent="0.25">
      <c r="A55" s="93">
        <v>30</v>
      </c>
      <c r="C55" s="231" t="s">
        <v>284</v>
      </c>
      <c r="D55" s="339" t="s">
        <v>348</v>
      </c>
      <c r="E55" s="368">
        <f>E50</f>
        <v>4382048856</v>
      </c>
      <c r="F55" s="237">
        <f>ROUND(E55/E56,4)</f>
        <v>0.55979999999999996</v>
      </c>
      <c r="G55" s="238"/>
      <c r="H55" s="239">
        <v>0.10879999999999999</v>
      </c>
      <c r="J55" s="370">
        <f t="shared" ref="J55" si="1">ROUND(F55*H55,4)</f>
        <v>6.0900000000000003E-2</v>
      </c>
      <c r="K55" s="98"/>
      <c r="M55" s="98"/>
      <c r="N55" s="98"/>
      <c r="O55" s="229"/>
      <c r="P55" s="230"/>
      <c r="Q55" s="230"/>
      <c r="R55" s="211"/>
      <c r="S55" s="211"/>
      <c r="T55" s="211"/>
      <c r="U55" s="211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x14ac:dyDescent="0.25">
      <c r="A56" s="93">
        <v>31</v>
      </c>
      <c r="C56" s="209" t="s">
        <v>285</v>
      </c>
      <c r="D56" s="339" t="s">
        <v>328</v>
      </c>
      <c r="E56" s="236">
        <f>ROUND(SUM(E53:E55),0)</f>
        <v>7827560593</v>
      </c>
      <c r="F56" s="98" t="s">
        <v>0</v>
      </c>
      <c r="G56" s="98"/>
      <c r="H56" s="98"/>
      <c r="I56" s="98"/>
      <c r="J56" s="371">
        <f>SUM(J53:J55)</f>
        <v>7.6500000009999999E-2</v>
      </c>
      <c r="K56" s="344" t="s">
        <v>317</v>
      </c>
      <c r="M56" s="98"/>
      <c r="N56" s="98"/>
      <c r="O56" s="229"/>
      <c r="P56" s="230"/>
      <c r="Q56" s="230"/>
      <c r="R56" s="211"/>
      <c r="S56" s="211"/>
      <c r="T56" s="211"/>
      <c r="U56" s="211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x14ac:dyDescent="0.25">
      <c r="A57" s="93"/>
      <c r="L57" s="98"/>
      <c r="M57" s="98"/>
      <c r="N57" s="98"/>
      <c r="O57" s="229"/>
      <c r="P57" s="186"/>
      <c r="Q57" s="186"/>
      <c r="R57" s="224"/>
      <c r="S57" s="211"/>
      <c r="T57" s="224"/>
      <c r="U57" s="224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x14ac:dyDescent="0.25">
      <c r="A58" s="93"/>
      <c r="C58" s="90" t="s">
        <v>81</v>
      </c>
      <c r="D58" s="91"/>
      <c r="E58" s="91"/>
      <c r="F58" s="91"/>
      <c r="G58" s="91"/>
      <c r="H58" s="91"/>
      <c r="I58" s="91"/>
      <c r="J58" s="91"/>
      <c r="K58" s="91"/>
      <c r="L58" s="91"/>
      <c r="M58" s="98"/>
      <c r="N58" s="207"/>
      <c r="O58" s="97"/>
      <c r="P58" s="230"/>
      <c r="Q58" s="240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x14ac:dyDescent="0.25">
      <c r="A59" s="93"/>
      <c r="C59" s="90" t="s">
        <v>83</v>
      </c>
      <c r="D59" s="91"/>
      <c r="G59" s="91"/>
      <c r="I59" s="315"/>
      <c r="J59" s="318" t="s">
        <v>82</v>
      </c>
      <c r="K59" s="1"/>
      <c r="O59" s="186"/>
      <c r="P59" s="233"/>
      <c r="Q59" s="192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x14ac:dyDescent="0.25">
      <c r="A60" s="93">
        <v>32</v>
      </c>
      <c r="C60" s="241" t="s">
        <v>404</v>
      </c>
      <c r="D60" s="91"/>
      <c r="F60" s="326" t="s">
        <v>319</v>
      </c>
      <c r="G60" s="91"/>
      <c r="J60" s="557">
        <v>0</v>
      </c>
      <c r="K60" s="242"/>
      <c r="O60" s="186"/>
      <c r="P60" s="199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ht="18" x14ac:dyDescent="0.4">
      <c r="A61" s="93">
        <v>33</v>
      </c>
      <c r="C61" s="366" t="s">
        <v>405</v>
      </c>
      <c r="D61" s="322"/>
      <c r="E61" s="321"/>
      <c r="F61" s="326" t="s">
        <v>330</v>
      </c>
      <c r="G61" s="325"/>
      <c r="I61" s="91"/>
      <c r="J61" s="561">
        <f>+J60</f>
        <v>0</v>
      </c>
      <c r="K61" s="243"/>
      <c r="O61" s="186"/>
      <c r="P61" s="199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x14ac:dyDescent="0.25">
      <c r="A62" s="93">
        <v>34</v>
      </c>
      <c r="C62" s="241" t="s">
        <v>406</v>
      </c>
      <c r="D62" s="95"/>
      <c r="F62" s="327" t="s">
        <v>329</v>
      </c>
      <c r="G62" s="325"/>
      <c r="I62" s="91"/>
      <c r="J62" s="558">
        <f>+J60-J61</f>
        <v>0</v>
      </c>
      <c r="K62" s="242"/>
      <c r="O62" s="98"/>
      <c r="P62" s="96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x14ac:dyDescent="0.25">
      <c r="A63" s="93"/>
      <c r="C63" s="241" t="s">
        <v>0</v>
      </c>
      <c r="D63" s="95"/>
      <c r="F63" s="91"/>
      <c r="G63" s="91"/>
      <c r="H63" s="244"/>
      <c r="I63" s="91"/>
      <c r="J63" s="65" t="s">
        <v>0</v>
      </c>
      <c r="K63" s="1"/>
      <c r="L63" s="245"/>
      <c r="M63" s="98"/>
      <c r="N63" s="207"/>
      <c r="O63" s="98"/>
      <c r="P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x14ac:dyDescent="0.25">
      <c r="A64" s="93">
        <v>35</v>
      </c>
      <c r="C64" s="231" t="s">
        <v>241</v>
      </c>
      <c r="D64" s="95"/>
      <c r="F64" s="326" t="s">
        <v>239</v>
      </c>
      <c r="G64" s="91"/>
      <c r="H64" s="246"/>
      <c r="I64" s="91"/>
      <c r="J64" s="559">
        <v>0</v>
      </c>
      <c r="K64" s="1"/>
      <c r="L64" s="245"/>
      <c r="M64" s="98"/>
      <c r="N64" s="207"/>
      <c r="O64" s="98"/>
      <c r="P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50" x14ac:dyDescent="0.25">
      <c r="C65" s="231" t="s">
        <v>240</v>
      </c>
      <c r="D65" s="91"/>
      <c r="E65" s="315" t="s">
        <v>84</v>
      </c>
      <c r="F65" s="326" t="s">
        <v>407</v>
      </c>
      <c r="G65" s="91"/>
      <c r="H65" s="91"/>
      <c r="I65" s="91"/>
      <c r="J65" s="97"/>
      <c r="L65" s="247"/>
      <c r="M65" s="98"/>
      <c r="N65" s="207"/>
      <c r="O65" s="95"/>
      <c r="P65" s="20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50" x14ac:dyDescent="0.25">
      <c r="A66" s="93">
        <v>36</v>
      </c>
      <c r="C66" s="90" t="s">
        <v>85</v>
      </c>
      <c r="D66" s="98"/>
      <c r="E66" s="98"/>
      <c r="F66" s="98"/>
      <c r="G66" s="98"/>
      <c r="H66" s="98"/>
      <c r="I66" s="98"/>
      <c r="J66" s="248">
        <f>'OATT Input Data'!$E$314</f>
        <v>26444044</v>
      </c>
      <c r="K66" s="135"/>
      <c r="L66" s="247"/>
      <c r="M66" s="98"/>
      <c r="N66" s="207"/>
      <c r="O66" s="95"/>
      <c r="P66" s="249"/>
      <c r="Q66" s="249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50" ht="18" x14ac:dyDescent="0.4">
      <c r="A67" s="93">
        <v>37</v>
      </c>
      <c r="C67" s="324" t="s">
        <v>86</v>
      </c>
      <c r="D67" s="323"/>
      <c r="E67" s="323"/>
      <c r="F67" s="325"/>
      <c r="G67" s="325"/>
      <c r="H67" s="91"/>
      <c r="I67" s="91"/>
      <c r="J67" s="560">
        <f>'OATT Input Data'!$E$364</f>
        <v>23621348</v>
      </c>
      <c r="L67" s="250"/>
      <c r="M67" s="91"/>
      <c r="N67" s="93"/>
      <c r="O67" s="95"/>
      <c r="P67" s="251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50" x14ac:dyDescent="0.25">
      <c r="A68" s="93">
        <v>38</v>
      </c>
      <c r="C68" s="241" t="s">
        <v>238</v>
      </c>
      <c r="D68" s="93"/>
      <c r="E68" s="98"/>
      <c r="F68" s="327" t="s">
        <v>349</v>
      </c>
      <c r="G68" s="98"/>
      <c r="H68" s="98"/>
      <c r="I68" s="91"/>
      <c r="J68" s="152">
        <f>+J66-J67</f>
        <v>2822696</v>
      </c>
      <c r="K68" s="135"/>
      <c r="L68" s="9"/>
      <c r="M68" s="91"/>
      <c r="N68" s="93"/>
      <c r="O68" s="95"/>
      <c r="P68" s="251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50" x14ac:dyDescent="0.25">
      <c r="C69" s="241"/>
      <c r="Q69" s="127"/>
      <c r="R69" s="127"/>
      <c r="S69" s="12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x14ac:dyDescent="0.25">
      <c r="Q70" s="127"/>
      <c r="R70" s="127"/>
      <c r="S70" s="12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x14ac:dyDescent="0.25">
      <c r="Q71" s="127"/>
      <c r="R71" s="127"/>
      <c r="S71" s="12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x14ac:dyDescent="0.25">
      <c r="Q72" s="127"/>
      <c r="R72" s="127"/>
      <c r="S72" s="12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x14ac:dyDescent="0.25">
      <c r="Q73" s="127"/>
      <c r="R73" s="127"/>
      <c r="S73" s="12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x14ac:dyDescent="0.25">
      <c r="Q74" s="127"/>
      <c r="R74" s="127"/>
      <c r="S74" s="12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x14ac:dyDescent="0.25">
      <c r="Q75" s="127"/>
      <c r="R75" s="127"/>
      <c r="S75" s="12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x14ac:dyDescent="0.25">
      <c r="Q76" s="127"/>
      <c r="R76" s="127"/>
      <c r="S76" s="12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x14ac:dyDescent="0.25">
      <c r="Q77" s="127"/>
      <c r="R77" s="127"/>
      <c r="S77" s="12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x14ac:dyDescent="0.25">
      <c r="Q78" s="127"/>
      <c r="R78" s="127"/>
      <c r="S78" s="12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  <row r="79" spans="1:50" x14ac:dyDescent="0.25">
      <c r="Q79" s="127"/>
      <c r="R79" s="127"/>
      <c r="S79" s="12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</row>
    <row r="80" spans="1:50" x14ac:dyDescent="0.25">
      <c r="Q80" s="127"/>
      <c r="R80" s="127"/>
      <c r="S80" s="12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</row>
    <row r="81" spans="17:50" x14ac:dyDescent="0.25">
      <c r="Q81" s="127"/>
      <c r="R81" s="127"/>
      <c r="S81" s="12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</row>
    <row r="82" spans="17:50" x14ac:dyDescent="0.25">
      <c r="Q82" s="127"/>
      <c r="R82" s="127"/>
      <c r="S82" s="12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</row>
    <row r="83" spans="17:50" x14ac:dyDescent="0.25">
      <c r="Q83" s="127"/>
      <c r="R83" s="127"/>
      <c r="S83" s="12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</row>
    <row r="84" spans="17:50" x14ac:dyDescent="0.25">
      <c r="Q84" s="127"/>
      <c r="R84" s="127"/>
      <c r="S84" s="12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</row>
    <row r="85" spans="17:50" x14ac:dyDescent="0.25">
      <c r="Q85" s="127"/>
      <c r="R85" s="127"/>
      <c r="S85" s="12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</row>
    <row r="86" spans="17:50" x14ac:dyDescent="0.25">
      <c r="Q86" s="127"/>
      <c r="R86" s="127"/>
      <c r="S86" s="12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</row>
    <row r="87" spans="17:50" x14ac:dyDescent="0.25">
      <c r="Q87" s="127"/>
      <c r="R87" s="127"/>
      <c r="S87" s="12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</row>
    <row r="88" spans="17:50" x14ac:dyDescent="0.25">
      <c r="Q88" s="127"/>
      <c r="R88" s="127"/>
      <c r="S88" s="12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</row>
    <row r="89" spans="17:50" x14ac:dyDescent="0.25">
      <c r="Q89" s="127"/>
      <c r="R89" s="127"/>
      <c r="S89" s="12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</row>
    <row r="90" spans="17:50" x14ac:dyDescent="0.25">
      <c r="Q90" s="127"/>
      <c r="R90" s="127"/>
      <c r="S90" s="12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</row>
    <row r="91" spans="17:50" x14ac:dyDescent="0.25">
      <c r="Q91" s="127"/>
      <c r="R91" s="127"/>
      <c r="S91" s="12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</row>
    <row r="92" spans="17:50" x14ac:dyDescent="0.25">
      <c r="Q92" s="127"/>
      <c r="R92" s="127"/>
      <c r="S92" s="12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</row>
    <row r="93" spans="17:50" x14ac:dyDescent="0.25">
      <c r="Q93" s="127"/>
      <c r="R93" s="127"/>
      <c r="S93" s="12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</row>
    <row r="94" spans="17:50" x14ac:dyDescent="0.25">
      <c r="Q94" s="127"/>
      <c r="R94" s="127"/>
      <c r="S94" s="12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</row>
    <row r="95" spans="17:50" x14ac:dyDescent="0.25">
      <c r="Q95" s="127"/>
      <c r="R95" s="127"/>
      <c r="S95" s="12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</row>
    <row r="96" spans="17:50" x14ac:dyDescent="0.25">
      <c r="Q96" s="127"/>
      <c r="R96" s="127"/>
      <c r="S96" s="12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7:50" x14ac:dyDescent="0.25">
      <c r="Q97" s="127"/>
      <c r="R97" s="127"/>
      <c r="S97" s="12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7:50" x14ac:dyDescent="0.25">
      <c r="Q98" s="127"/>
      <c r="R98" s="127"/>
      <c r="S98" s="12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7:50" x14ac:dyDescent="0.25">
      <c r="Q99" s="127"/>
      <c r="R99" s="127"/>
      <c r="S99" s="12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</row>
    <row r="100" spans="17:50" x14ac:dyDescent="0.25">
      <c r="Q100" s="127"/>
      <c r="R100" s="127"/>
      <c r="S100" s="12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</row>
    <row r="101" spans="17:50" x14ac:dyDescent="0.25">
      <c r="Q101" s="127"/>
      <c r="R101" s="127"/>
      <c r="S101" s="12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</row>
    <row r="102" spans="17:50" x14ac:dyDescent="0.25">
      <c r="Q102" s="127"/>
      <c r="R102" s="127"/>
      <c r="S102" s="12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</row>
    <row r="103" spans="17:50" x14ac:dyDescent="0.25">
      <c r="Q103" s="127"/>
      <c r="R103" s="127"/>
      <c r="S103" s="12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</row>
    <row r="104" spans="17:50" x14ac:dyDescent="0.25">
      <c r="Q104" s="127"/>
      <c r="R104" s="127"/>
      <c r="S104" s="12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</row>
    <row r="105" spans="17:50" x14ac:dyDescent="0.25">
      <c r="Q105" s="127"/>
      <c r="R105" s="127"/>
      <c r="S105" s="12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</row>
    <row r="106" spans="17:50" x14ac:dyDescent="0.25">
      <c r="Q106" s="127"/>
      <c r="R106" s="127"/>
      <c r="S106" s="12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</row>
    <row r="107" spans="17:50" x14ac:dyDescent="0.25">
      <c r="Q107" s="127"/>
      <c r="R107" s="127"/>
      <c r="S107" s="12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</row>
    <row r="108" spans="17:50" x14ac:dyDescent="0.25">
      <c r="Q108" s="127"/>
      <c r="R108" s="127"/>
      <c r="S108" s="12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</row>
    <row r="109" spans="17:50" x14ac:dyDescent="0.25">
      <c r="Q109" s="127"/>
      <c r="R109" s="127"/>
      <c r="S109" s="12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</row>
    <row r="110" spans="17:50" x14ac:dyDescent="0.25">
      <c r="Q110" s="127"/>
      <c r="R110" s="127"/>
      <c r="S110" s="12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</row>
    <row r="111" spans="17:50" x14ac:dyDescent="0.25">
      <c r="Q111" s="127"/>
      <c r="R111" s="127"/>
      <c r="S111" s="12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</row>
    <row r="112" spans="17:50" x14ac:dyDescent="0.25">
      <c r="Q112" s="127"/>
      <c r="R112" s="127"/>
      <c r="S112" s="12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</row>
    <row r="113" spans="17:50" x14ac:dyDescent="0.25">
      <c r="Q113" s="127"/>
      <c r="R113" s="127"/>
      <c r="S113" s="12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</row>
    <row r="114" spans="17:50" x14ac:dyDescent="0.25">
      <c r="Q114" s="127"/>
      <c r="R114" s="127"/>
      <c r="S114" s="12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</row>
    <row r="115" spans="17:50" x14ac:dyDescent="0.25">
      <c r="Q115" s="127"/>
      <c r="R115" s="127"/>
      <c r="S115" s="12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</row>
    <row r="116" spans="17:50" x14ac:dyDescent="0.25">
      <c r="Q116" s="127"/>
      <c r="R116" s="127"/>
      <c r="S116" s="12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</row>
    <row r="117" spans="17:50" x14ac:dyDescent="0.25">
      <c r="Q117" s="127"/>
      <c r="R117" s="127"/>
      <c r="S117" s="12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</row>
    <row r="118" spans="17:50" x14ac:dyDescent="0.25">
      <c r="Q118" s="127"/>
      <c r="R118" s="127"/>
      <c r="S118" s="12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</row>
    <row r="119" spans="17:50" x14ac:dyDescent="0.25">
      <c r="Q119" s="127"/>
      <c r="R119" s="127"/>
      <c r="S119" s="12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</row>
    <row r="120" spans="17:50" x14ac:dyDescent="0.25">
      <c r="Q120" s="127"/>
      <c r="R120" s="127"/>
      <c r="S120" s="12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</row>
    <row r="121" spans="17:50" x14ac:dyDescent="0.25">
      <c r="Q121" s="127"/>
      <c r="R121" s="127"/>
      <c r="S121" s="12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</row>
    <row r="122" spans="17:50" x14ac:dyDescent="0.25">
      <c r="Q122" s="127"/>
      <c r="R122" s="127"/>
      <c r="S122" s="12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</row>
    <row r="123" spans="17:50" x14ac:dyDescent="0.25">
      <c r="Q123" s="127"/>
      <c r="R123" s="127"/>
      <c r="S123" s="12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</row>
    <row r="124" spans="17:50" x14ac:dyDescent="0.25">
      <c r="Q124" s="127"/>
      <c r="R124" s="127"/>
      <c r="S124" s="12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</row>
    <row r="125" spans="17:50" x14ac:dyDescent="0.25">
      <c r="Q125" s="127"/>
      <c r="R125" s="127"/>
      <c r="S125" s="12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</row>
    <row r="126" spans="17:50" x14ac:dyDescent="0.25">
      <c r="Q126" s="127"/>
      <c r="R126" s="127"/>
      <c r="S126" s="12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</row>
    <row r="127" spans="17:50" x14ac:dyDescent="0.25">
      <c r="Q127" s="127"/>
      <c r="R127" s="127"/>
      <c r="S127" s="12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</row>
    <row r="128" spans="17:50" x14ac:dyDescent="0.25">
      <c r="Q128" s="127"/>
      <c r="R128" s="127"/>
      <c r="S128" s="12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</row>
    <row r="129" spans="17:50" x14ac:dyDescent="0.25">
      <c r="Q129" s="127"/>
      <c r="R129" s="127"/>
      <c r="S129" s="12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</row>
    <row r="130" spans="17:50" x14ac:dyDescent="0.25">
      <c r="Q130" s="127"/>
      <c r="R130" s="127"/>
      <c r="S130" s="12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</row>
    <row r="131" spans="17:50" x14ac:dyDescent="0.25">
      <c r="Q131" s="127"/>
      <c r="R131" s="127"/>
      <c r="S131" s="12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</row>
    <row r="132" spans="17:50" x14ac:dyDescent="0.25">
      <c r="Q132" s="127"/>
      <c r="R132" s="127"/>
      <c r="S132" s="12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</row>
    <row r="133" spans="17:50" x14ac:dyDescent="0.25">
      <c r="Q133" s="127"/>
      <c r="R133" s="127"/>
      <c r="S133" s="12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</row>
    <row r="134" spans="17:50" x14ac:dyDescent="0.25">
      <c r="Q134" s="127"/>
      <c r="R134" s="127"/>
      <c r="S134" s="12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</row>
    <row r="135" spans="17:50" x14ac:dyDescent="0.25">
      <c r="Q135" s="127"/>
      <c r="R135" s="127"/>
      <c r="S135" s="12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</row>
    <row r="136" spans="17:50" x14ac:dyDescent="0.25">
      <c r="Q136" s="127"/>
      <c r="R136" s="127"/>
      <c r="S136" s="12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</row>
    <row r="137" spans="17:50" x14ac:dyDescent="0.25">
      <c r="Q137" s="127"/>
      <c r="R137" s="127"/>
      <c r="S137" s="12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</row>
    <row r="138" spans="17:50" x14ac:dyDescent="0.25">
      <c r="Q138" s="127"/>
      <c r="R138" s="127"/>
      <c r="S138" s="12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</row>
    <row r="139" spans="17:50" x14ac:dyDescent="0.25">
      <c r="Q139" s="127"/>
      <c r="R139" s="127"/>
      <c r="S139" s="12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</row>
    <row r="140" spans="17:50" x14ac:dyDescent="0.25">
      <c r="Q140" s="127"/>
      <c r="R140" s="127"/>
      <c r="S140" s="12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</row>
    <row r="141" spans="17:50" x14ac:dyDescent="0.25">
      <c r="Q141" s="127"/>
      <c r="R141" s="127"/>
      <c r="S141" s="12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</row>
    <row r="142" spans="17:50" x14ac:dyDescent="0.25">
      <c r="Q142" s="127"/>
      <c r="R142" s="127"/>
      <c r="S142" s="12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</row>
    <row r="143" spans="17:50" x14ac:dyDescent="0.25">
      <c r="Q143" s="127"/>
      <c r="R143" s="127"/>
      <c r="S143" s="12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</row>
    <row r="144" spans="17:50" x14ac:dyDescent="0.25">
      <c r="Q144" s="127"/>
      <c r="R144" s="127"/>
      <c r="S144" s="12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</row>
    <row r="145" spans="17:50" x14ac:dyDescent="0.25">
      <c r="Q145" s="127"/>
      <c r="R145" s="127"/>
      <c r="S145" s="12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</row>
    <row r="146" spans="17:50" x14ac:dyDescent="0.25">
      <c r="Q146" s="127"/>
      <c r="R146" s="127"/>
      <c r="S146" s="12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</row>
    <row r="147" spans="17:50" x14ac:dyDescent="0.25">
      <c r="Q147" s="127"/>
      <c r="R147" s="127"/>
      <c r="S147" s="12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</row>
    <row r="148" spans="17:50" x14ac:dyDescent="0.25">
      <c r="Q148" s="127"/>
      <c r="R148" s="127"/>
      <c r="S148" s="12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</row>
    <row r="149" spans="17:50" x14ac:dyDescent="0.25">
      <c r="Q149" s="127"/>
      <c r="R149" s="127"/>
      <c r="S149" s="12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</row>
    <row r="150" spans="17:50" x14ac:dyDescent="0.25">
      <c r="Q150" s="127"/>
      <c r="R150" s="127"/>
      <c r="S150" s="12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</row>
    <row r="151" spans="17:50" x14ac:dyDescent="0.25">
      <c r="Q151" s="127"/>
      <c r="R151" s="127"/>
      <c r="S151" s="12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</row>
    <row r="152" spans="17:50" x14ac:dyDescent="0.25">
      <c r="Q152" s="127"/>
      <c r="R152" s="127"/>
      <c r="S152" s="12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</row>
    <row r="153" spans="17:50" x14ac:dyDescent="0.25">
      <c r="Q153" s="127"/>
      <c r="R153" s="127"/>
      <c r="S153" s="12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</row>
    <row r="154" spans="17:50" x14ac:dyDescent="0.25">
      <c r="Q154" s="127"/>
      <c r="R154" s="127"/>
      <c r="S154" s="12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</row>
    <row r="155" spans="17:50" x14ac:dyDescent="0.25">
      <c r="Q155" s="127"/>
      <c r="R155" s="127"/>
      <c r="S155" s="12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</row>
    <row r="156" spans="17:50" x14ac:dyDescent="0.25">
      <c r="Q156" s="127"/>
      <c r="R156" s="127"/>
      <c r="S156" s="12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</row>
    <row r="157" spans="17:50" x14ac:dyDescent="0.25">
      <c r="Q157" s="127"/>
      <c r="R157" s="127"/>
      <c r="S157" s="12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</row>
    <row r="158" spans="17:50" x14ac:dyDescent="0.25">
      <c r="Q158" s="127"/>
      <c r="R158" s="127"/>
      <c r="S158" s="12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</row>
    <row r="159" spans="17:50" x14ac:dyDescent="0.25">
      <c r="Q159" s="127"/>
      <c r="R159" s="127"/>
      <c r="S159" s="12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</row>
    <row r="160" spans="17:50" x14ac:dyDescent="0.25">
      <c r="Q160" s="127"/>
      <c r="R160" s="127"/>
      <c r="S160" s="12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</row>
    <row r="161" spans="17:50" x14ac:dyDescent="0.25">
      <c r="Q161" s="127"/>
      <c r="R161" s="127"/>
      <c r="S161" s="12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</row>
    <row r="162" spans="17:50" x14ac:dyDescent="0.25">
      <c r="Q162" s="127"/>
      <c r="R162" s="127"/>
      <c r="S162" s="12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</row>
    <row r="163" spans="17:50" x14ac:dyDescent="0.25">
      <c r="Q163" s="127"/>
      <c r="R163" s="127"/>
      <c r="S163" s="12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</row>
    <row r="164" spans="17:50" x14ac:dyDescent="0.25">
      <c r="Q164" s="127"/>
      <c r="R164" s="127"/>
      <c r="S164" s="12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</row>
    <row r="165" spans="17:50" x14ac:dyDescent="0.25">
      <c r="Q165" s="127"/>
      <c r="R165" s="127"/>
      <c r="S165" s="12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</row>
    <row r="166" spans="17:50" x14ac:dyDescent="0.25">
      <c r="Q166" s="127"/>
      <c r="R166" s="127"/>
      <c r="S166" s="12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</row>
    <row r="167" spans="17:50" x14ac:dyDescent="0.25">
      <c r="Q167" s="127"/>
      <c r="R167" s="127"/>
      <c r="S167" s="12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</row>
    <row r="168" spans="17:50" x14ac:dyDescent="0.25">
      <c r="Q168" s="127"/>
      <c r="R168" s="127"/>
      <c r="S168" s="12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</row>
    <row r="169" spans="17:50" x14ac:dyDescent="0.25">
      <c r="Q169" s="127"/>
      <c r="R169" s="127"/>
      <c r="S169" s="12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</row>
    <row r="170" spans="17:50" x14ac:dyDescent="0.25">
      <c r="Q170" s="127"/>
      <c r="R170" s="127"/>
      <c r="S170" s="12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</row>
    <row r="171" spans="17:50" x14ac:dyDescent="0.25">
      <c r="Q171" s="127"/>
      <c r="R171" s="127"/>
      <c r="S171" s="12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</row>
    <row r="172" spans="17:50" x14ac:dyDescent="0.25">
      <c r="Q172" s="127"/>
      <c r="R172" s="127"/>
      <c r="S172" s="12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</row>
    <row r="173" spans="17:50" x14ac:dyDescent="0.25">
      <c r="Q173" s="127"/>
      <c r="R173" s="127"/>
      <c r="S173" s="12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</row>
    <row r="174" spans="17:50" x14ac:dyDescent="0.25">
      <c r="Q174" s="127"/>
      <c r="R174" s="127"/>
      <c r="S174" s="12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</row>
    <row r="175" spans="17:50" x14ac:dyDescent="0.25">
      <c r="Q175" s="127"/>
      <c r="R175" s="127"/>
      <c r="S175" s="12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</row>
    <row r="176" spans="17:50" x14ac:dyDescent="0.25">
      <c r="Q176" s="127"/>
      <c r="R176" s="127"/>
      <c r="S176" s="12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</row>
    <row r="177" spans="17:50" x14ac:dyDescent="0.25">
      <c r="Q177" s="127"/>
      <c r="R177" s="127"/>
      <c r="S177" s="12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</row>
    <row r="178" spans="17:50" x14ac:dyDescent="0.25">
      <c r="Q178" s="127"/>
      <c r="R178" s="127"/>
      <c r="S178" s="12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</row>
    <row r="179" spans="17:50" x14ac:dyDescent="0.25">
      <c r="Q179" s="127"/>
      <c r="R179" s="127"/>
      <c r="S179" s="12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</row>
    <row r="180" spans="17:50" x14ac:dyDescent="0.25">
      <c r="Q180" s="127"/>
      <c r="R180" s="127"/>
      <c r="S180" s="12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</row>
    <row r="181" spans="17:50" x14ac:dyDescent="0.25">
      <c r="Q181" s="127"/>
      <c r="R181" s="127"/>
      <c r="S181" s="12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</row>
    <row r="182" spans="17:50" x14ac:dyDescent="0.25">
      <c r="Q182" s="127"/>
      <c r="R182" s="127"/>
      <c r="S182" s="12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</row>
    <row r="183" spans="17:50" x14ac:dyDescent="0.25">
      <c r="Q183" s="127"/>
      <c r="R183" s="127"/>
      <c r="S183" s="12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</row>
    <row r="184" spans="17:50" x14ac:dyDescent="0.25">
      <c r="Q184" s="127"/>
      <c r="R184" s="127"/>
      <c r="S184" s="12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</row>
    <row r="185" spans="17:50" x14ac:dyDescent="0.25">
      <c r="Q185" s="127"/>
      <c r="R185" s="127"/>
      <c r="S185" s="12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</row>
    <row r="186" spans="17:50" x14ac:dyDescent="0.25">
      <c r="Q186" s="127"/>
      <c r="R186" s="127"/>
      <c r="S186" s="12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</row>
    <row r="187" spans="17:50" x14ac:dyDescent="0.25">
      <c r="Q187" s="127"/>
      <c r="R187" s="127"/>
      <c r="S187" s="12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</row>
    <row r="188" spans="17:50" x14ac:dyDescent="0.25">
      <c r="Q188" s="127"/>
      <c r="R188" s="127"/>
      <c r="S188" s="12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</row>
    <row r="189" spans="17:50" x14ac:dyDescent="0.25">
      <c r="Q189" s="127"/>
      <c r="R189" s="127"/>
      <c r="S189" s="12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</row>
    <row r="190" spans="17:50" x14ac:dyDescent="0.25">
      <c r="Q190" s="127"/>
      <c r="R190" s="127"/>
      <c r="S190" s="12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</row>
    <row r="191" spans="17:50" x14ac:dyDescent="0.25">
      <c r="Q191" s="127"/>
      <c r="R191" s="127"/>
      <c r="S191" s="12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</row>
    <row r="192" spans="17:50" x14ac:dyDescent="0.25">
      <c r="Q192" s="127"/>
      <c r="R192" s="127"/>
      <c r="S192" s="12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</row>
    <row r="193" spans="1:50" x14ac:dyDescent="0.25">
      <c r="Q193" s="127"/>
      <c r="R193" s="127"/>
      <c r="S193" s="12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</row>
    <row r="194" spans="1:50" x14ac:dyDescent="0.25">
      <c r="Q194" s="127"/>
      <c r="R194" s="127"/>
      <c r="S194" s="12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</row>
    <row r="195" spans="1:50" x14ac:dyDescent="0.25">
      <c r="Q195" s="127"/>
      <c r="R195" s="127"/>
      <c r="S195" s="12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</row>
    <row r="196" spans="1:50" x14ac:dyDescent="0.25">
      <c r="Q196" s="127"/>
      <c r="R196" s="127"/>
      <c r="S196" s="12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</row>
    <row r="197" spans="1:50" x14ac:dyDescent="0.25">
      <c r="Q197" s="127"/>
      <c r="R197" s="127"/>
      <c r="S197" s="12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</row>
    <row r="198" spans="1:50" x14ac:dyDescent="0.25">
      <c r="Q198" s="127"/>
      <c r="R198" s="127"/>
      <c r="S198" s="12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</row>
    <row r="199" spans="1:50" x14ac:dyDescent="0.25">
      <c r="Q199" s="127"/>
      <c r="R199" s="127"/>
      <c r="S199" s="12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</row>
    <row r="200" spans="1:50" x14ac:dyDescent="0.25">
      <c r="Q200" s="127"/>
      <c r="R200" s="127"/>
      <c r="S200" s="12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</row>
    <row r="201" spans="1:50" x14ac:dyDescent="0.25">
      <c r="Q201" s="127"/>
      <c r="R201" s="127"/>
      <c r="S201" s="12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</row>
    <row r="202" spans="1:50" x14ac:dyDescent="0.25">
      <c r="Q202" s="127"/>
      <c r="R202" s="127"/>
      <c r="S202" s="12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</row>
    <row r="203" spans="1:50" x14ac:dyDescent="0.25">
      <c r="A203" s="97"/>
      <c r="B203" s="97"/>
      <c r="Q203" s="127"/>
      <c r="R203" s="127"/>
      <c r="S203" s="12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</row>
    <row r="204" spans="1:50" x14ac:dyDescent="0.25">
      <c r="A204" s="97"/>
      <c r="B204" s="97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Q204" s="129"/>
      <c r="R204" s="129"/>
      <c r="S204" s="129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</row>
    <row r="205" spans="1:50" x14ac:dyDescent="0.25">
      <c r="A205" s="97"/>
      <c r="B205" s="97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</row>
    <row r="206" spans="1:50" x14ac:dyDescent="0.25">
      <c r="A206" s="97"/>
      <c r="B206" s="97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</row>
    <row r="207" spans="1:50" x14ac:dyDescent="0.25">
      <c r="A207" s="97"/>
      <c r="B207" s="97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</row>
    <row r="208" spans="1:50" x14ac:dyDescent="0.25">
      <c r="A208" s="97"/>
      <c r="B208" s="97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</row>
    <row r="209" spans="1:50" x14ac:dyDescent="0.25">
      <c r="A209" s="97"/>
      <c r="B209" s="97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</row>
    <row r="210" spans="1:50" x14ac:dyDescent="0.25">
      <c r="A210" s="97"/>
      <c r="B210" s="97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</row>
    <row r="211" spans="1:50" x14ac:dyDescent="0.25">
      <c r="A211" s="97"/>
      <c r="B211" s="97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</row>
    <row r="212" spans="1:50" x14ac:dyDescent="0.25">
      <c r="A212" s="97"/>
      <c r="B212" s="97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</row>
    <row r="213" spans="1:50" x14ac:dyDescent="0.25">
      <c r="A213" s="97"/>
      <c r="B213" s="97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</row>
    <row r="214" spans="1:50" x14ac:dyDescent="0.25">
      <c r="A214" s="97"/>
      <c r="B214" s="97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</row>
    <row r="215" spans="1:50" x14ac:dyDescent="0.25">
      <c r="A215" s="97"/>
      <c r="B215" s="97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</row>
    <row r="216" spans="1:50" x14ac:dyDescent="0.25">
      <c r="A216" s="97"/>
      <c r="B216" s="97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</row>
    <row r="217" spans="1:50" x14ac:dyDescent="0.25">
      <c r="A217" s="97"/>
      <c r="B217" s="97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</row>
    <row r="218" spans="1:50" x14ac:dyDescent="0.25">
      <c r="A218" s="97"/>
      <c r="B218" s="97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</row>
    <row r="219" spans="1:50" x14ac:dyDescent="0.25">
      <c r="A219" s="97"/>
      <c r="B219" s="97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</row>
    <row r="220" spans="1:50" x14ac:dyDescent="0.25">
      <c r="A220" s="97"/>
      <c r="B220" s="97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</row>
    <row r="221" spans="1:50" x14ac:dyDescent="0.25">
      <c r="A221" s="97"/>
      <c r="B221" s="97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</row>
    <row r="222" spans="1:50" x14ac:dyDescent="0.25">
      <c r="A222" s="97"/>
      <c r="B222" s="97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</row>
    <row r="223" spans="1:50" x14ac:dyDescent="0.25">
      <c r="A223" s="97"/>
      <c r="B223" s="97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</row>
    <row r="224" spans="1:50" x14ac:dyDescent="0.25">
      <c r="A224" s="97"/>
      <c r="B224" s="97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</row>
    <row r="225" spans="1:50" x14ac:dyDescent="0.25">
      <c r="A225" s="97"/>
      <c r="B225" s="97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</row>
    <row r="226" spans="1:50" x14ac:dyDescent="0.25">
      <c r="A226" s="97"/>
      <c r="B226" s="97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</row>
    <row r="227" spans="1:50" x14ac:dyDescent="0.25">
      <c r="A227" s="97"/>
      <c r="B227" s="97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</row>
    <row r="228" spans="1:50" x14ac:dyDescent="0.25">
      <c r="A228" s="97"/>
      <c r="B228" s="97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</row>
    <row r="229" spans="1:50" x14ac:dyDescent="0.25">
      <c r="A229" s="97"/>
      <c r="B229" s="97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</row>
    <row r="230" spans="1:50" x14ac:dyDescent="0.25">
      <c r="A230" s="97"/>
      <c r="B230" s="97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</row>
    <row r="231" spans="1:50" x14ac:dyDescent="0.25">
      <c r="A231" s="97"/>
      <c r="B231" s="97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</row>
    <row r="232" spans="1:50" x14ac:dyDescent="0.25">
      <c r="A232" s="97"/>
      <c r="B232" s="97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</row>
    <row r="233" spans="1:50" x14ac:dyDescent="0.25">
      <c r="A233" s="97"/>
      <c r="B233" s="97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</row>
    <row r="234" spans="1:50" x14ac:dyDescent="0.25">
      <c r="A234" s="97"/>
      <c r="B234" s="97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</row>
    <row r="235" spans="1:50" x14ac:dyDescent="0.25">
      <c r="A235" s="97"/>
      <c r="B235" s="97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</row>
    <row r="236" spans="1:50" x14ac:dyDescent="0.25">
      <c r="A236" s="97"/>
      <c r="B236" s="97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</row>
    <row r="237" spans="1:50" x14ac:dyDescent="0.25">
      <c r="A237" s="97"/>
      <c r="B237" s="97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</row>
    <row r="238" spans="1:50" x14ac:dyDescent="0.25">
      <c r="A238" s="97"/>
      <c r="B238" s="97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</row>
    <row r="239" spans="1:50" x14ac:dyDescent="0.25">
      <c r="A239" s="97"/>
      <c r="B239" s="97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</row>
    <row r="240" spans="1:50" x14ac:dyDescent="0.25">
      <c r="A240" s="97"/>
      <c r="B240" s="97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</row>
    <row r="241" spans="1:50" x14ac:dyDescent="0.25">
      <c r="A241" s="97"/>
      <c r="B241" s="97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</row>
    <row r="242" spans="1:50" x14ac:dyDescent="0.25">
      <c r="A242" s="97"/>
      <c r="B242" s="97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</row>
    <row r="243" spans="1:50" x14ac:dyDescent="0.25">
      <c r="A243" s="97"/>
      <c r="B243" s="97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</row>
    <row r="244" spans="1:50" x14ac:dyDescent="0.25">
      <c r="A244" s="97"/>
      <c r="B244" s="97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</row>
    <row r="245" spans="1:50" x14ac:dyDescent="0.25">
      <c r="A245" s="97"/>
      <c r="B245" s="97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</row>
    <row r="246" spans="1:50" x14ac:dyDescent="0.25">
      <c r="A246" s="97"/>
      <c r="B246" s="97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</row>
    <row r="247" spans="1:50" x14ac:dyDescent="0.25">
      <c r="A247" s="97"/>
      <c r="B247" s="97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</row>
    <row r="248" spans="1:50" x14ac:dyDescent="0.25">
      <c r="A248" s="97"/>
      <c r="B248" s="97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</row>
    <row r="249" spans="1:50" x14ac:dyDescent="0.25">
      <c r="A249" s="97"/>
      <c r="B249" s="97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</row>
    <row r="250" spans="1:50" x14ac:dyDescent="0.25">
      <c r="A250" s="97"/>
      <c r="B250" s="97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</row>
    <row r="251" spans="1:50" x14ac:dyDescent="0.25">
      <c r="A251" s="97"/>
      <c r="B251" s="97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</row>
    <row r="252" spans="1:50" x14ac:dyDescent="0.25">
      <c r="A252" s="97"/>
      <c r="B252" s="97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</row>
    <row r="253" spans="1:50" x14ac:dyDescent="0.25">
      <c r="A253" s="97"/>
      <c r="B253" s="97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</row>
    <row r="254" spans="1:50" x14ac:dyDescent="0.25">
      <c r="A254" s="97"/>
      <c r="B254" s="97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</row>
    <row r="255" spans="1:50" x14ac:dyDescent="0.25">
      <c r="A255" s="97"/>
      <c r="B255" s="97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</row>
    <row r="256" spans="1:50" x14ac:dyDescent="0.25">
      <c r="A256" s="97"/>
      <c r="B256" s="97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</row>
    <row r="257" spans="1:50" x14ac:dyDescent="0.25">
      <c r="A257" s="97"/>
      <c r="B257" s="97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</row>
    <row r="258" spans="1:50" x14ac:dyDescent="0.25">
      <c r="A258" s="97"/>
      <c r="B258" s="97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</row>
    <row r="259" spans="1:50" x14ac:dyDescent="0.25">
      <c r="A259" s="97"/>
      <c r="B259" s="97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</row>
    <row r="260" spans="1:50" x14ac:dyDescent="0.2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129"/>
      <c r="Q260" s="129"/>
      <c r="R260" s="129"/>
      <c r="S260" s="129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</row>
    <row r="261" spans="1:50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</row>
    <row r="262" spans="1:50" x14ac:dyDescent="0.2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</row>
    <row r="263" spans="1:50" x14ac:dyDescent="0.2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</row>
    <row r="264" spans="1:50" x14ac:dyDescent="0.2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</row>
    <row r="265" spans="1:50" x14ac:dyDescent="0.2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</row>
    <row r="266" spans="1:50" x14ac:dyDescent="0.2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</row>
    <row r="267" spans="1:50" x14ac:dyDescent="0.2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</row>
    <row r="268" spans="1:50" x14ac:dyDescent="0.2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</row>
    <row r="269" spans="1:50" x14ac:dyDescent="0.2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</row>
    <row r="270" spans="1:50" x14ac:dyDescent="0.2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</row>
    <row r="271" spans="1:50" x14ac:dyDescent="0.2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</row>
    <row r="272" spans="1:50" x14ac:dyDescent="0.2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</row>
    <row r="273" spans="1:50" x14ac:dyDescent="0.2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</row>
    <row r="274" spans="1:50" x14ac:dyDescent="0.2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</row>
    <row r="275" spans="1:50" x14ac:dyDescent="0.2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</row>
    <row r="276" spans="1:50" x14ac:dyDescent="0.2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</row>
    <row r="277" spans="1:50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</row>
    <row r="278" spans="1:50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</row>
    <row r="279" spans="1:50" x14ac:dyDescent="0.2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</row>
    <row r="280" spans="1:50" x14ac:dyDescent="0.2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</row>
    <row r="281" spans="1:50" x14ac:dyDescent="0.2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</row>
    <row r="282" spans="1:50" x14ac:dyDescent="0.2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</row>
    <row r="283" spans="1:50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</row>
    <row r="284" spans="1:50" x14ac:dyDescent="0.2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</row>
    <row r="285" spans="1:50" x14ac:dyDescent="0.2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</row>
    <row r="286" spans="1:50" x14ac:dyDescent="0.2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</row>
    <row r="287" spans="1:50" x14ac:dyDescent="0.2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</row>
    <row r="288" spans="1:50" x14ac:dyDescent="0.2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</row>
    <row r="289" spans="1:50" x14ac:dyDescent="0.2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</row>
    <row r="290" spans="1:50" x14ac:dyDescent="0.2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</row>
    <row r="291" spans="1:50" x14ac:dyDescent="0.2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</row>
    <row r="292" spans="1:50" x14ac:dyDescent="0.2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</row>
    <row r="293" spans="1:50" x14ac:dyDescent="0.2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</row>
    <row r="294" spans="1:50" x14ac:dyDescent="0.2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</row>
    <row r="295" spans="1:50" x14ac:dyDescent="0.2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</row>
    <row r="296" spans="1:50" x14ac:dyDescent="0.2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</row>
    <row r="297" spans="1:50" x14ac:dyDescent="0.2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</row>
    <row r="298" spans="1:50" x14ac:dyDescent="0.2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</row>
    <row r="299" spans="1:50" x14ac:dyDescent="0.2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</row>
    <row r="300" spans="1:50" x14ac:dyDescent="0.2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</row>
    <row r="301" spans="1:50" x14ac:dyDescent="0.2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</row>
    <row r="302" spans="1:50" x14ac:dyDescent="0.2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</row>
    <row r="303" spans="1:50" x14ac:dyDescent="0.2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</row>
    <row r="304" spans="1:50" x14ac:dyDescent="0.2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</row>
    <row r="305" spans="1:50" x14ac:dyDescent="0.2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</row>
    <row r="306" spans="1:50" x14ac:dyDescent="0.2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</row>
    <row r="307" spans="1:50" x14ac:dyDescent="0.2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</row>
    <row r="308" spans="1:50" x14ac:dyDescent="0.2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</row>
    <row r="309" spans="1:50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</row>
    <row r="310" spans="1:50" x14ac:dyDescent="0.2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</row>
    <row r="311" spans="1:50" x14ac:dyDescent="0.2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</row>
    <row r="312" spans="1:50" x14ac:dyDescent="0.2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</row>
    <row r="313" spans="1:50" x14ac:dyDescent="0.2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</row>
    <row r="314" spans="1:50" x14ac:dyDescent="0.2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</row>
    <row r="315" spans="1:50" x14ac:dyDescent="0.2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</row>
    <row r="316" spans="1:50" x14ac:dyDescent="0.2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</row>
    <row r="317" spans="1:50" x14ac:dyDescent="0.2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</row>
    <row r="318" spans="1:50" x14ac:dyDescent="0.2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</row>
    <row r="319" spans="1:50" x14ac:dyDescent="0.2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</row>
    <row r="320" spans="1:50" x14ac:dyDescent="0.2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</row>
    <row r="321" spans="1:50" x14ac:dyDescent="0.2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</row>
    <row r="322" spans="1:50" x14ac:dyDescent="0.25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</row>
    <row r="323" spans="1:50" x14ac:dyDescent="0.25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</row>
    <row r="324" spans="1:50" x14ac:dyDescent="0.25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</row>
    <row r="325" spans="1:50" x14ac:dyDescent="0.25">
      <c r="A325" s="97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</row>
    <row r="326" spans="1:50" x14ac:dyDescent="0.25">
      <c r="A326" s="97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</row>
    <row r="327" spans="1:50" x14ac:dyDescent="0.25">
      <c r="A327" s="97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</row>
    <row r="328" spans="1:50" x14ac:dyDescent="0.25">
      <c r="A328" s="97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</row>
    <row r="329" spans="1:50" x14ac:dyDescent="0.25">
      <c r="A329" s="97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</row>
    <row r="330" spans="1:50" x14ac:dyDescent="0.25">
      <c r="A330" s="97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</row>
    <row r="331" spans="1:50" x14ac:dyDescent="0.2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</row>
    <row r="332" spans="1:50" x14ac:dyDescent="0.2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</row>
    <row r="333" spans="1:50" x14ac:dyDescent="0.2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</row>
    <row r="334" spans="1:50" x14ac:dyDescent="0.2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</row>
    <row r="335" spans="1:50" x14ac:dyDescent="0.2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</row>
    <row r="336" spans="1:50" x14ac:dyDescent="0.2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</row>
    <row r="337" spans="1:50" x14ac:dyDescent="0.2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</row>
    <row r="338" spans="1:50" x14ac:dyDescent="0.2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</row>
    <row r="339" spans="1:50" x14ac:dyDescent="0.2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</row>
    <row r="340" spans="1:50" x14ac:dyDescent="0.2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</row>
    <row r="341" spans="1:50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</row>
    <row r="342" spans="1:50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</row>
    <row r="343" spans="1:50" x14ac:dyDescent="0.25">
      <c r="A343" s="97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</row>
    <row r="344" spans="1:50" x14ac:dyDescent="0.25">
      <c r="A344" s="97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</row>
    <row r="345" spans="1:50" x14ac:dyDescent="0.25">
      <c r="A345" s="97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</row>
    <row r="346" spans="1:50" x14ac:dyDescent="0.25">
      <c r="A346" s="97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</row>
    <row r="347" spans="1:50" x14ac:dyDescent="0.25">
      <c r="A347" s="97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</row>
    <row r="348" spans="1:50" x14ac:dyDescent="0.25">
      <c r="A348" s="97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</row>
    <row r="349" spans="1:50" x14ac:dyDescent="0.25">
      <c r="A349" s="97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</row>
    <row r="350" spans="1:50" x14ac:dyDescent="0.25">
      <c r="A350" s="97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</row>
    <row r="351" spans="1:50" x14ac:dyDescent="0.2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</row>
    <row r="352" spans="1:50" x14ac:dyDescent="0.2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</row>
    <row r="353" spans="1:50" x14ac:dyDescent="0.2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</row>
    <row r="354" spans="1:50" x14ac:dyDescent="0.2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</row>
    <row r="355" spans="1:50" x14ac:dyDescent="0.2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</row>
    <row r="356" spans="1:50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</row>
    <row r="357" spans="1:50" x14ac:dyDescent="0.2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</row>
    <row r="358" spans="1:50" x14ac:dyDescent="0.2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</row>
    <row r="359" spans="1:50" x14ac:dyDescent="0.2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</row>
    <row r="360" spans="1:50" x14ac:dyDescent="0.2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</row>
    <row r="361" spans="1:50" x14ac:dyDescent="0.25">
      <c r="A361" s="97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</row>
    <row r="362" spans="1:50" x14ac:dyDescent="0.25">
      <c r="A362" s="97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</row>
    <row r="363" spans="1:50" x14ac:dyDescent="0.25">
      <c r="A363" s="97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</row>
    <row r="364" spans="1:50" x14ac:dyDescent="0.25">
      <c r="A364" s="97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</row>
    <row r="365" spans="1:50" x14ac:dyDescent="0.25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</row>
    <row r="366" spans="1:50" x14ac:dyDescent="0.25">
      <c r="A366" s="97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</row>
    <row r="367" spans="1:50" x14ac:dyDescent="0.25">
      <c r="A367" s="97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</row>
    <row r="368" spans="1:50" x14ac:dyDescent="0.25">
      <c r="A368" s="97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</row>
    <row r="369" spans="1:50" x14ac:dyDescent="0.25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</row>
    <row r="370" spans="1:50" x14ac:dyDescent="0.25">
      <c r="A370" s="97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</row>
    <row r="371" spans="1:50" x14ac:dyDescent="0.25">
      <c r="A371" s="97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AB371" s="97"/>
      <c r="AD371" s="97"/>
      <c r="AE371" s="97"/>
    </row>
    <row r="372" spans="1:50" x14ac:dyDescent="0.2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W372" s="97"/>
      <c r="X372" s="97"/>
      <c r="Y372" s="97"/>
    </row>
    <row r="373" spans="1:50" x14ac:dyDescent="0.2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W373" s="97"/>
      <c r="Y373" s="97"/>
    </row>
    <row r="374" spans="1:50" x14ac:dyDescent="0.2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Y374" s="97"/>
    </row>
    <row r="375" spans="1:50" x14ac:dyDescent="0.2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</row>
    <row r="376" spans="1:50" x14ac:dyDescent="0.2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</row>
    <row r="377" spans="1:50" x14ac:dyDescent="0.2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</row>
    <row r="378" spans="1:50" x14ac:dyDescent="0.2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</row>
    <row r="379" spans="1:50" x14ac:dyDescent="0.2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</row>
    <row r="380" spans="1:50" x14ac:dyDescent="0.2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</row>
    <row r="381" spans="1:50" x14ac:dyDescent="0.2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</row>
    <row r="382" spans="1:50" x14ac:dyDescent="0.25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</row>
    <row r="383" spans="1:50" x14ac:dyDescent="0.25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</row>
    <row r="384" spans="1:50" x14ac:dyDescent="0.25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</row>
    <row r="385" spans="1:14" x14ac:dyDescent="0.25">
      <c r="A385" s="97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</row>
    <row r="386" spans="1:14" x14ac:dyDescent="0.25">
      <c r="A386" s="97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</row>
    <row r="387" spans="1:14" x14ac:dyDescent="0.25">
      <c r="A387" s="97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</row>
    <row r="388" spans="1:14" x14ac:dyDescent="0.25">
      <c r="A388" s="97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</row>
    <row r="389" spans="1:14" x14ac:dyDescent="0.25">
      <c r="A389" s="97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</row>
    <row r="390" spans="1:14" x14ac:dyDescent="0.25">
      <c r="A390" s="97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</row>
    <row r="391" spans="1:14" x14ac:dyDescent="0.25">
      <c r="A391" s="97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</row>
    <row r="392" spans="1:14" x14ac:dyDescent="0.2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</row>
    <row r="393" spans="1:14" x14ac:dyDescent="0.2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</row>
    <row r="394" spans="1:14" x14ac:dyDescent="0.2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</row>
    <row r="395" spans="1:14" x14ac:dyDescent="0.2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</row>
    <row r="396" spans="1:14" x14ac:dyDescent="0.2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</row>
    <row r="397" spans="1:14" x14ac:dyDescent="0.2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</row>
    <row r="398" spans="1:14" x14ac:dyDescent="0.2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</row>
    <row r="399" spans="1:14" x14ac:dyDescent="0.2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</row>
    <row r="400" spans="1:14" x14ac:dyDescent="0.2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</row>
    <row r="401" spans="1:14" x14ac:dyDescent="0.2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</row>
    <row r="402" spans="1:14" x14ac:dyDescent="0.2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</row>
    <row r="403" spans="1:14" x14ac:dyDescent="0.25">
      <c r="A403" s="97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</row>
    <row r="404" spans="1:14" x14ac:dyDescent="0.25">
      <c r="A404" s="97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</row>
    <row r="405" spans="1:14" x14ac:dyDescent="0.25">
      <c r="A405" s="97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</row>
    <row r="406" spans="1:14" x14ac:dyDescent="0.25">
      <c r="A406" s="97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</row>
    <row r="407" spans="1:14" x14ac:dyDescent="0.25">
      <c r="A407" s="97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</row>
    <row r="408" spans="1:14" x14ac:dyDescent="0.25">
      <c r="A408" s="97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14" x14ac:dyDescent="0.25">
      <c r="A409" s="97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</row>
    <row r="410" spans="1:14" x14ac:dyDescent="0.25">
      <c r="A410" s="97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</row>
    <row r="411" spans="1:14" x14ac:dyDescent="0.25">
      <c r="A411" s="97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</row>
    <row r="412" spans="1:14" x14ac:dyDescent="0.2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</row>
    <row r="413" spans="1:14" x14ac:dyDescent="0.2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</row>
    <row r="414" spans="1:14" x14ac:dyDescent="0.2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</row>
    <row r="415" spans="1:14" x14ac:dyDescent="0.2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</row>
    <row r="416" spans="1:14" x14ac:dyDescent="0.2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</row>
    <row r="417" spans="1:14" x14ac:dyDescent="0.2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</row>
    <row r="418" spans="1:14" x14ac:dyDescent="0.2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</row>
    <row r="419" spans="1:14" x14ac:dyDescent="0.2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</row>
    <row r="420" spans="1:14" x14ac:dyDescent="0.2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</row>
    <row r="421" spans="1:14" x14ac:dyDescent="0.2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</row>
    <row r="422" spans="1:14" x14ac:dyDescent="0.25">
      <c r="A422" s="97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</row>
    <row r="423" spans="1:14" x14ac:dyDescent="0.25">
      <c r="A423" s="97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</row>
    <row r="424" spans="1:14" x14ac:dyDescent="0.25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</row>
    <row r="425" spans="1:14" x14ac:dyDescent="0.25">
      <c r="A425" s="97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</row>
    <row r="426" spans="1:14" x14ac:dyDescent="0.25">
      <c r="A426" s="97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</row>
    <row r="427" spans="1:14" x14ac:dyDescent="0.25">
      <c r="A427" s="97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</row>
    <row r="428" spans="1:14" x14ac:dyDescent="0.25">
      <c r="A428" s="97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</row>
    <row r="429" spans="1:14" x14ac:dyDescent="0.25">
      <c r="A429" s="97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</row>
    <row r="430" spans="1:14" x14ac:dyDescent="0.25">
      <c r="A430" s="97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</row>
    <row r="431" spans="1:14" x14ac:dyDescent="0.25">
      <c r="A431" s="97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</row>
    <row r="432" spans="1:14" x14ac:dyDescent="0.25">
      <c r="A432" s="97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</row>
    <row r="433" spans="1:14" x14ac:dyDescent="0.2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</row>
    <row r="434" spans="1:14" x14ac:dyDescent="0.2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</row>
    <row r="435" spans="1:14" x14ac:dyDescent="0.2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</row>
    <row r="436" spans="1:14" x14ac:dyDescent="0.2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</row>
    <row r="437" spans="1:14" x14ac:dyDescent="0.2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</row>
    <row r="438" spans="1:14" x14ac:dyDescent="0.2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</row>
    <row r="439" spans="1:14" x14ac:dyDescent="0.2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x14ac:dyDescent="0.2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</row>
    <row r="441" spans="1:14" x14ac:dyDescent="0.2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</row>
    <row r="442" spans="1:14" x14ac:dyDescent="0.2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</row>
    <row r="443" spans="1:14" x14ac:dyDescent="0.25">
      <c r="A443" s="97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</row>
    <row r="444" spans="1:14" x14ac:dyDescent="0.25">
      <c r="A444" s="97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</row>
    <row r="445" spans="1:14" x14ac:dyDescent="0.25">
      <c r="A445" s="97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</row>
    <row r="446" spans="1:14" x14ac:dyDescent="0.25">
      <c r="A446" s="97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</row>
    <row r="447" spans="1:14" x14ac:dyDescent="0.25">
      <c r="A447" s="97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</row>
    <row r="448" spans="1:14" x14ac:dyDescent="0.25">
      <c r="A448" s="97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</row>
    <row r="449" spans="1:14" x14ac:dyDescent="0.25">
      <c r="A449" s="97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</row>
    <row r="450" spans="1:14" x14ac:dyDescent="0.25">
      <c r="A450" s="97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</row>
    <row r="451" spans="1:14" x14ac:dyDescent="0.25">
      <c r="A451" s="97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</row>
    <row r="452" spans="1:14" x14ac:dyDescent="0.25">
      <c r="A452" s="97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</row>
    <row r="453" spans="1:14" x14ac:dyDescent="0.2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</row>
    <row r="454" spans="1:14" x14ac:dyDescent="0.2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</row>
    <row r="455" spans="1:14" x14ac:dyDescent="0.2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</row>
    <row r="456" spans="1:14" x14ac:dyDescent="0.2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</row>
    <row r="457" spans="1:14" x14ac:dyDescent="0.2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</row>
    <row r="458" spans="1:14" x14ac:dyDescent="0.2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</row>
    <row r="459" spans="1:14" x14ac:dyDescent="0.2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</row>
    <row r="460" spans="1:14" x14ac:dyDescent="0.2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</row>
    <row r="461" spans="1:14" x14ac:dyDescent="0.2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</row>
    <row r="462" spans="1:14" x14ac:dyDescent="0.2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</row>
    <row r="463" spans="1:14" x14ac:dyDescent="0.25">
      <c r="A463" s="97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</row>
    <row r="464" spans="1:14" x14ac:dyDescent="0.25">
      <c r="A464" s="97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</row>
    <row r="465" spans="1:14" x14ac:dyDescent="0.25">
      <c r="A465" s="97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</row>
    <row r="466" spans="1:14" x14ac:dyDescent="0.25">
      <c r="A466" s="97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</row>
    <row r="467" spans="1:14" x14ac:dyDescent="0.25">
      <c r="A467" s="97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</row>
    <row r="468" spans="1:14" x14ac:dyDescent="0.25">
      <c r="A468" s="97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</row>
    <row r="469" spans="1:14" x14ac:dyDescent="0.25">
      <c r="A469" s="97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</row>
    <row r="470" spans="1:14" x14ac:dyDescent="0.25">
      <c r="A470" s="97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</row>
    <row r="471" spans="1:14" x14ac:dyDescent="0.25">
      <c r="A471" s="97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</row>
    <row r="472" spans="1:14" x14ac:dyDescent="0.25">
      <c r="A472" s="97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</row>
    <row r="473" spans="1:14" x14ac:dyDescent="0.2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</row>
    <row r="474" spans="1:14" x14ac:dyDescent="0.2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</row>
    <row r="475" spans="1:14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</row>
    <row r="476" spans="1:14" x14ac:dyDescent="0.2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</row>
    <row r="477" spans="1:14" x14ac:dyDescent="0.2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</row>
    <row r="478" spans="1:14" x14ac:dyDescent="0.2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</row>
    <row r="479" spans="1:14" x14ac:dyDescent="0.2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</row>
    <row r="480" spans="1:14" x14ac:dyDescent="0.2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</row>
    <row r="481" spans="1:14" x14ac:dyDescent="0.2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</row>
    <row r="482" spans="1:14" x14ac:dyDescent="0.2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</row>
    <row r="483" spans="1:14" x14ac:dyDescent="0.25">
      <c r="A483" s="97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</row>
    <row r="484" spans="1:14" x14ac:dyDescent="0.25">
      <c r="A484" s="97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</row>
    <row r="485" spans="1:14" x14ac:dyDescent="0.25">
      <c r="A485" s="97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</row>
    <row r="486" spans="1:14" x14ac:dyDescent="0.25">
      <c r="A486" s="97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</row>
    <row r="487" spans="1:14" x14ac:dyDescent="0.25">
      <c r="A487" s="97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</row>
    <row r="488" spans="1:14" x14ac:dyDescent="0.25">
      <c r="A488" s="97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</row>
    <row r="489" spans="1:14" x14ac:dyDescent="0.25">
      <c r="A489" s="97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</row>
    <row r="490" spans="1:14" x14ac:dyDescent="0.25">
      <c r="A490" s="97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</row>
    <row r="491" spans="1:14" x14ac:dyDescent="0.25">
      <c r="A491" s="97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</row>
    <row r="492" spans="1:14" x14ac:dyDescent="0.25">
      <c r="A492" s="97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</row>
    <row r="493" spans="1:14" x14ac:dyDescent="0.2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</row>
    <row r="494" spans="1:14" x14ac:dyDescent="0.2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</row>
    <row r="495" spans="1:14" x14ac:dyDescent="0.2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</row>
    <row r="496" spans="1:14" x14ac:dyDescent="0.2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</row>
    <row r="497" spans="1:14" x14ac:dyDescent="0.2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</row>
    <row r="498" spans="1:14" x14ac:dyDescent="0.2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</row>
    <row r="499" spans="1:14" x14ac:dyDescent="0.2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</row>
    <row r="500" spans="1:14" x14ac:dyDescent="0.2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</row>
    <row r="501" spans="1:14" x14ac:dyDescent="0.2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</row>
    <row r="502" spans="1:14" x14ac:dyDescent="0.2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</row>
    <row r="503" spans="1:14" x14ac:dyDescent="0.2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</row>
    <row r="504" spans="1:14" x14ac:dyDescent="0.2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</row>
    <row r="505" spans="1:14" x14ac:dyDescent="0.2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</row>
    <row r="506" spans="1:14" x14ac:dyDescent="0.2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</row>
    <row r="507" spans="1:14" x14ac:dyDescent="0.2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</row>
    <row r="508" spans="1:14" x14ac:dyDescent="0.2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</row>
    <row r="509" spans="1:14" x14ac:dyDescent="0.2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</row>
    <row r="510" spans="1:14" x14ac:dyDescent="0.2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</row>
    <row r="511" spans="1:14" x14ac:dyDescent="0.2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</row>
    <row r="512" spans="1:14" x14ac:dyDescent="0.2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</row>
    <row r="513" spans="1:14" x14ac:dyDescent="0.2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</row>
    <row r="514" spans="1:14" x14ac:dyDescent="0.2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</row>
    <row r="515" spans="1:14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</row>
    <row r="516" spans="1:14" x14ac:dyDescent="0.2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</row>
    <row r="517" spans="1:14" x14ac:dyDescent="0.2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</row>
    <row r="518" spans="1:14" x14ac:dyDescent="0.2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</row>
    <row r="519" spans="1:14" x14ac:dyDescent="0.2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</row>
    <row r="520" spans="1:14" x14ac:dyDescent="0.2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</row>
    <row r="521" spans="1:14" x14ac:dyDescent="0.2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</row>
    <row r="522" spans="1:14" x14ac:dyDescent="0.2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</row>
    <row r="523" spans="1:14" x14ac:dyDescent="0.2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</row>
    <row r="524" spans="1:14" x14ac:dyDescent="0.25">
      <c r="A524" s="97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</row>
    <row r="525" spans="1:14" x14ac:dyDescent="0.25">
      <c r="A525" s="97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</row>
    <row r="526" spans="1:14" x14ac:dyDescent="0.25">
      <c r="A526" s="97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</row>
    <row r="527" spans="1:14" x14ac:dyDescent="0.25">
      <c r="A527" s="97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</row>
    <row r="528" spans="1:14" x14ac:dyDescent="0.25">
      <c r="A528" s="97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</row>
    <row r="529" spans="1:14" x14ac:dyDescent="0.25">
      <c r="A529" s="97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</row>
    <row r="530" spans="1:14" x14ac:dyDescent="0.25">
      <c r="A530" s="97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</row>
    <row r="531" spans="1:14" x14ac:dyDescent="0.25">
      <c r="A531" s="97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</row>
    <row r="532" spans="1:14" x14ac:dyDescent="0.25">
      <c r="A532" s="97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</row>
    <row r="533" spans="1:14" x14ac:dyDescent="0.25">
      <c r="A533" s="97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</row>
    <row r="534" spans="1:14" x14ac:dyDescent="0.2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</row>
    <row r="535" spans="1:14" x14ac:dyDescent="0.2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</row>
    <row r="536" spans="1:14" x14ac:dyDescent="0.2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</row>
    <row r="537" spans="1:14" x14ac:dyDescent="0.2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</row>
    <row r="538" spans="1:14" x14ac:dyDescent="0.2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</row>
    <row r="539" spans="1:14" x14ac:dyDescent="0.2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</row>
    <row r="540" spans="1:14" x14ac:dyDescent="0.2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</row>
    <row r="541" spans="1:14" x14ac:dyDescent="0.2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</row>
    <row r="542" spans="1:14" x14ac:dyDescent="0.2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</row>
    <row r="543" spans="1:14" x14ac:dyDescent="0.2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</row>
    <row r="544" spans="1:14" x14ac:dyDescent="0.25">
      <c r="A544" s="97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</row>
    <row r="545" spans="1:14" x14ac:dyDescent="0.25">
      <c r="A545" s="97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</row>
    <row r="546" spans="1:14" x14ac:dyDescent="0.25">
      <c r="A546" s="97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</row>
    <row r="547" spans="1:14" x14ac:dyDescent="0.2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</row>
    <row r="548" spans="1:14" x14ac:dyDescent="0.2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</row>
    <row r="549" spans="1:14" x14ac:dyDescent="0.2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</row>
    <row r="550" spans="1:14" x14ac:dyDescent="0.25">
      <c r="A550" s="97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</row>
    <row r="551" spans="1:14" x14ac:dyDescent="0.25">
      <c r="A551" s="97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</row>
    <row r="552" spans="1:14" x14ac:dyDescent="0.25">
      <c r="A552" s="97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x14ac:dyDescent="0.25">
      <c r="A553" s="97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</row>
    <row r="554" spans="1:14" x14ac:dyDescent="0.25">
      <c r="A554" s="97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</row>
    <row r="555" spans="1:14" x14ac:dyDescent="0.2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</row>
    <row r="556" spans="1:14" x14ac:dyDescent="0.2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</row>
    <row r="557" spans="1:14" x14ac:dyDescent="0.2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</row>
    <row r="558" spans="1:14" x14ac:dyDescent="0.2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</row>
    <row r="559" spans="1:14" x14ac:dyDescent="0.2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</row>
    <row r="560" spans="1:14" x14ac:dyDescent="0.2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</row>
    <row r="561" spans="1:14" x14ac:dyDescent="0.2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</row>
    <row r="562" spans="1:14" x14ac:dyDescent="0.2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</row>
    <row r="563" spans="1:14" x14ac:dyDescent="0.2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</row>
    <row r="564" spans="1:14" x14ac:dyDescent="0.2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</row>
    <row r="565" spans="1:14" x14ac:dyDescent="0.25">
      <c r="A565" s="97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</row>
    <row r="566" spans="1:14" x14ac:dyDescent="0.25">
      <c r="A566" s="97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</row>
    <row r="567" spans="1:14" x14ac:dyDescent="0.25">
      <c r="A567" s="97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</row>
    <row r="568" spans="1:14" x14ac:dyDescent="0.25">
      <c r="A568" s="97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</row>
    <row r="569" spans="1:14" x14ac:dyDescent="0.25">
      <c r="A569" s="97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</row>
    <row r="570" spans="1:14" x14ac:dyDescent="0.25">
      <c r="A570" s="97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</row>
    <row r="571" spans="1:14" x14ac:dyDescent="0.25">
      <c r="A571" s="97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</row>
    <row r="572" spans="1:14" x14ac:dyDescent="0.25">
      <c r="A572" s="97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</row>
    <row r="573" spans="1:14" x14ac:dyDescent="0.25">
      <c r="A573" s="97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</row>
    <row r="574" spans="1:14" x14ac:dyDescent="0.25">
      <c r="A574" s="97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</row>
    <row r="575" spans="1:14" x14ac:dyDescent="0.2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</row>
    <row r="576" spans="1:14" x14ac:dyDescent="0.2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</row>
    <row r="577" spans="1:14" x14ac:dyDescent="0.2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</row>
    <row r="578" spans="1:14" x14ac:dyDescent="0.2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</row>
    <row r="579" spans="1:14" x14ac:dyDescent="0.2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</row>
    <row r="580" spans="1:14" x14ac:dyDescent="0.2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</row>
    <row r="581" spans="1:14" x14ac:dyDescent="0.2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</row>
    <row r="582" spans="1:14" x14ac:dyDescent="0.2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1:14" x14ac:dyDescent="0.2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  <row r="584" spans="1:14" x14ac:dyDescent="0.2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</row>
    <row r="585" spans="1:14" x14ac:dyDescent="0.25">
      <c r="A585" s="97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</row>
    <row r="586" spans="1:14" x14ac:dyDescent="0.25">
      <c r="A586" s="97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</row>
    <row r="587" spans="1:14" x14ac:dyDescent="0.25">
      <c r="A587" s="97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</row>
    <row r="588" spans="1:14" x14ac:dyDescent="0.25">
      <c r="A588" s="97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</row>
    <row r="589" spans="1:14" x14ac:dyDescent="0.25">
      <c r="A589" s="97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</row>
    <row r="590" spans="1:14" x14ac:dyDescent="0.25">
      <c r="A590" s="97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</row>
    <row r="591" spans="1:14" x14ac:dyDescent="0.25">
      <c r="A591" s="97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</row>
    <row r="592" spans="1:14" x14ac:dyDescent="0.25">
      <c r="A592" s="97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</row>
    <row r="593" spans="1:14" x14ac:dyDescent="0.25">
      <c r="A593" s="97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</row>
    <row r="594" spans="1:14" x14ac:dyDescent="0.25">
      <c r="A594" s="97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</row>
    <row r="595" spans="1:14" x14ac:dyDescent="0.2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</row>
    <row r="596" spans="1:14" x14ac:dyDescent="0.2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</row>
  </sheetData>
  <printOptions horizontalCentered="1"/>
  <pageMargins left="0.75" right="0.75" top="0.51" bottom="0.49" header="0.5" footer="0.5"/>
  <pageSetup scale="49" orientation="landscape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U344"/>
  <sheetViews>
    <sheetView workbookViewId="0"/>
  </sheetViews>
  <sheetFormatPr defaultColWidth="9.33203125" defaultRowHeight="15.75" x14ac:dyDescent="0.25"/>
  <cols>
    <col min="1" max="1" width="9" style="1" customWidth="1"/>
    <col min="2" max="2" width="2.1640625" style="1" customWidth="1"/>
    <col min="3" max="3" width="41.6640625" style="1" customWidth="1"/>
    <col min="4" max="4" width="31.1640625" style="1" customWidth="1"/>
    <col min="5" max="5" width="23" style="1" customWidth="1"/>
    <col min="6" max="6" width="15" style="1" customWidth="1"/>
    <col min="7" max="7" width="20.6640625" style="1" customWidth="1"/>
    <col min="8" max="8" width="18.5" style="1" customWidth="1"/>
    <col min="9" max="9" width="8.6640625" style="1" customWidth="1"/>
    <col min="10" max="10" width="23" style="1" customWidth="1"/>
    <col min="11" max="11" width="15.5" style="1" customWidth="1"/>
    <col min="12" max="12" width="11.6640625" style="1" customWidth="1"/>
    <col min="13" max="13" width="2.83203125" style="1" customWidth="1"/>
    <col min="14" max="14" width="41" style="1" customWidth="1"/>
    <col min="15" max="15" width="15.83203125" style="1" customWidth="1"/>
    <col min="16" max="16" width="23.5" style="1" customWidth="1"/>
    <col min="17" max="17" width="20.5" style="1" customWidth="1"/>
    <col min="18" max="18" width="20.83203125" style="1" customWidth="1"/>
    <col min="19" max="19" width="23.6640625" style="1" bestFit="1" customWidth="1"/>
    <col min="20" max="20" width="22.1640625" style="1" bestFit="1" customWidth="1"/>
    <col min="21" max="21" width="23" style="1" bestFit="1" customWidth="1"/>
    <col min="22" max="22" width="19.83203125" style="1" customWidth="1"/>
    <col min="23" max="23" width="20.33203125" style="1" customWidth="1"/>
    <col min="24" max="24" width="23.5" style="1" bestFit="1" customWidth="1"/>
    <col min="25" max="25" width="21.6640625" style="1" bestFit="1" customWidth="1"/>
    <col min="26" max="26" width="16.1640625" style="1" customWidth="1"/>
    <col min="27" max="28" width="23.5" style="1" bestFit="1" customWidth="1"/>
    <col min="29" max="29" width="21.33203125" style="1" bestFit="1" customWidth="1"/>
    <col min="30" max="30" width="23.5" style="1" bestFit="1" customWidth="1"/>
    <col min="31" max="31" width="21.33203125" style="1" bestFit="1" customWidth="1"/>
    <col min="32" max="32" width="20.6640625" style="1" bestFit="1" customWidth="1"/>
    <col min="33" max="16384" width="9.33203125" style="1"/>
  </cols>
  <sheetData>
    <row r="1" spans="1:16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296"/>
      <c r="N1" s="4"/>
      <c r="O1" s="4"/>
      <c r="P1" s="4"/>
    </row>
    <row r="2" spans="1:16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96"/>
      <c r="N2" s="4"/>
      <c r="O2" s="4"/>
      <c r="P2" s="4"/>
    </row>
    <row r="3" spans="1:16" x14ac:dyDescent="0.25"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4"/>
      <c r="O3" s="4"/>
      <c r="P3" s="4"/>
    </row>
    <row r="4" spans="1:16" x14ac:dyDescent="0.25">
      <c r="A4" s="1" t="s">
        <v>186</v>
      </c>
      <c r="C4" s="2"/>
      <c r="D4" s="2"/>
      <c r="E4" s="8"/>
      <c r="F4" s="2"/>
      <c r="G4" s="2"/>
      <c r="H4" s="2"/>
      <c r="I4" s="4"/>
      <c r="J4" s="352" t="s">
        <v>918</v>
      </c>
      <c r="L4" s="4"/>
      <c r="M4" s="4"/>
      <c r="N4" s="4"/>
      <c r="O4" s="5"/>
      <c r="P4" s="4"/>
    </row>
    <row r="5" spans="1:16" x14ac:dyDescent="0.25">
      <c r="A5" s="353" t="s">
        <v>187</v>
      </c>
      <c r="C5" s="2"/>
      <c r="E5" s="299"/>
      <c r="F5" s="301"/>
      <c r="G5" s="301"/>
      <c r="H5" s="301"/>
      <c r="I5" s="300"/>
      <c r="J5" s="286" t="s">
        <v>383</v>
      </c>
      <c r="L5" s="300"/>
      <c r="M5" s="4"/>
      <c r="N5" s="4"/>
      <c r="O5" s="4"/>
      <c r="P5" s="4"/>
    </row>
    <row r="6" spans="1:16" x14ac:dyDescent="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300"/>
      <c r="L7" s="300"/>
      <c r="M7" s="4"/>
      <c r="N7" s="4"/>
      <c r="O7" s="4"/>
      <c r="P7" s="4"/>
    </row>
    <row r="8" spans="1:16" x14ac:dyDescent="0.25">
      <c r="A8" s="5"/>
      <c r="C8" s="4"/>
      <c r="D8" s="4"/>
      <c r="E8" s="10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1</v>
      </c>
      <c r="C9" s="4"/>
      <c r="D9" s="4"/>
      <c r="E9" s="10"/>
      <c r="F9" s="4"/>
      <c r="G9" s="4"/>
      <c r="H9" s="4"/>
      <c r="I9" s="4"/>
      <c r="J9" s="5" t="s">
        <v>2</v>
      </c>
      <c r="K9" s="4"/>
      <c r="L9" s="4"/>
      <c r="M9" s="4"/>
      <c r="N9" s="4"/>
      <c r="O9" s="4"/>
      <c r="P9" s="4"/>
    </row>
    <row r="10" spans="1:16" ht="16.5" thickBot="1" x14ac:dyDescent="0.3">
      <c r="A10" s="11" t="s">
        <v>3</v>
      </c>
      <c r="C10" s="4"/>
      <c r="D10" s="4"/>
      <c r="E10" s="4"/>
      <c r="F10" s="4"/>
      <c r="G10" s="4"/>
      <c r="H10" s="4"/>
      <c r="I10" s="4"/>
      <c r="J10" s="11" t="s">
        <v>4</v>
      </c>
      <c r="K10" s="4"/>
      <c r="L10" s="4"/>
      <c r="M10" s="4"/>
      <c r="N10" s="4"/>
      <c r="O10" s="4"/>
      <c r="P10" s="4"/>
    </row>
    <row r="11" spans="1:16" x14ac:dyDescent="0.25">
      <c r="A11" s="5">
        <v>1</v>
      </c>
      <c r="C11" s="8" t="s">
        <v>127</v>
      </c>
      <c r="D11" s="293" t="s">
        <v>410</v>
      </c>
      <c r="E11" s="12"/>
      <c r="F11" s="4"/>
      <c r="G11" s="4"/>
      <c r="H11" s="4"/>
      <c r="I11" s="4"/>
      <c r="J11" s="13">
        <f>'PTP Pg 3 of 5'!J56</f>
        <v>129955390</v>
      </c>
      <c r="K11" s="4"/>
      <c r="L11" s="4"/>
      <c r="M11" s="4"/>
      <c r="N11" s="4"/>
      <c r="O11" s="4"/>
      <c r="P11" s="4"/>
    </row>
    <row r="12" spans="1:16" x14ac:dyDescent="0.25">
      <c r="A12" s="5"/>
      <c r="C12" s="4"/>
      <c r="D12" s="4"/>
      <c r="E12" s="4"/>
      <c r="F12" s="4"/>
      <c r="G12" s="4"/>
      <c r="H12" s="4"/>
      <c r="I12" s="4"/>
      <c r="J12" s="12"/>
      <c r="K12" s="4"/>
      <c r="L12" s="4"/>
      <c r="M12" s="4"/>
      <c r="N12" s="4"/>
      <c r="O12" s="4"/>
      <c r="P12" s="4"/>
    </row>
    <row r="13" spans="1:16" ht="16.5" thickBot="1" x14ac:dyDescent="0.3">
      <c r="A13" s="5" t="s">
        <v>0</v>
      </c>
      <c r="C13" s="2" t="s">
        <v>5</v>
      </c>
      <c r="D13" s="294" t="s">
        <v>242</v>
      </c>
      <c r="E13" s="11" t="s">
        <v>6</v>
      </c>
      <c r="F13" s="9"/>
      <c r="G13" s="14" t="s">
        <v>7</v>
      </c>
      <c r="H13" s="14"/>
      <c r="I13" s="4"/>
      <c r="J13" s="12"/>
      <c r="K13" s="4"/>
      <c r="L13" s="4"/>
      <c r="M13" s="4"/>
      <c r="N13" s="4"/>
      <c r="O13" s="4"/>
      <c r="P13" s="4"/>
    </row>
    <row r="14" spans="1:16" x14ac:dyDescent="0.25">
      <c r="A14" s="5">
        <v>2</v>
      </c>
      <c r="C14" s="2" t="s">
        <v>8</v>
      </c>
      <c r="D14" s="291" t="s">
        <v>378</v>
      </c>
      <c r="E14" s="174">
        <f>'PTP Pg 4 of 5'!$J$64</f>
        <v>0</v>
      </c>
      <c r="F14" s="9"/>
      <c r="G14" s="9" t="s">
        <v>9</v>
      </c>
      <c r="H14" s="15">
        <f>'PTP Pg 4 of 5'!$J$16</f>
        <v>0.95489000000000002</v>
      </c>
      <c r="I14" s="9"/>
      <c r="J14" s="562">
        <f>ROUND(H14*E14,0)</f>
        <v>0</v>
      </c>
      <c r="K14" s="4"/>
      <c r="L14" s="173"/>
      <c r="M14" s="4"/>
      <c r="N14" s="4"/>
      <c r="O14" s="4"/>
      <c r="P14" s="4"/>
    </row>
    <row r="15" spans="1:16" x14ac:dyDescent="0.25">
      <c r="A15" s="5">
        <v>3</v>
      </c>
      <c r="C15" s="2" t="s">
        <v>10</v>
      </c>
      <c r="D15" s="291" t="s">
        <v>379</v>
      </c>
      <c r="E15" s="563">
        <f>'PTP Pg 4 of 5'!J68</f>
        <v>2822696</v>
      </c>
      <c r="F15" s="9"/>
      <c r="G15" s="9" t="str">
        <f t="shared" ref="G15:G17" si="0">+G14</f>
        <v>TP</v>
      </c>
      <c r="H15" s="15">
        <f>'PTP Pg 4 of 5'!$J$16</f>
        <v>0.95489000000000002</v>
      </c>
      <c r="I15" s="9"/>
      <c r="J15" s="563">
        <f>ROUND(H15*E15,0)</f>
        <v>2695364</v>
      </c>
      <c r="K15" s="4"/>
      <c r="L15" s="4"/>
      <c r="M15" s="4"/>
      <c r="N15" s="4"/>
      <c r="O15" s="4"/>
      <c r="P15" s="4"/>
    </row>
    <row r="16" spans="1:16" x14ac:dyDescent="0.25">
      <c r="A16" s="5">
        <v>4</v>
      </c>
      <c r="C16" s="18" t="s">
        <v>11</v>
      </c>
      <c r="D16" s="9"/>
      <c r="E16" s="563">
        <v>0</v>
      </c>
      <c r="F16" s="9"/>
      <c r="G16" s="9" t="str">
        <f t="shared" si="0"/>
        <v>TP</v>
      </c>
      <c r="H16" s="15">
        <f>'PTP Pg 4 of 5'!$J$16</f>
        <v>0.95489000000000002</v>
      </c>
      <c r="I16" s="9"/>
      <c r="J16" s="563">
        <f t="shared" ref="J16:J17" si="1">ROUND(H16*E16,0)</f>
        <v>0</v>
      </c>
      <c r="K16" s="4"/>
      <c r="L16" s="4"/>
      <c r="M16" s="4"/>
      <c r="N16" s="4"/>
      <c r="P16" s="4"/>
    </row>
    <row r="17" spans="1:16" ht="18" x14ac:dyDescent="0.4">
      <c r="A17" s="5">
        <v>5</v>
      </c>
      <c r="C17" s="571" t="s">
        <v>188</v>
      </c>
      <c r="D17" s="572"/>
      <c r="E17" s="563">
        <v>0</v>
      </c>
      <c r="F17" s="9"/>
      <c r="G17" s="9" t="str">
        <f t="shared" si="0"/>
        <v>TP</v>
      </c>
      <c r="H17" s="15">
        <f>'PTP Pg 4 of 5'!$J$16</f>
        <v>0.95489000000000002</v>
      </c>
      <c r="I17" s="9"/>
      <c r="J17" s="567">
        <f t="shared" si="1"/>
        <v>0</v>
      </c>
      <c r="K17" s="21"/>
      <c r="L17" s="4"/>
      <c r="M17" s="4"/>
      <c r="N17" s="4"/>
      <c r="P17" s="4"/>
    </row>
    <row r="18" spans="1:16" x14ac:dyDescent="0.25">
      <c r="A18" s="5">
        <v>6</v>
      </c>
      <c r="C18" s="8" t="s">
        <v>128</v>
      </c>
      <c r="D18" s="292" t="s">
        <v>243</v>
      </c>
      <c r="E18" s="22" t="s">
        <v>0</v>
      </c>
      <c r="F18" s="9"/>
      <c r="G18" s="9"/>
      <c r="H18" s="15"/>
      <c r="I18" s="9"/>
      <c r="J18" s="568">
        <f>SUM(J14:J17)</f>
        <v>2695364</v>
      </c>
      <c r="K18" s="4"/>
      <c r="L18" s="4"/>
      <c r="M18" s="4"/>
      <c r="N18" s="4"/>
      <c r="P18" s="4"/>
    </row>
    <row r="19" spans="1:16" x14ac:dyDescent="0.25">
      <c r="A19" s="5"/>
      <c r="D19" s="4"/>
      <c r="E19" s="9" t="s">
        <v>0</v>
      </c>
      <c r="F19" s="4"/>
      <c r="G19" s="4"/>
      <c r="H19" s="15"/>
      <c r="I19" s="4"/>
      <c r="K19" s="4"/>
      <c r="L19" s="4"/>
      <c r="M19" s="4"/>
      <c r="N19" s="4"/>
      <c r="P19" s="4"/>
    </row>
    <row r="20" spans="1:16" ht="18" x14ac:dyDescent="0.4">
      <c r="A20" s="5">
        <v>7</v>
      </c>
      <c r="C20" s="2" t="s">
        <v>12</v>
      </c>
      <c r="D20" s="292" t="s">
        <v>244</v>
      </c>
      <c r="E20" s="22" t="s">
        <v>0</v>
      </c>
      <c r="F20" s="9"/>
      <c r="G20" s="9"/>
      <c r="H20" s="9"/>
      <c r="I20" s="9"/>
      <c r="J20" s="569">
        <f>J11-J18</f>
        <v>127260026</v>
      </c>
      <c r="K20" s="4"/>
      <c r="L20" s="4"/>
      <c r="M20" s="4"/>
      <c r="N20" s="4"/>
      <c r="P20" s="4"/>
    </row>
    <row r="21" spans="1:16" x14ac:dyDescent="0.25">
      <c r="A21" s="5"/>
      <c r="D21" s="4"/>
      <c r="E21" s="22"/>
      <c r="F21" s="9"/>
      <c r="G21" s="9"/>
      <c r="H21" s="9"/>
      <c r="I21" s="9"/>
      <c r="K21" s="4"/>
      <c r="L21" s="4"/>
      <c r="M21" s="4"/>
      <c r="N21" s="4"/>
      <c r="P21" s="4"/>
    </row>
    <row r="22" spans="1:16" x14ac:dyDescent="0.25">
      <c r="A22" s="5"/>
      <c r="C22" s="2" t="s">
        <v>13</v>
      </c>
      <c r="D22" s="4"/>
      <c r="E22" s="12"/>
      <c r="F22" s="4"/>
      <c r="G22" s="4"/>
      <c r="H22" s="4"/>
      <c r="I22" s="4"/>
      <c r="J22" s="12"/>
      <c r="K22" s="4"/>
      <c r="L22" s="4"/>
      <c r="M22" s="4"/>
      <c r="N22" s="4"/>
      <c r="P22" s="4"/>
    </row>
    <row r="23" spans="1:16" x14ac:dyDescent="0.25">
      <c r="A23" s="5">
        <v>8</v>
      </c>
      <c r="C23" s="8" t="s">
        <v>133</v>
      </c>
      <c r="E23" s="12"/>
      <c r="F23" s="292" t="s">
        <v>245</v>
      </c>
      <c r="G23" s="4"/>
      <c r="H23" s="4"/>
      <c r="I23" s="4"/>
      <c r="J23" s="564">
        <f>ROUND('OATT Input Data'!$E$25,0)</f>
        <v>5867000</v>
      </c>
      <c r="K23" s="4"/>
      <c r="L23" s="4"/>
      <c r="M23" s="4"/>
    </row>
    <row r="24" spans="1:16" x14ac:dyDescent="0.25">
      <c r="A24" s="5">
        <v>9</v>
      </c>
      <c r="C24" s="8" t="s">
        <v>134</v>
      </c>
      <c r="D24" s="9"/>
      <c r="E24" s="9"/>
      <c r="F24" s="294" t="s">
        <v>246</v>
      </c>
      <c r="G24" s="9"/>
      <c r="H24" s="9"/>
      <c r="I24" s="9"/>
      <c r="J24" s="564">
        <f>ROUND('OATT Input Data'!$E$41,0)</f>
        <v>397</v>
      </c>
      <c r="K24" s="4"/>
      <c r="L24" s="4"/>
      <c r="M24" s="4"/>
      <c r="O24" s="4"/>
      <c r="P24" s="4"/>
    </row>
    <row r="25" spans="1:16" x14ac:dyDescent="0.25">
      <c r="A25" s="5">
        <v>10</v>
      </c>
      <c r="C25" s="88" t="s">
        <v>135</v>
      </c>
      <c r="D25" s="4"/>
      <c r="E25" s="4"/>
      <c r="F25" s="291" t="s">
        <v>247</v>
      </c>
      <c r="H25" s="4"/>
      <c r="I25" s="4"/>
      <c r="J25" s="564">
        <f>ROUND('OATT Input Data'!$F$57,0)</f>
        <v>724000</v>
      </c>
      <c r="K25" s="4"/>
      <c r="L25" s="4"/>
      <c r="M25" s="4"/>
      <c r="O25" s="4"/>
      <c r="P25" s="4"/>
    </row>
    <row r="26" spans="1:16" x14ac:dyDescent="0.25">
      <c r="A26" s="5">
        <v>11</v>
      </c>
      <c r="C26" s="8" t="s">
        <v>136</v>
      </c>
      <c r="D26" s="4"/>
      <c r="E26" s="4"/>
      <c r="F26" s="292" t="s">
        <v>248</v>
      </c>
      <c r="H26" s="4"/>
      <c r="I26" s="4"/>
      <c r="J26" s="564">
        <f>ROUND('OATT Input Data'!$E$73*-1,0)</f>
        <v>0</v>
      </c>
      <c r="K26" s="4"/>
      <c r="L26" s="4"/>
      <c r="M26" s="4"/>
      <c r="P26" s="4"/>
    </row>
    <row r="27" spans="1:16" x14ac:dyDescent="0.25">
      <c r="A27" s="5">
        <v>12</v>
      </c>
      <c r="C27" s="88" t="s">
        <v>137</v>
      </c>
      <c r="D27" s="4"/>
      <c r="E27" s="4"/>
      <c r="F27" s="4"/>
      <c r="G27" s="4"/>
      <c r="H27" s="8"/>
      <c r="I27" s="4"/>
      <c r="J27" s="564">
        <f>ROUND('OATT Input Data'!$E$90,0)</f>
        <v>592667</v>
      </c>
      <c r="K27" s="4"/>
      <c r="L27" s="4"/>
      <c r="M27" s="4"/>
      <c r="P27" s="4"/>
    </row>
    <row r="28" spans="1:16" x14ac:dyDescent="0.25">
      <c r="A28" s="5">
        <v>13</v>
      </c>
      <c r="C28" s="88" t="s">
        <v>389</v>
      </c>
      <c r="D28" s="4"/>
      <c r="E28" s="4"/>
      <c r="F28" s="4"/>
      <c r="G28" s="4"/>
      <c r="H28" s="4"/>
      <c r="I28" s="4"/>
      <c r="J28" s="564">
        <f>ROUND('OATT Input Data'!$E$94,0)</f>
        <v>166333</v>
      </c>
      <c r="K28" s="4"/>
      <c r="L28" s="4"/>
      <c r="M28" s="4"/>
      <c r="O28" s="4"/>
      <c r="P28" s="4"/>
    </row>
    <row r="29" spans="1:16" ht="18" x14ac:dyDescent="0.4">
      <c r="A29" s="5">
        <v>14</v>
      </c>
      <c r="C29" s="88" t="s">
        <v>189</v>
      </c>
      <c r="D29" s="4"/>
      <c r="E29" s="4"/>
      <c r="F29" s="4"/>
      <c r="G29" s="4"/>
      <c r="H29" s="4"/>
      <c r="I29" s="4"/>
      <c r="J29" s="565">
        <f>ROUND('OATT Input Data'!$E$95*-1,0)</f>
        <v>-427000</v>
      </c>
      <c r="K29" s="4"/>
      <c r="L29" s="4"/>
      <c r="M29" s="4"/>
      <c r="O29" s="4"/>
      <c r="P29" s="4"/>
    </row>
    <row r="30" spans="1:16" x14ac:dyDescent="0.25">
      <c r="A30" s="5">
        <v>15</v>
      </c>
      <c r="C30" s="8" t="s">
        <v>289</v>
      </c>
      <c r="D30" s="293" t="s">
        <v>288</v>
      </c>
      <c r="E30" s="4"/>
      <c r="F30" s="4"/>
      <c r="G30" s="4"/>
      <c r="H30" s="4"/>
      <c r="I30" s="4"/>
      <c r="J30" s="564">
        <f>ROUND(SUM(J23:J29),0)</f>
        <v>6923397</v>
      </c>
      <c r="K30" s="4"/>
      <c r="L30" s="4"/>
      <c r="M30" s="4"/>
      <c r="N30" s="4"/>
      <c r="O30" s="4"/>
      <c r="P30" s="4"/>
    </row>
    <row r="31" spans="1:16" x14ac:dyDescent="0.25">
      <c r="A31" s="5"/>
      <c r="C31" s="2"/>
      <c r="D31" s="4"/>
      <c r="E31" s="4"/>
      <c r="F31" s="4"/>
      <c r="G31" s="4"/>
      <c r="H31" s="4"/>
      <c r="I31" s="4"/>
      <c r="J31" s="12"/>
      <c r="K31" s="4"/>
      <c r="L31" s="4"/>
      <c r="M31" s="4"/>
      <c r="O31" s="4"/>
      <c r="P31" s="4"/>
    </row>
    <row r="32" spans="1:16" ht="21" x14ac:dyDescent="0.35">
      <c r="A32" s="5">
        <v>16</v>
      </c>
      <c r="C32" s="24" t="s">
        <v>14</v>
      </c>
      <c r="D32" s="336" t="s">
        <v>295</v>
      </c>
      <c r="E32" s="338">
        <f>ROUND(J20/J30,3)</f>
        <v>18.381</v>
      </c>
      <c r="F32" s="27"/>
      <c r="G32" s="4"/>
      <c r="H32" s="4"/>
      <c r="I32" s="4"/>
      <c r="K32" s="4"/>
      <c r="L32" s="4"/>
      <c r="M32" s="4"/>
      <c r="N32" s="2"/>
      <c r="O32" s="4"/>
      <c r="P32" s="4"/>
    </row>
    <row r="33" spans="1:16" x14ac:dyDescent="0.25">
      <c r="A33" s="5">
        <v>17</v>
      </c>
      <c r="C33" s="37" t="s">
        <v>302</v>
      </c>
      <c r="D33" s="336" t="s">
        <v>296</v>
      </c>
      <c r="E33" s="338">
        <f>ROUND(E32/12,3)</f>
        <v>1.532</v>
      </c>
      <c r="G33" s="28"/>
      <c r="H33" s="29"/>
      <c r="I33" s="4"/>
      <c r="K33" s="4"/>
      <c r="L33" s="4"/>
      <c r="M33" s="4"/>
      <c r="N33" s="2"/>
      <c r="O33" s="181"/>
      <c r="P33" s="4"/>
    </row>
    <row r="34" spans="1:16" x14ac:dyDescent="0.25">
      <c r="A34" s="5"/>
      <c r="C34" s="24"/>
      <c r="D34" s="32"/>
      <c r="E34" s="30"/>
      <c r="F34" s="4"/>
      <c r="G34" s="4"/>
      <c r="H34" s="4"/>
      <c r="I34" s="4"/>
      <c r="J34" s="31"/>
      <c r="K34" s="4"/>
      <c r="L34" s="4"/>
      <c r="M34" s="4"/>
      <c r="N34" s="4"/>
      <c r="O34" s="4"/>
      <c r="P34" s="4"/>
    </row>
    <row r="35" spans="1:16" x14ac:dyDescent="0.25">
      <c r="A35" s="5"/>
      <c r="C35" s="24"/>
      <c r="D35" s="32"/>
      <c r="E35" s="30" t="s">
        <v>164</v>
      </c>
      <c r="F35" s="4"/>
      <c r="G35" s="4"/>
      <c r="H35" s="4"/>
      <c r="I35" s="4"/>
      <c r="J35" s="1" t="s">
        <v>165</v>
      </c>
      <c r="K35" s="4"/>
      <c r="L35" s="4"/>
      <c r="M35" s="4"/>
      <c r="N35" s="4"/>
      <c r="O35" s="4"/>
      <c r="P35" s="4"/>
    </row>
    <row r="36" spans="1:16" x14ac:dyDescent="0.25">
      <c r="A36" s="5">
        <v>18</v>
      </c>
      <c r="C36" s="88" t="s">
        <v>291</v>
      </c>
      <c r="D36" s="337" t="s">
        <v>292</v>
      </c>
      <c r="E36" s="338">
        <f>ROUND($E$32/52,3)</f>
        <v>0.35299999999999998</v>
      </c>
      <c r="F36" s="4"/>
      <c r="G36" s="4"/>
      <c r="H36" s="337" t="s">
        <v>292</v>
      </c>
      <c r="I36" s="4"/>
      <c r="J36" s="338">
        <f>ROUND($E$32/52,3)</f>
        <v>0.35299999999999998</v>
      </c>
      <c r="K36" s="4"/>
      <c r="L36" s="4"/>
      <c r="M36" s="4"/>
      <c r="N36" s="4"/>
      <c r="O36" s="4"/>
      <c r="P36" s="4"/>
    </row>
    <row r="37" spans="1:16" x14ac:dyDescent="0.25">
      <c r="A37" s="5">
        <v>19</v>
      </c>
      <c r="C37" s="88" t="s">
        <v>297</v>
      </c>
      <c r="D37" s="293" t="s">
        <v>293</v>
      </c>
      <c r="E37" s="338">
        <f>ROUND(E36/5,3)</f>
        <v>7.0999999999999994E-2</v>
      </c>
      <c r="F37" s="3" t="s">
        <v>166</v>
      </c>
      <c r="H37" s="293" t="s">
        <v>299</v>
      </c>
      <c r="I37" s="4"/>
      <c r="J37" s="338">
        <f>ROUND(J36/7,3)</f>
        <v>0.05</v>
      </c>
      <c r="K37" s="4"/>
      <c r="L37" s="4"/>
      <c r="M37" s="4"/>
      <c r="N37" s="4"/>
      <c r="O37" s="4"/>
      <c r="P37" s="4"/>
    </row>
    <row r="38" spans="1:16" x14ac:dyDescent="0.25">
      <c r="A38" s="5">
        <v>20</v>
      </c>
      <c r="C38" s="88" t="s">
        <v>431</v>
      </c>
      <c r="D38" s="293" t="s">
        <v>294</v>
      </c>
      <c r="E38" s="338">
        <f>ROUND(E37/16*1000,3)</f>
        <v>4.4379999999999997</v>
      </c>
      <c r="F38" s="8" t="s">
        <v>290</v>
      </c>
      <c r="H38" s="293" t="s">
        <v>300</v>
      </c>
      <c r="I38" s="4"/>
      <c r="J38" s="338">
        <f>ROUND(J37/24*1000,3)</f>
        <v>2.0830000000000002</v>
      </c>
      <c r="K38" s="4"/>
      <c r="L38" s="4" t="s">
        <v>0</v>
      </c>
      <c r="M38" s="4"/>
      <c r="N38" s="4"/>
      <c r="O38" s="4"/>
      <c r="P38" s="4"/>
    </row>
    <row r="39" spans="1:16" x14ac:dyDescent="0.25">
      <c r="A39" s="5"/>
      <c r="C39" s="2"/>
      <c r="D39" s="4"/>
      <c r="E39" s="4"/>
      <c r="F39" s="4"/>
      <c r="H39" s="4"/>
      <c r="I39" s="4"/>
      <c r="K39" s="4"/>
      <c r="L39" s="4" t="s">
        <v>0</v>
      </c>
      <c r="M39" s="4"/>
      <c r="N39" s="4"/>
      <c r="O39" s="4"/>
      <c r="P39" s="4"/>
    </row>
    <row r="40" spans="1:16" x14ac:dyDescent="0.25">
      <c r="A40" s="5">
        <v>21</v>
      </c>
      <c r="C40" s="2" t="s">
        <v>15</v>
      </c>
      <c r="D40" s="337" t="s">
        <v>298</v>
      </c>
      <c r="E40" s="566">
        <v>0</v>
      </c>
      <c r="F40" s="354" t="s">
        <v>16</v>
      </c>
      <c r="G40" s="354"/>
      <c r="H40" s="354"/>
      <c r="I40" s="354"/>
      <c r="J40" s="566">
        <v>0</v>
      </c>
      <c r="K40" s="34"/>
      <c r="L40" s="4"/>
      <c r="M40" s="4"/>
      <c r="N40" s="4"/>
      <c r="O40" s="4"/>
      <c r="P40" s="4"/>
    </row>
    <row r="41" spans="1:16" x14ac:dyDescent="0.25">
      <c r="A41" s="5">
        <v>22</v>
      </c>
      <c r="C41" s="2"/>
      <c r="D41" s="4"/>
      <c r="E41" s="566">
        <v>0</v>
      </c>
      <c r="F41" s="354" t="s">
        <v>17</v>
      </c>
      <c r="G41" s="354"/>
      <c r="H41" s="354"/>
      <c r="I41" s="354"/>
      <c r="J41" s="566">
        <v>0</v>
      </c>
      <c r="K41" s="34"/>
      <c r="L41" s="4"/>
      <c r="M41" s="4"/>
      <c r="N41" s="4"/>
      <c r="O41" s="4"/>
      <c r="P41" s="4"/>
    </row>
    <row r="42" spans="1:16" x14ac:dyDescent="0.25">
      <c r="K42" s="4"/>
      <c r="L42" s="4"/>
      <c r="M42" s="4"/>
      <c r="N42" s="4"/>
      <c r="O42" s="4"/>
      <c r="P42" s="4"/>
    </row>
    <row r="43" spans="1:16" x14ac:dyDescent="0.25">
      <c r="A43" s="35"/>
      <c r="B43" s="36"/>
      <c r="C43" s="37"/>
      <c r="D43" s="36"/>
      <c r="E43" s="36"/>
      <c r="F43" s="36"/>
      <c r="G43" s="36"/>
      <c r="H43" s="36"/>
      <c r="I43" s="36"/>
      <c r="J43" s="18"/>
      <c r="K43" s="25"/>
      <c r="L43" s="25"/>
      <c r="M43" s="25"/>
      <c r="N43" s="4"/>
      <c r="O43" s="4"/>
      <c r="P43" s="4"/>
    </row>
    <row r="44" spans="1:16" x14ac:dyDescent="0.25">
      <c r="A44" s="35"/>
      <c r="B44" s="36"/>
      <c r="C44" s="37"/>
      <c r="D44" s="25"/>
      <c r="E44" s="25"/>
      <c r="F44" s="25"/>
      <c r="G44" s="25"/>
      <c r="H44" s="25"/>
      <c r="I44" s="25"/>
      <c r="J44" s="38"/>
      <c r="K44" s="25"/>
      <c r="L44" s="25"/>
      <c r="M44" s="25"/>
      <c r="N44" s="4"/>
      <c r="O44" s="4"/>
      <c r="P44" s="4"/>
    </row>
    <row r="45" spans="1:16" x14ac:dyDescent="0.25">
      <c r="A45" s="35"/>
      <c r="B45" s="36"/>
      <c r="C45" s="24"/>
      <c r="D45" s="25"/>
      <c r="E45" s="25"/>
      <c r="F45" s="25"/>
      <c r="G45" s="25"/>
      <c r="H45" s="25"/>
      <c r="I45" s="25"/>
      <c r="J45" s="39"/>
      <c r="K45" s="25"/>
      <c r="L45" s="25"/>
      <c r="M45" s="25"/>
      <c r="N45" s="4"/>
      <c r="O45" s="4"/>
      <c r="P45" s="4"/>
    </row>
    <row r="46" spans="1:16" x14ac:dyDescent="0.25">
      <c r="A46" s="35"/>
      <c r="B46" s="36"/>
      <c r="C46" s="37"/>
      <c r="D46" s="25"/>
      <c r="E46" s="25"/>
      <c r="F46" s="25"/>
      <c r="G46" s="25"/>
      <c r="H46" s="25"/>
      <c r="I46" s="25"/>
      <c r="J46" s="39"/>
      <c r="K46" s="25"/>
      <c r="L46" s="25"/>
      <c r="M46" s="25"/>
      <c r="N46" s="4"/>
      <c r="O46" s="4"/>
      <c r="P46" s="330"/>
    </row>
    <row r="47" spans="1:16" s="36" customFormat="1" x14ac:dyDescent="0.25">
      <c r="A47" s="35"/>
      <c r="C47" s="37"/>
      <c r="D47" s="24"/>
      <c r="E47" s="32"/>
      <c r="F47" s="24"/>
      <c r="G47" s="24"/>
      <c r="H47" s="24"/>
      <c r="I47" s="25"/>
      <c r="J47" s="39"/>
      <c r="K47" s="35"/>
      <c r="L47" s="35"/>
      <c r="M47" s="295"/>
      <c r="N47" s="25"/>
      <c r="O47" s="42"/>
      <c r="P47" s="44"/>
    </row>
    <row r="48" spans="1:16" s="36" customFormat="1" x14ac:dyDescent="0.25">
      <c r="A48" s="35"/>
      <c r="C48" s="37"/>
      <c r="D48" s="25"/>
      <c r="E48" s="25"/>
      <c r="F48" s="25"/>
      <c r="G48" s="25"/>
      <c r="H48" s="25"/>
      <c r="I48" s="25"/>
      <c r="J48" s="39"/>
      <c r="K48" s="295"/>
      <c r="L48" s="295"/>
      <c r="M48" s="295"/>
      <c r="N48" s="25"/>
      <c r="O48" s="25"/>
      <c r="P48" s="44"/>
    </row>
    <row r="49" spans="1:21" s="36" customFormat="1" x14ac:dyDescent="0.25">
      <c r="A49" s="35"/>
      <c r="C49" s="37"/>
      <c r="D49" s="24"/>
      <c r="E49" s="32"/>
      <c r="F49" s="24"/>
      <c r="G49" s="24"/>
      <c r="H49" s="24"/>
      <c r="I49" s="25"/>
      <c r="J49" s="45"/>
      <c r="K49" s="570"/>
      <c r="L49" s="570"/>
      <c r="M49" s="570"/>
      <c r="N49" s="25"/>
      <c r="O49" s="25"/>
      <c r="P49" s="44"/>
    </row>
    <row r="50" spans="1:21" s="36" customFormat="1" x14ac:dyDescent="0.25">
      <c r="A50" s="35"/>
      <c r="C50" s="37"/>
      <c r="D50" s="24"/>
      <c r="E50" s="32"/>
      <c r="F50" s="24"/>
      <c r="G50" s="24"/>
      <c r="H50" s="24"/>
      <c r="I50" s="25"/>
      <c r="J50" s="46"/>
      <c r="K50" s="295"/>
      <c r="L50" s="295"/>
      <c r="M50" s="295"/>
      <c r="N50" s="25"/>
      <c r="O50" s="25"/>
      <c r="P50" s="44"/>
    </row>
    <row r="51" spans="1:21" s="36" customFormat="1" x14ac:dyDescent="0.25">
      <c r="A51" s="35"/>
      <c r="C51" s="37"/>
      <c r="D51" s="24"/>
      <c r="E51" s="32"/>
      <c r="F51" s="24"/>
      <c r="G51" s="24"/>
      <c r="H51" s="24"/>
      <c r="I51" s="25"/>
      <c r="J51" s="39"/>
      <c r="K51" s="295"/>
      <c r="L51" s="295"/>
      <c r="M51" s="295"/>
      <c r="N51" s="25"/>
      <c r="O51" s="25"/>
      <c r="P51" s="44"/>
    </row>
    <row r="52" spans="1:21" s="36" customFormat="1" x14ac:dyDescent="0.25">
      <c r="A52" s="35"/>
      <c r="C52" s="37"/>
      <c r="D52" s="24"/>
      <c r="E52" s="32"/>
      <c r="F52" s="24"/>
      <c r="G52" s="24"/>
      <c r="H52" s="24"/>
      <c r="I52" s="25"/>
      <c r="J52" s="47"/>
      <c r="K52" s="25"/>
      <c r="L52" s="570"/>
      <c r="M52" s="570"/>
      <c r="N52" s="25"/>
      <c r="O52" s="25"/>
      <c r="P52" s="44"/>
    </row>
    <row r="53" spans="1:21" s="36" customFormat="1" x14ac:dyDescent="0.25">
      <c r="C53" s="24"/>
      <c r="D53" s="24"/>
      <c r="E53" s="32"/>
      <c r="F53" s="24"/>
      <c r="G53" s="24"/>
      <c r="H53" s="24"/>
      <c r="I53" s="25"/>
      <c r="J53" s="25"/>
      <c r="K53" s="25"/>
      <c r="L53" s="295"/>
      <c r="M53" s="295"/>
      <c r="N53" s="25"/>
      <c r="O53" s="25"/>
      <c r="P53" s="44"/>
    </row>
    <row r="54" spans="1:21" s="36" customFormat="1" ht="21" x14ac:dyDescent="0.35">
      <c r="A54" s="35"/>
      <c r="C54" s="24"/>
      <c r="D54" s="37"/>
      <c r="E54" s="26"/>
      <c r="F54" s="48"/>
      <c r="G54" s="25"/>
      <c r="H54" s="25"/>
      <c r="I54" s="25"/>
      <c r="K54" s="25"/>
      <c r="L54" s="25"/>
      <c r="M54" s="25"/>
      <c r="N54" s="25"/>
      <c r="O54" s="25"/>
      <c r="P54" s="25"/>
    </row>
    <row r="55" spans="1:21" s="36" customFormat="1" x14ac:dyDescent="0.25">
      <c r="A55" s="35"/>
      <c r="C55" s="24"/>
      <c r="D55" s="37"/>
      <c r="E55" s="26"/>
      <c r="G55" s="49"/>
      <c r="H55" s="26"/>
      <c r="I55" s="25"/>
      <c r="K55" s="50"/>
      <c r="M55" s="51"/>
      <c r="N55" s="51"/>
      <c r="O55" s="51"/>
      <c r="P55" s="35"/>
      <c r="Q55" s="52"/>
      <c r="R55" s="53"/>
      <c r="S55" s="53"/>
      <c r="T55" s="53"/>
      <c r="U55" s="53"/>
    </row>
    <row r="56" spans="1:21" s="36" customFormat="1" x14ac:dyDescent="0.25">
      <c r="A56" s="35"/>
      <c r="C56" s="24"/>
      <c r="D56" s="25"/>
      <c r="E56" s="26"/>
      <c r="F56" s="26"/>
      <c r="G56" s="25"/>
      <c r="H56" s="25"/>
      <c r="I56" s="25"/>
      <c r="K56" s="51"/>
      <c r="M56" s="51"/>
      <c r="N56" s="51"/>
      <c r="O56" s="51"/>
      <c r="P56" s="35"/>
      <c r="Q56" s="52"/>
      <c r="R56" s="53"/>
      <c r="S56" s="53"/>
      <c r="T56" s="53"/>
      <c r="U56" s="53"/>
    </row>
    <row r="57" spans="1:21" s="36" customFormat="1" x14ac:dyDescent="0.25">
      <c r="A57" s="35"/>
      <c r="C57" s="24"/>
      <c r="D57" s="25"/>
      <c r="E57" s="30"/>
      <c r="F57" s="25"/>
      <c r="G57" s="25"/>
      <c r="H57" s="25"/>
      <c r="I57" s="25"/>
      <c r="J57" s="52"/>
      <c r="K57" s="51"/>
      <c r="M57" s="51"/>
      <c r="N57" s="51"/>
      <c r="O57" s="50"/>
      <c r="P57" s="51"/>
      <c r="Q57" s="51"/>
      <c r="R57" s="53"/>
      <c r="S57" s="53"/>
      <c r="T57" s="53"/>
      <c r="U57" s="53"/>
    </row>
    <row r="58" spans="1:21" s="36" customFormat="1" x14ac:dyDescent="0.25">
      <c r="A58" s="35"/>
      <c r="C58" s="24"/>
      <c r="D58" s="25"/>
      <c r="E58" s="26"/>
      <c r="F58" s="25"/>
      <c r="G58" s="25"/>
      <c r="H58" s="25"/>
      <c r="I58" s="25"/>
      <c r="K58" s="50"/>
      <c r="M58" s="51"/>
      <c r="N58" s="51"/>
      <c r="O58" s="50"/>
      <c r="P58" s="51"/>
      <c r="Q58" s="51"/>
      <c r="R58" s="53"/>
      <c r="S58" s="53"/>
      <c r="T58" s="53"/>
      <c r="U58" s="53"/>
    </row>
    <row r="59" spans="1:21" s="36" customFormat="1" x14ac:dyDescent="0.25">
      <c r="A59" s="35"/>
      <c r="C59" s="24"/>
      <c r="D59" s="32"/>
      <c r="E59" s="26"/>
      <c r="F59" s="25"/>
      <c r="G59" s="25"/>
      <c r="H59" s="25"/>
      <c r="I59" s="25"/>
      <c r="J59" s="55"/>
      <c r="M59" s="51"/>
      <c r="N59" s="51"/>
      <c r="O59" s="50"/>
      <c r="P59" s="51"/>
      <c r="Q59" s="51"/>
      <c r="R59" s="53"/>
      <c r="S59" s="53"/>
      <c r="T59" s="53"/>
      <c r="U59" s="53"/>
    </row>
    <row r="60" spans="1:21" s="36" customFormat="1" x14ac:dyDescent="0.25">
      <c r="A60" s="35"/>
      <c r="C60" s="24"/>
      <c r="D60" s="32"/>
      <c r="E60" s="26"/>
      <c r="F60" s="25"/>
      <c r="H60" s="25"/>
      <c r="I60" s="25"/>
      <c r="J60" s="55"/>
      <c r="L60" s="51"/>
      <c r="M60" s="51"/>
      <c r="N60" s="51"/>
      <c r="O60" s="50"/>
      <c r="P60" s="51"/>
      <c r="Q60" s="51"/>
      <c r="R60" s="53"/>
      <c r="S60" s="53"/>
      <c r="T60" s="53"/>
      <c r="U60" s="53"/>
    </row>
    <row r="61" spans="1:21" s="36" customFormat="1" x14ac:dyDescent="0.25">
      <c r="A61" s="35"/>
      <c r="C61" s="24"/>
      <c r="D61" s="32"/>
      <c r="E61" s="26"/>
      <c r="F61" s="25"/>
      <c r="H61" s="25"/>
      <c r="I61" s="25"/>
      <c r="J61" s="55"/>
      <c r="K61" s="25"/>
      <c r="L61" s="25"/>
      <c r="M61" s="51"/>
      <c r="N61" s="57"/>
      <c r="P61" s="51"/>
      <c r="Q61" s="69"/>
    </row>
    <row r="62" spans="1:21" s="36" customFormat="1" x14ac:dyDescent="0.25">
      <c r="A62" s="35"/>
      <c r="C62" s="24"/>
      <c r="D62" s="25"/>
      <c r="E62" s="25"/>
      <c r="F62" s="25"/>
      <c r="H62" s="25"/>
      <c r="I62" s="25"/>
      <c r="K62" s="35"/>
      <c r="O62" s="51"/>
      <c r="P62" s="51"/>
      <c r="Q62" s="51"/>
    </row>
    <row r="63" spans="1:21" s="36" customFormat="1" x14ac:dyDescent="0.25">
      <c r="A63" s="35"/>
      <c r="C63" s="24"/>
      <c r="D63" s="25"/>
      <c r="E63" s="25"/>
      <c r="F63" s="25"/>
      <c r="G63" s="25"/>
      <c r="H63" s="25"/>
      <c r="O63" s="51"/>
      <c r="P63" s="61"/>
      <c r="Q63" s="57"/>
    </row>
    <row r="64" spans="1:21" s="36" customFormat="1" x14ac:dyDescent="0.25">
      <c r="A64" s="35"/>
      <c r="D64" s="25"/>
      <c r="E64" s="25"/>
      <c r="G64" s="25"/>
      <c r="J64" s="62"/>
      <c r="K64" s="63"/>
      <c r="O64" s="51"/>
      <c r="P64" s="24"/>
    </row>
    <row r="65" spans="1:16" s="36" customFormat="1" x14ac:dyDescent="0.25">
      <c r="A65" s="35"/>
      <c r="D65" s="25"/>
      <c r="F65" s="25"/>
      <c r="G65" s="25"/>
      <c r="H65" s="25"/>
      <c r="I65" s="25"/>
      <c r="J65" s="62"/>
      <c r="K65" s="63"/>
      <c r="O65" s="51"/>
      <c r="P65" s="24"/>
    </row>
    <row r="66" spans="1:16" s="36" customFormat="1" x14ac:dyDescent="0.25">
      <c r="A66" s="35"/>
      <c r="D66" s="25"/>
      <c r="F66" s="25"/>
      <c r="G66" s="25"/>
      <c r="H66" s="25"/>
      <c r="I66" s="25"/>
      <c r="J66" s="62"/>
      <c r="K66" s="63"/>
      <c r="O66" s="51"/>
      <c r="P66" s="24"/>
    </row>
    <row r="67" spans="1:16" s="36" customFormat="1" x14ac:dyDescent="0.25">
      <c r="A67" s="35"/>
      <c r="D67" s="25"/>
      <c r="F67" s="25"/>
      <c r="G67" s="25"/>
      <c r="H67" s="64"/>
      <c r="I67" s="25"/>
      <c r="J67" s="65"/>
      <c r="L67" s="66"/>
      <c r="M67" s="51"/>
      <c r="N67" s="57"/>
      <c r="O67" s="51"/>
      <c r="P67" s="24"/>
    </row>
    <row r="68" spans="1:16" s="36" customFormat="1" x14ac:dyDescent="0.25">
      <c r="A68" s="35"/>
      <c r="C68" s="24"/>
      <c r="D68" s="25"/>
      <c r="F68" s="25"/>
      <c r="G68" s="25"/>
      <c r="H68" s="26"/>
      <c r="I68" s="25"/>
      <c r="J68" s="65"/>
      <c r="L68" s="66"/>
      <c r="M68" s="51"/>
      <c r="N68" s="57"/>
      <c r="O68" s="51"/>
      <c r="P68" s="24"/>
    </row>
    <row r="69" spans="1:16" s="36" customFormat="1" x14ac:dyDescent="0.25">
      <c r="A69" s="35"/>
      <c r="D69" s="25"/>
      <c r="E69" s="25"/>
      <c r="F69" s="25"/>
      <c r="G69" s="25"/>
      <c r="H69" s="25"/>
      <c r="I69" s="25"/>
      <c r="J69" s="65"/>
      <c r="L69" s="66"/>
      <c r="M69" s="51"/>
      <c r="N69" s="57"/>
      <c r="O69" s="51"/>
      <c r="P69" s="169"/>
    </row>
    <row r="70" spans="1:16" s="36" customFormat="1" x14ac:dyDescent="0.25">
      <c r="C70" s="24"/>
      <c r="D70" s="25"/>
      <c r="E70" s="25"/>
      <c r="F70" s="25"/>
      <c r="G70" s="25"/>
      <c r="H70" s="25"/>
      <c r="I70" s="25"/>
      <c r="L70" s="68"/>
      <c r="M70" s="51"/>
      <c r="N70" s="57"/>
      <c r="O70" s="25"/>
      <c r="P70" s="57"/>
    </row>
    <row r="71" spans="1:16" s="36" customFormat="1" x14ac:dyDescent="0.25">
      <c r="A71" s="35"/>
      <c r="C71" s="24"/>
      <c r="D71" s="51"/>
      <c r="E71" s="51"/>
      <c r="F71" s="51"/>
      <c r="G71" s="51"/>
      <c r="H71" s="51"/>
      <c r="I71" s="51"/>
      <c r="J71" s="69"/>
      <c r="K71" s="51"/>
      <c r="L71" s="68"/>
      <c r="M71" s="51"/>
      <c r="N71" s="57"/>
      <c r="O71" s="25"/>
    </row>
    <row r="72" spans="1:16" s="36" customFormat="1" x14ac:dyDescent="0.25">
      <c r="A72" s="35"/>
      <c r="C72" s="24"/>
      <c r="D72" s="25"/>
      <c r="E72" s="25"/>
      <c r="F72" s="25"/>
      <c r="G72" s="25"/>
      <c r="H72" s="25"/>
      <c r="I72" s="25"/>
      <c r="J72" s="69"/>
      <c r="L72" s="71"/>
      <c r="M72" s="25"/>
      <c r="N72" s="35"/>
      <c r="O72" s="25"/>
      <c r="P72" s="169"/>
    </row>
    <row r="73" spans="1:16" s="36" customFormat="1" x14ac:dyDescent="0.25">
      <c r="A73" s="35"/>
      <c r="D73" s="35"/>
      <c r="E73" s="51"/>
      <c r="F73" s="51"/>
      <c r="G73" s="51"/>
      <c r="H73" s="51"/>
      <c r="I73" s="25"/>
      <c r="J73" s="69"/>
      <c r="K73" s="51"/>
      <c r="L73" s="51"/>
      <c r="M73" s="25"/>
      <c r="N73" s="35"/>
      <c r="O73" s="25"/>
      <c r="P73" s="169"/>
    </row>
    <row r="74" spans="1:16" s="36" customFormat="1" x14ac:dyDescent="0.25">
      <c r="C74" s="24"/>
      <c r="D74" s="24"/>
      <c r="E74" s="32"/>
      <c r="F74" s="24"/>
      <c r="G74" s="24"/>
      <c r="H74" s="24"/>
      <c r="I74" s="25"/>
      <c r="J74" s="35"/>
      <c r="K74" s="35"/>
      <c r="L74" s="35"/>
      <c r="M74" s="295"/>
      <c r="N74" s="25"/>
      <c r="O74" s="25"/>
      <c r="P74" s="24"/>
    </row>
    <row r="75" spans="1:16" s="36" customFormat="1" x14ac:dyDescent="0.25">
      <c r="C75" s="24"/>
      <c r="D75" s="24"/>
      <c r="E75" s="32"/>
      <c r="F75" s="24"/>
      <c r="G75" s="24"/>
      <c r="H75" s="24"/>
      <c r="I75" s="25"/>
      <c r="J75" s="295"/>
      <c r="K75" s="295"/>
      <c r="L75" s="295"/>
      <c r="M75" s="295"/>
      <c r="N75" s="25"/>
      <c r="O75" s="25"/>
      <c r="P75" s="25"/>
    </row>
    <row r="76" spans="1:16" s="36" customFormat="1" x14ac:dyDescent="0.25">
      <c r="C76" s="24"/>
      <c r="D76" s="24"/>
      <c r="E76" s="32"/>
      <c r="F76" s="24"/>
      <c r="G76" s="24"/>
      <c r="H76" s="24"/>
      <c r="I76" s="25"/>
      <c r="J76" s="25"/>
      <c r="K76" s="570"/>
      <c r="L76" s="570"/>
      <c r="M76" s="570"/>
      <c r="N76" s="25"/>
      <c r="O76" s="25"/>
      <c r="P76" s="25"/>
    </row>
    <row r="77" spans="1:16" s="36" customFormat="1" x14ac:dyDescent="0.25">
      <c r="C77" s="24"/>
      <c r="D77" s="24"/>
      <c r="E77" s="32"/>
      <c r="F77" s="24"/>
      <c r="G77" s="24"/>
      <c r="H77" s="24"/>
      <c r="I77" s="25"/>
      <c r="J77" s="25"/>
      <c r="K77" s="25"/>
      <c r="L77" s="570"/>
      <c r="M77" s="570"/>
      <c r="N77" s="25"/>
      <c r="O77" s="25"/>
      <c r="P77" s="25"/>
    </row>
    <row r="78" spans="1:16" s="36" customFormat="1" x14ac:dyDescent="0.25">
      <c r="C78" s="24"/>
      <c r="D78" s="24"/>
      <c r="E78" s="32"/>
      <c r="F78" s="24"/>
      <c r="G78" s="24"/>
      <c r="H78" s="24"/>
      <c r="I78" s="25"/>
      <c r="J78" s="25"/>
      <c r="K78" s="25"/>
      <c r="L78" s="295"/>
      <c r="M78" s="295"/>
      <c r="N78" s="25"/>
      <c r="O78" s="25"/>
      <c r="P78" s="25"/>
    </row>
    <row r="79" spans="1:16" s="36" customFormat="1" x14ac:dyDescent="0.25">
      <c r="C79" s="24"/>
      <c r="D79" s="24"/>
      <c r="E79" s="32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</row>
    <row r="80" spans="1:16" s="36" customFormat="1" x14ac:dyDescent="0.25">
      <c r="C80" s="24"/>
      <c r="D80" s="51"/>
      <c r="E80" s="51"/>
      <c r="F80" s="51"/>
      <c r="G80" s="51"/>
      <c r="H80" s="51"/>
      <c r="I80" s="25"/>
      <c r="J80" s="25"/>
      <c r="K80" s="25"/>
      <c r="L80" s="25"/>
      <c r="M80" s="25"/>
      <c r="N80" s="25"/>
      <c r="O80" s="25"/>
      <c r="P80" s="25"/>
    </row>
    <row r="81" spans="1:16" s="36" customFormat="1" x14ac:dyDescent="0.25">
      <c r="A81" s="35"/>
      <c r="B81" s="25"/>
      <c r="D81" s="35"/>
      <c r="E81" s="51"/>
      <c r="F81" s="51"/>
      <c r="G81" s="51"/>
      <c r="H81" s="51"/>
      <c r="I81" s="25"/>
      <c r="J81" s="65"/>
      <c r="L81" s="51"/>
      <c r="M81" s="25"/>
      <c r="N81" s="35"/>
      <c r="O81" s="25"/>
      <c r="P81" s="25"/>
    </row>
    <row r="82" spans="1:16" s="36" customFormat="1" x14ac:dyDescent="0.25">
      <c r="A82" s="35"/>
      <c r="B82" s="25"/>
      <c r="D82" s="35"/>
      <c r="E82" s="51"/>
      <c r="F82" s="51"/>
      <c r="G82" s="51"/>
      <c r="H82" s="51"/>
      <c r="I82" s="25"/>
      <c r="J82" s="65"/>
      <c r="L82" s="51"/>
      <c r="M82" s="25"/>
      <c r="N82" s="35"/>
      <c r="O82" s="25"/>
      <c r="P82" s="25"/>
    </row>
    <row r="83" spans="1:16" s="36" customFormat="1" x14ac:dyDescent="0.25">
      <c r="A83" s="35"/>
      <c r="B83" s="25"/>
      <c r="D83" s="35"/>
      <c r="E83" s="51"/>
      <c r="F83" s="51"/>
      <c r="G83" s="51"/>
      <c r="H83" s="51"/>
      <c r="I83" s="25"/>
      <c r="J83" s="65"/>
      <c r="L83" s="51"/>
      <c r="M83" s="25"/>
      <c r="N83" s="35"/>
      <c r="O83" s="25"/>
      <c r="P83" s="25"/>
    </row>
    <row r="84" spans="1:16" s="36" customFormat="1" ht="21" x14ac:dyDescent="0.35">
      <c r="A84" s="72"/>
      <c r="B84" s="73"/>
      <c r="C84" s="74"/>
      <c r="D84" s="72"/>
      <c r="E84" s="75"/>
      <c r="F84" s="75"/>
      <c r="G84" s="75"/>
      <c r="H84" s="75"/>
      <c r="I84" s="73"/>
      <c r="J84" s="75"/>
      <c r="K84" s="76"/>
      <c r="L84" s="77"/>
      <c r="M84" s="76"/>
      <c r="N84" s="72"/>
      <c r="O84" s="25"/>
      <c r="P84" s="25"/>
    </row>
    <row r="85" spans="1:16" s="36" customFormat="1" ht="21" x14ac:dyDescent="0.35">
      <c r="A85" s="72"/>
      <c r="B85" s="73"/>
      <c r="C85" s="74"/>
      <c r="D85" s="72"/>
      <c r="E85" s="75"/>
      <c r="F85" s="75"/>
      <c r="G85" s="75"/>
      <c r="H85" s="75"/>
      <c r="I85" s="73"/>
      <c r="J85" s="75"/>
      <c r="K85" s="76"/>
      <c r="L85" s="77"/>
      <c r="M85" s="76"/>
      <c r="N85" s="72"/>
      <c r="O85" s="25"/>
      <c r="P85" s="25"/>
    </row>
    <row r="86" spans="1:16" s="36" customFormat="1" ht="21" x14ac:dyDescent="0.35">
      <c r="A86" s="72"/>
      <c r="B86" s="73"/>
      <c r="C86" s="74"/>
      <c r="D86" s="73"/>
      <c r="E86" s="75"/>
      <c r="F86" s="75"/>
      <c r="G86" s="75"/>
      <c r="H86" s="75"/>
      <c r="I86" s="73"/>
      <c r="J86" s="75"/>
      <c r="K86" s="76"/>
      <c r="L86" s="77"/>
      <c r="M86" s="76"/>
      <c r="N86" s="72"/>
      <c r="O86" s="25"/>
      <c r="P86" s="25"/>
    </row>
    <row r="87" spans="1:16" s="36" customFormat="1" ht="21" x14ac:dyDescent="0.35">
      <c r="A87" s="72"/>
      <c r="B87" s="73"/>
      <c r="C87" s="74"/>
      <c r="D87" s="73"/>
      <c r="E87" s="75"/>
      <c r="F87" s="75"/>
      <c r="G87" s="75"/>
      <c r="H87" s="75"/>
      <c r="I87" s="73"/>
      <c r="J87" s="75"/>
      <c r="K87" s="76"/>
      <c r="L87" s="77"/>
      <c r="M87" s="76"/>
      <c r="N87" s="72"/>
      <c r="O87" s="25"/>
      <c r="P87" s="25"/>
    </row>
    <row r="88" spans="1:16" s="36" customFormat="1" ht="21" x14ac:dyDescent="0.35">
      <c r="A88" s="72"/>
      <c r="B88" s="73"/>
      <c r="C88" s="74"/>
      <c r="D88" s="73"/>
      <c r="E88" s="75"/>
      <c r="F88" s="75"/>
      <c r="G88" s="75"/>
      <c r="H88" s="75"/>
      <c r="I88" s="73"/>
      <c r="J88" s="75"/>
      <c r="K88" s="76"/>
      <c r="L88" s="77"/>
      <c r="M88" s="76"/>
      <c r="N88" s="72"/>
      <c r="O88" s="25"/>
      <c r="P88" s="25"/>
    </row>
    <row r="89" spans="1:16" s="36" customFormat="1" ht="21" x14ac:dyDescent="0.35">
      <c r="A89" s="72"/>
      <c r="B89" s="73"/>
      <c r="C89" s="74"/>
      <c r="D89" s="73"/>
      <c r="E89" s="75"/>
      <c r="F89" s="75"/>
      <c r="G89" s="75"/>
      <c r="H89" s="75"/>
      <c r="I89" s="73"/>
      <c r="J89" s="75"/>
      <c r="K89" s="76"/>
      <c r="L89" s="77"/>
      <c r="M89" s="76"/>
      <c r="N89" s="72"/>
      <c r="O89" s="25"/>
      <c r="P89" s="25"/>
    </row>
    <row r="90" spans="1:16" s="36" customFormat="1" ht="21" x14ac:dyDescent="0.35">
      <c r="A90" s="72"/>
      <c r="B90" s="73"/>
      <c r="C90" s="74"/>
      <c r="D90" s="73"/>
      <c r="E90" s="73"/>
      <c r="F90" s="73"/>
      <c r="G90" s="73"/>
      <c r="H90" s="73"/>
      <c r="I90" s="73"/>
      <c r="J90" s="75"/>
      <c r="K90" s="76"/>
      <c r="L90" s="76"/>
      <c r="M90" s="76"/>
      <c r="N90" s="78"/>
      <c r="O90" s="25"/>
      <c r="P90" s="25"/>
    </row>
    <row r="91" spans="1:16" s="36" customFormat="1" ht="21" x14ac:dyDescent="0.35">
      <c r="A91" s="72"/>
      <c r="B91" s="73"/>
      <c r="C91" s="74"/>
      <c r="D91" s="73"/>
      <c r="E91" s="73"/>
      <c r="F91" s="73"/>
      <c r="G91" s="73"/>
      <c r="H91" s="73"/>
      <c r="I91" s="73"/>
      <c r="J91" s="75"/>
      <c r="K91" s="76"/>
      <c r="L91" s="76"/>
      <c r="M91" s="76"/>
      <c r="N91" s="78"/>
      <c r="O91" s="25"/>
      <c r="P91" s="25"/>
    </row>
    <row r="92" spans="1:16" s="36" customFormat="1" ht="21" x14ac:dyDescent="0.3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6"/>
      <c r="L92" s="76"/>
      <c r="M92" s="76"/>
      <c r="N92" s="72"/>
      <c r="O92" s="25"/>
      <c r="P92" s="25"/>
    </row>
    <row r="93" spans="1:16" s="36" customFormat="1" ht="21" x14ac:dyDescent="0.3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6"/>
      <c r="L93" s="76"/>
      <c r="M93" s="76"/>
      <c r="N93" s="72"/>
      <c r="O93" s="25"/>
      <c r="P93" s="25"/>
    </row>
    <row r="94" spans="1:16" s="36" customFormat="1" ht="21" x14ac:dyDescent="0.3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6"/>
      <c r="L94" s="76"/>
      <c r="M94" s="76"/>
      <c r="N94" s="72"/>
      <c r="O94" s="25"/>
      <c r="P94" s="25"/>
    </row>
    <row r="95" spans="1:16" s="36" customFormat="1" ht="21" x14ac:dyDescent="0.3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6"/>
      <c r="L95" s="76"/>
      <c r="M95" s="76"/>
      <c r="N95" s="72"/>
      <c r="O95" s="25"/>
      <c r="P95" s="25"/>
    </row>
    <row r="96" spans="1:16" s="36" customFormat="1" ht="21" x14ac:dyDescent="0.3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6"/>
      <c r="L96" s="76"/>
      <c r="M96" s="76"/>
      <c r="N96" s="72"/>
      <c r="O96" s="25"/>
      <c r="P96" s="25"/>
    </row>
    <row r="97" spans="1:17" s="36" customFormat="1" ht="21" x14ac:dyDescent="0.3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6"/>
      <c r="L97" s="76"/>
      <c r="M97" s="76"/>
      <c r="N97" s="72"/>
      <c r="O97" s="25"/>
      <c r="P97" s="25"/>
    </row>
    <row r="98" spans="1:17" s="36" customFormat="1" ht="21" x14ac:dyDescent="0.3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6"/>
      <c r="L98" s="76"/>
      <c r="M98" s="76"/>
      <c r="N98" s="72"/>
      <c r="O98" s="25"/>
      <c r="P98" s="25"/>
    </row>
    <row r="99" spans="1:17" s="36" customFormat="1" ht="21" x14ac:dyDescent="0.3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6"/>
      <c r="L99" s="76"/>
      <c r="M99" s="76"/>
      <c r="N99" s="72"/>
      <c r="O99" s="25"/>
      <c r="P99" s="25"/>
    </row>
    <row r="100" spans="1:17" s="36" customFormat="1" ht="21" x14ac:dyDescent="0.35">
      <c r="A100" s="72"/>
      <c r="B100" s="73"/>
      <c r="C100" s="79"/>
      <c r="D100" s="73"/>
      <c r="E100" s="73"/>
      <c r="F100" s="73"/>
      <c r="G100" s="73"/>
      <c r="H100" s="73"/>
      <c r="I100" s="73"/>
      <c r="J100" s="73"/>
      <c r="K100" s="76"/>
      <c r="L100" s="76"/>
      <c r="M100" s="76"/>
      <c r="N100" s="72"/>
      <c r="P100" s="25"/>
    </row>
    <row r="101" spans="1:17" s="36" customFormat="1" ht="21" x14ac:dyDescent="0.3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6"/>
      <c r="L101" s="76"/>
      <c r="M101" s="76"/>
      <c r="N101" s="72"/>
      <c r="O101" s="25"/>
      <c r="P101" s="25"/>
      <c r="Q101" s="25"/>
    </row>
    <row r="102" spans="1:17" s="36" customFormat="1" ht="21" x14ac:dyDescent="0.3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6"/>
      <c r="L102" s="76"/>
      <c r="M102" s="76"/>
      <c r="N102" s="72"/>
      <c r="O102" s="25"/>
      <c r="P102" s="25"/>
    </row>
    <row r="103" spans="1:17" s="36" customFormat="1" ht="21" x14ac:dyDescent="0.3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6"/>
      <c r="L103" s="76"/>
      <c r="M103" s="76"/>
      <c r="N103" s="72"/>
      <c r="O103" s="25"/>
      <c r="P103" s="25"/>
    </row>
    <row r="104" spans="1:17" s="36" customFormat="1" ht="21" x14ac:dyDescent="0.3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6"/>
      <c r="L104" s="76"/>
      <c r="M104" s="76"/>
      <c r="N104" s="72"/>
      <c r="O104" s="25"/>
      <c r="P104" s="25"/>
    </row>
    <row r="105" spans="1:17" s="36" customFormat="1" ht="21" x14ac:dyDescent="0.3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6"/>
      <c r="L105" s="76"/>
      <c r="M105" s="76"/>
      <c r="N105" s="72"/>
      <c r="O105" s="25"/>
      <c r="P105" s="25"/>
    </row>
    <row r="106" spans="1:17" s="36" customFormat="1" ht="21" x14ac:dyDescent="0.3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6"/>
      <c r="L106" s="76"/>
      <c r="M106" s="76"/>
      <c r="N106" s="72"/>
      <c r="O106" s="25"/>
      <c r="P106" s="25"/>
    </row>
    <row r="107" spans="1:17" s="36" customFormat="1" ht="21" x14ac:dyDescent="0.3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6"/>
      <c r="L107" s="76"/>
      <c r="M107" s="76"/>
      <c r="N107" s="72"/>
      <c r="O107" s="25"/>
      <c r="P107" s="25"/>
    </row>
    <row r="108" spans="1:17" s="36" customFormat="1" ht="21" x14ac:dyDescent="0.3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6"/>
      <c r="L108" s="76"/>
      <c r="M108" s="76"/>
      <c r="N108" s="72"/>
      <c r="O108" s="25"/>
      <c r="P108" s="25"/>
    </row>
    <row r="109" spans="1:17" s="36" customFormat="1" ht="2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6"/>
      <c r="L109" s="76"/>
      <c r="M109" s="76"/>
      <c r="N109" s="72"/>
      <c r="O109" s="25"/>
      <c r="P109" s="25"/>
    </row>
    <row r="110" spans="1:17" s="36" customFormat="1" ht="21" x14ac:dyDescent="0.3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6"/>
      <c r="L110" s="76"/>
      <c r="M110" s="76"/>
      <c r="N110" s="72"/>
      <c r="O110" s="25"/>
      <c r="P110" s="25"/>
    </row>
    <row r="111" spans="1:17" s="36" customFormat="1" ht="21" x14ac:dyDescent="0.35">
      <c r="A111" s="72"/>
      <c r="B111" s="73"/>
      <c r="C111" s="73"/>
      <c r="D111" s="73"/>
      <c r="E111" s="81"/>
      <c r="F111" s="73"/>
      <c r="G111" s="73"/>
      <c r="H111" s="73"/>
      <c r="I111" s="73"/>
      <c r="J111" s="73"/>
      <c r="K111" s="76"/>
      <c r="L111" s="76"/>
      <c r="M111" s="76"/>
      <c r="N111" s="72"/>
      <c r="O111" s="25"/>
      <c r="P111" s="25"/>
    </row>
    <row r="112" spans="1:17" s="36" customFormat="1" ht="21" x14ac:dyDescent="0.35">
      <c r="A112" s="72"/>
      <c r="B112" s="73"/>
      <c r="C112" s="73"/>
      <c r="D112" s="73"/>
      <c r="E112" s="81"/>
      <c r="F112" s="73"/>
      <c r="G112" s="73"/>
      <c r="H112" s="73"/>
      <c r="I112" s="73"/>
      <c r="J112" s="73"/>
      <c r="K112" s="76"/>
      <c r="L112" s="76"/>
      <c r="M112" s="76"/>
      <c r="N112" s="72"/>
      <c r="O112" s="25"/>
      <c r="P112" s="25"/>
    </row>
    <row r="113" spans="1:16" s="36" customFormat="1" ht="21" x14ac:dyDescent="0.35">
      <c r="A113" s="72"/>
      <c r="B113" s="73"/>
      <c r="C113" s="73"/>
      <c r="D113" s="73"/>
      <c r="E113" s="81"/>
      <c r="F113" s="73"/>
      <c r="G113" s="73"/>
      <c r="H113" s="73"/>
      <c r="I113" s="73"/>
      <c r="J113" s="73"/>
      <c r="K113" s="76"/>
      <c r="L113" s="76"/>
      <c r="M113" s="76"/>
      <c r="N113" s="72"/>
      <c r="O113" s="25"/>
      <c r="P113" s="32"/>
    </row>
    <row r="114" spans="1:16" s="36" customFormat="1" ht="21" x14ac:dyDescent="0.3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6"/>
      <c r="L114" s="76"/>
      <c r="M114" s="76"/>
      <c r="N114" s="72"/>
      <c r="O114" s="25"/>
      <c r="P114" s="25"/>
    </row>
    <row r="115" spans="1:16" s="36" customFormat="1" ht="21" x14ac:dyDescent="0.3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6"/>
      <c r="L115" s="76"/>
      <c r="M115" s="76"/>
      <c r="N115" s="72"/>
      <c r="O115" s="25"/>
      <c r="P115" s="25"/>
    </row>
    <row r="116" spans="1:16" s="36" customFormat="1" ht="21" x14ac:dyDescent="0.3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6"/>
      <c r="L116" s="76"/>
      <c r="M116" s="76"/>
      <c r="N116" s="72"/>
      <c r="O116" s="25"/>
      <c r="P116" s="25"/>
    </row>
    <row r="117" spans="1:16" s="36" customFormat="1" ht="21" x14ac:dyDescent="0.3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6"/>
      <c r="L117" s="76"/>
      <c r="M117" s="76"/>
      <c r="N117" s="72"/>
      <c r="O117" s="25"/>
      <c r="P117" s="25"/>
    </row>
    <row r="118" spans="1:16" s="36" customFormat="1" ht="21" x14ac:dyDescent="0.3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6"/>
      <c r="L118" s="76"/>
      <c r="M118" s="76"/>
      <c r="N118" s="72"/>
      <c r="O118" s="25"/>
      <c r="P118" s="25"/>
    </row>
    <row r="119" spans="1:16" s="36" customFormat="1" ht="21" x14ac:dyDescent="0.3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6"/>
      <c r="L119" s="76"/>
      <c r="M119" s="76"/>
      <c r="N119" s="72"/>
      <c r="O119" s="25"/>
      <c r="P119" s="25"/>
    </row>
    <row r="120" spans="1:16" s="36" customFormat="1" ht="21" x14ac:dyDescent="0.3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6"/>
      <c r="L120" s="76"/>
      <c r="M120" s="76"/>
      <c r="N120" s="72"/>
      <c r="O120" s="25"/>
      <c r="P120" s="25"/>
    </row>
    <row r="121" spans="1:16" s="36" customFormat="1" ht="21" x14ac:dyDescent="0.3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6"/>
      <c r="L121" s="76"/>
      <c r="M121" s="76"/>
      <c r="N121" s="72"/>
      <c r="O121" s="25"/>
      <c r="P121" s="25"/>
    </row>
    <row r="122" spans="1:16" s="36" customFormat="1" ht="21" x14ac:dyDescent="0.3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6"/>
      <c r="L122" s="76"/>
      <c r="M122" s="76"/>
      <c r="N122" s="72"/>
      <c r="O122" s="25"/>
      <c r="P122" s="25"/>
    </row>
    <row r="123" spans="1:16" s="36" customFormat="1" ht="21" x14ac:dyDescent="0.3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6"/>
      <c r="L123" s="76"/>
      <c r="M123" s="76"/>
      <c r="N123" s="72"/>
      <c r="O123" s="25"/>
      <c r="P123" s="25"/>
    </row>
    <row r="124" spans="1:16" s="36" customFormat="1" ht="21" x14ac:dyDescent="0.3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6"/>
      <c r="L124" s="76"/>
      <c r="M124" s="76"/>
      <c r="N124" s="72"/>
      <c r="O124" s="25"/>
      <c r="P124" s="25"/>
    </row>
    <row r="125" spans="1:16" s="36" customFormat="1" ht="21" x14ac:dyDescent="0.3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6"/>
      <c r="L125" s="76"/>
      <c r="M125" s="76"/>
      <c r="N125" s="72"/>
      <c r="O125" s="25"/>
      <c r="P125" s="25"/>
    </row>
    <row r="126" spans="1:16" s="36" customFormat="1" ht="21" x14ac:dyDescent="0.3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6"/>
      <c r="L126" s="76"/>
      <c r="M126" s="76"/>
      <c r="N126" s="72"/>
      <c r="O126" s="25"/>
      <c r="P126" s="25"/>
    </row>
    <row r="127" spans="1:16" s="36" customFormat="1" ht="18.75" x14ac:dyDescent="0.3">
      <c r="A127" s="72"/>
      <c r="B127" s="25"/>
      <c r="C127" s="7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35"/>
      <c r="O127" s="25"/>
      <c r="P127" s="25"/>
    </row>
    <row r="128" spans="1:16" s="36" customFormat="1" ht="18.75" x14ac:dyDescent="0.3">
      <c r="B128" s="25"/>
      <c r="C128" s="73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35"/>
      <c r="O128" s="25"/>
      <c r="P128" s="25"/>
    </row>
    <row r="129" spans="1:19" s="36" customFormat="1" ht="18.75" x14ac:dyDescent="0.3">
      <c r="C129" s="7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9" s="36" customFormat="1" ht="18.75" x14ac:dyDescent="0.3">
      <c r="A130" s="83"/>
      <c r="B130" s="79"/>
      <c r="C130" s="7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9" s="36" customFormat="1" ht="18.75" x14ac:dyDescent="0.3">
      <c r="A131" s="79"/>
      <c r="B131" s="79"/>
      <c r="C131" s="73"/>
      <c r="D131" s="49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9" s="36" customFormat="1" ht="18.75" x14ac:dyDescent="0.3">
      <c r="A132" s="79"/>
      <c r="B132" s="79"/>
      <c r="C132" s="7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25"/>
    </row>
    <row r="133" spans="1:19" s="36" customFormat="1" ht="18.75" x14ac:dyDescent="0.3">
      <c r="A133" s="79"/>
      <c r="B133" s="79"/>
      <c r="C133" s="73"/>
      <c r="D133" s="84"/>
      <c r="E133" s="85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6"/>
      <c r="R133" s="86"/>
      <c r="S133" s="86"/>
    </row>
    <row r="134" spans="1:19" s="36" customFormat="1" ht="18.75" x14ac:dyDescent="0.3">
      <c r="A134" s="83"/>
      <c r="B134" s="79"/>
      <c r="C134" s="73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P134" s="84"/>
      <c r="Q134" s="86"/>
      <c r="R134" s="86"/>
      <c r="S134" s="86"/>
    </row>
    <row r="135" spans="1:19" s="36" customFormat="1" ht="18.75" x14ac:dyDescent="0.3">
      <c r="A135" s="83"/>
      <c r="B135" s="79"/>
      <c r="C135" s="73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9" s="36" customFormat="1" ht="18.75" x14ac:dyDescent="0.3">
      <c r="A136" s="79"/>
      <c r="B136" s="79"/>
      <c r="C136" s="73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6"/>
      <c r="R136" s="86"/>
      <c r="S136" s="86"/>
    </row>
    <row r="137" spans="1:19" s="36" customFormat="1" ht="18.75" x14ac:dyDescent="0.3">
      <c r="A137" s="79"/>
      <c r="B137" s="79"/>
      <c r="C137" s="73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6"/>
      <c r="R137" s="86"/>
      <c r="S137" s="86"/>
    </row>
    <row r="138" spans="1:19" s="36" customFormat="1" ht="18.75" x14ac:dyDescent="0.3">
      <c r="A138" s="79"/>
      <c r="B138" s="79"/>
      <c r="C138" s="73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6"/>
      <c r="R138" s="86"/>
      <c r="S138" s="86"/>
    </row>
    <row r="139" spans="1:19" s="36" customFormat="1" ht="18.75" x14ac:dyDescent="0.3">
      <c r="A139" s="79"/>
      <c r="B139" s="79"/>
      <c r="C139" s="79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4"/>
      <c r="Q139" s="86"/>
      <c r="R139" s="86"/>
      <c r="S139" s="86"/>
    </row>
    <row r="140" spans="1:19" s="36" customFormat="1" ht="18.75" x14ac:dyDescent="0.3">
      <c r="A140" s="79"/>
      <c r="B140" s="79"/>
      <c r="C140" s="79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</row>
    <row r="141" spans="1:19" s="36" customFormat="1" ht="18.75" x14ac:dyDescent="0.3">
      <c r="A141" s="79"/>
      <c r="B141" s="79"/>
      <c r="C141" s="79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</row>
    <row r="142" spans="1:19" s="36" customFormat="1" ht="18.75" x14ac:dyDescent="0.3">
      <c r="A142" s="79"/>
      <c r="B142" s="79"/>
      <c r="C142" s="79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</row>
    <row r="143" spans="1:19" s="36" customFormat="1" ht="18.75" x14ac:dyDescent="0.3">
      <c r="A143" s="79"/>
      <c r="B143" s="79"/>
      <c r="C143" s="79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</row>
    <row r="144" spans="1:19" s="36" customFormat="1" ht="18.75" x14ac:dyDescent="0.3">
      <c r="A144" s="79"/>
      <c r="B144" s="79"/>
      <c r="C144" s="79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</row>
    <row r="145" spans="1:19" s="36" customFormat="1" ht="18.75" x14ac:dyDescent="0.3">
      <c r="A145" s="79"/>
      <c r="B145" s="79"/>
      <c r="P145" s="86"/>
      <c r="Q145" s="86"/>
      <c r="R145" s="86"/>
      <c r="S145" s="86"/>
    </row>
    <row r="146" spans="1:19" s="36" customFormat="1" x14ac:dyDescent="0.25">
      <c r="Q146" s="86"/>
      <c r="R146" s="86"/>
      <c r="S146" s="86"/>
    </row>
    <row r="147" spans="1:19" s="36" customFormat="1" ht="149.25" customHeight="1" x14ac:dyDescent="0.25">
      <c r="Q147" s="86"/>
      <c r="R147" s="86"/>
      <c r="S147" s="86"/>
    </row>
    <row r="148" spans="1:19" s="36" customFormat="1" x14ac:dyDescent="0.25">
      <c r="Q148" s="86"/>
      <c r="R148" s="86"/>
      <c r="S148" s="86"/>
    </row>
    <row r="149" spans="1:19" s="36" customFormat="1" x14ac:dyDescent="0.25">
      <c r="Q149" s="86"/>
      <c r="R149" s="86"/>
      <c r="S149" s="86"/>
    </row>
    <row r="150" spans="1:19" s="36" customFormat="1" x14ac:dyDescent="0.25">
      <c r="Q150" s="86"/>
      <c r="R150" s="86"/>
      <c r="S150" s="86"/>
    </row>
    <row r="151" spans="1:19" s="36" customFormat="1" x14ac:dyDescent="0.25">
      <c r="Q151" s="86"/>
      <c r="R151" s="86"/>
      <c r="S151" s="86"/>
    </row>
    <row r="152" spans="1:19" s="36" customFormat="1" x14ac:dyDescent="0.25">
      <c r="Q152" s="86"/>
      <c r="R152" s="86"/>
      <c r="S152" s="86"/>
    </row>
    <row r="153" spans="1:19" s="36" customFormat="1" x14ac:dyDescent="0.25">
      <c r="Q153" s="86"/>
      <c r="R153" s="86"/>
      <c r="S153" s="86"/>
    </row>
    <row r="154" spans="1:19" s="36" customFormat="1" x14ac:dyDescent="0.25">
      <c r="Q154" s="86"/>
      <c r="R154" s="86"/>
      <c r="S154" s="86"/>
    </row>
    <row r="155" spans="1:19" s="36" customFormat="1" x14ac:dyDescent="0.25">
      <c r="Q155" s="86"/>
      <c r="R155" s="86"/>
      <c r="S155" s="86"/>
    </row>
    <row r="156" spans="1:19" s="36" customFormat="1" x14ac:dyDescent="0.25">
      <c r="Q156" s="86"/>
      <c r="R156" s="86"/>
      <c r="S156" s="86"/>
    </row>
    <row r="157" spans="1:19" s="36" customFormat="1" x14ac:dyDescent="0.25">
      <c r="Q157" s="86"/>
      <c r="R157" s="86"/>
      <c r="S157" s="86"/>
    </row>
    <row r="158" spans="1:19" s="36" customFormat="1" x14ac:dyDescent="0.25">
      <c r="Q158" s="86"/>
      <c r="R158" s="86"/>
      <c r="S158" s="86"/>
    </row>
    <row r="159" spans="1:19" s="36" customFormat="1" x14ac:dyDescent="0.25">
      <c r="Q159" s="86"/>
      <c r="R159" s="86"/>
      <c r="S159" s="86"/>
    </row>
    <row r="160" spans="1:19" s="36" customFormat="1" x14ac:dyDescent="0.25">
      <c r="Q160" s="86"/>
      <c r="R160" s="86"/>
      <c r="S160" s="86"/>
    </row>
    <row r="161" spans="17:19" s="36" customFormat="1" x14ac:dyDescent="0.25">
      <c r="Q161" s="86"/>
      <c r="R161" s="86"/>
      <c r="S161" s="86"/>
    </row>
    <row r="162" spans="17:19" s="36" customFormat="1" x14ac:dyDescent="0.25">
      <c r="Q162" s="86"/>
      <c r="R162" s="86"/>
      <c r="S162" s="86"/>
    </row>
    <row r="163" spans="17:19" s="36" customFormat="1" x14ac:dyDescent="0.25">
      <c r="Q163" s="86"/>
      <c r="R163" s="86"/>
      <c r="S163" s="86"/>
    </row>
    <row r="164" spans="17:19" s="36" customFormat="1" x14ac:dyDescent="0.25">
      <c r="Q164" s="86"/>
      <c r="R164" s="86"/>
      <c r="S164" s="86"/>
    </row>
    <row r="165" spans="17:19" x14ac:dyDescent="0.25">
      <c r="Q165" s="87"/>
      <c r="R165" s="87"/>
      <c r="S165" s="87"/>
    </row>
    <row r="166" spans="17:19" x14ac:dyDescent="0.25">
      <c r="Q166" s="87"/>
      <c r="R166" s="87"/>
      <c r="S166" s="87"/>
    </row>
    <row r="167" spans="17:19" x14ac:dyDescent="0.25">
      <c r="Q167" s="87"/>
      <c r="R167" s="87"/>
      <c r="S167" s="87"/>
    </row>
    <row r="168" spans="17:19" x14ac:dyDescent="0.25">
      <c r="Q168" s="87"/>
      <c r="R168" s="87"/>
      <c r="S168" s="87"/>
    </row>
    <row r="169" spans="17:19" x14ac:dyDescent="0.25">
      <c r="Q169" s="87"/>
      <c r="R169" s="87"/>
      <c r="S169" s="87"/>
    </row>
    <row r="170" spans="17:19" x14ac:dyDescent="0.25">
      <c r="Q170" s="87"/>
      <c r="R170" s="87"/>
      <c r="S170" s="87"/>
    </row>
    <row r="171" spans="17:19" x14ac:dyDescent="0.25">
      <c r="Q171" s="87"/>
      <c r="R171" s="87"/>
      <c r="S171" s="87"/>
    </row>
    <row r="172" spans="17:19" x14ac:dyDescent="0.25">
      <c r="Q172" s="87"/>
      <c r="R172" s="87"/>
      <c r="S172" s="87"/>
    </row>
    <row r="173" spans="17:19" x14ac:dyDescent="0.25">
      <c r="Q173" s="87"/>
      <c r="R173" s="87"/>
      <c r="S173" s="87"/>
    </row>
    <row r="174" spans="17:19" x14ac:dyDescent="0.25">
      <c r="Q174" s="87"/>
      <c r="R174" s="87"/>
      <c r="S174" s="87"/>
    </row>
    <row r="175" spans="17:19" x14ac:dyDescent="0.25">
      <c r="Q175" s="87"/>
      <c r="R175" s="87"/>
      <c r="S175" s="87"/>
    </row>
    <row r="176" spans="17:19" x14ac:dyDescent="0.25">
      <c r="Q176" s="87"/>
      <c r="R176" s="87"/>
      <c r="S176" s="87"/>
    </row>
    <row r="177" spans="17:19" x14ac:dyDescent="0.25">
      <c r="Q177" s="87"/>
      <c r="R177" s="87"/>
      <c r="S177" s="87"/>
    </row>
    <row r="178" spans="17:19" x14ac:dyDescent="0.25">
      <c r="Q178" s="87"/>
      <c r="R178" s="87"/>
      <c r="S178" s="87"/>
    </row>
    <row r="179" spans="17:19" x14ac:dyDescent="0.25">
      <c r="Q179" s="87"/>
      <c r="R179" s="87"/>
      <c r="S179" s="87"/>
    </row>
    <row r="180" spans="17:19" x14ac:dyDescent="0.25">
      <c r="Q180" s="87"/>
      <c r="R180" s="87"/>
      <c r="S180" s="87"/>
    </row>
    <row r="181" spans="17:19" x14ac:dyDescent="0.25">
      <c r="Q181" s="87"/>
      <c r="R181" s="87"/>
      <c r="S181" s="87"/>
    </row>
    <row r="182" spans="17:19" x14ac:dyDescent="0.25">
      <c r="Q182" s="87"/>
      <c r="R182" s="87"/>
      <c r="S182" s="87"/>
    </row>
    <row r="183" spans="17:19" x14ac:dyDescent="0.25">
      <c r="Q183" s="87"/>
      <c r="R183" s="87"/>
      <c r="S183" s="87"/>
    </row>
    <row r="184" spans="17:19" x14ac:dyDescent="0.25">
      <c r="Q184" s="87"/>
      <c r="R184" s="87"/>
      <c r="S184" s="87"/>
    </row>
    <row r="185" spans="17:19" x14ac:dyDescent="0.25">
      <c r="Q185" s="87"/>
      <c r="R185" s="87"/>
      <c r="S185" s="87"/>
    </row>
    <row r="186" spans="17:19" x14ac:dyDescent="0.25">
      <c r="Q186" s="87"/>
      <c r="R186" s="87"/>
      <c r="S186" s="87"/>
    </row>
    <row r="187" spans="17:19" x14ac:dyDescent="0.25">
      <c r="Q187" s="87"/>
      <c r="R187" s="87"/>
      <c r="S187" s="87"/>
    </row>
    <row r="188" spans="17:19" x14ac:dyDescent="0.25">
      <c r="Q188" s="87"/>
      <c r="R188" s="87"/>
      <c r="S188" s="87"/>
    </row>
    <row r="189" spans="17:19" x14ac:dyDescent="0.25">
      <c r="Q189" s="87"/>
      <c r="R189" s="87"/>
      <c r="S189" s="87"/>
    </row>
    <row r="190" spans="17:19" x14ac:dyDescent="0.25">
      <c r="Q190" s="87"/>
      <c r="R190" s="87"/>
      <c r="S190" s="87"/>
    </row>
    <row r="191" spans="17:19" x14ac:dyDescent="0.25">
      <c r="Q191" s="87"/>
      <c r="R191" s="87"/>
      <c r="S191" s="87"/>
    </row>
    <row r="192" spans="17:19" x14ac:dyDescent="0.25">
      <c r="Q192" s="87"/>
      <c r="R192" s="87"/>
      <c r="S192" s="87"/>
    </row>
    <row r="193" spans="17:19" x14ac:dyDescent="0.25">
      <c r="Q193" s="87"/>
      <c r="R193" s="87"/>
      <c r="S193" s="87"/>
    </row>
    <row r="194" spans="17:19" x14ac:dyDescent="0.25">
      <c r="Q194" s="87"/>
      <c r="R194" s="87"/>
      <c r="S194" s="87"/>
    </row>
    <row r="195" spans="17:19" x14ac:dyDescent="0.25">
      <c r="Q195" s="87"/>
      <c r="R195" s="87"/>
      <c r="S195" s="87"/>
    </row>
    <row r="196" spans="17:19" x14ac:dyDescent="0.25">
      <c r="Q196" s="87"/>
      <c r="R196" s="87"/>
      <c r="S196" s="87"/>
    </row>
    <row r="197" spans="17:19" x14ac:dyDescent="0.25">
      <c r="Q197" s="87"/>
      <c r="R197" s="87"/>
      <c r="S197" s="87"/>
    </row>
    <row r="198" spans="17:19" x14ac:dyDescent="0.25">
      <c r="Q198" s="87"/>
      <c r="R198" s="87"/>
      <c r="S198" s="87"/>
    </row>
    <row r="199" spans="17:19" x14ac:dyDescent="0.25">
      <c r="Q199" s="87"/>
      <c r="R199" s="87"/>
      <c r="S199" s="87"/>
    </row>
    <row r="200" spans="17:19" x14ac:dyDescent="0.25">
      <c r="Q200" s="87"/>
      <c r="R200" s="87"/>
      <c r="S200" s="87"/>
    </row>
    <row r="201" spans="17:19" x14ac:dyDescent="0.25">
      <c r="Q201" s="87"/>
      <c r="R201" s="87"/>
      <c r="S201" s="87"/>
    </row>
    <row r="202" spans="17:19" x14ac:dyDescent="0.25">
      <c r="Q202" s="87"/>
      <c r="R202" s="87"/>
      <c r="S202" s="87"/>
    </row>
    <row r="203" spans="17:19" x14ac:dyDescent="0.25">
      <c r="Q203" s="87"/>
      <c r="R203" s="87"/>
      <c r="S203" s="87"/>
    </row>
    <row r="204" spans="17:19" x14ac:dyDescent="0.25">
      <c r="Q204" s="87"/>
      <c r="R204" s="87"/>
      <c r="S204" s="87"/>
    </row>
    <row r="205" spans="17:19" x14ac:dyDescent="0.25">
      <c r="Q205" s="87"/>
      <c r="R205" s="87"/>
      <c r="S205" s="87"/>
    </row>
    <row r="206" spans="17:19" x14ac:dyDescent="0.25">
      <c r="Q206" s="87"/>
      <c r="R206" s="87"/>
      <c r="S206" s="87"/>
    </row>
    <row r="207" spans="17:19" x14ac:dyDescent="0.25">
      <c r="Q207" s="87"/>
      <c r="R207" s="87"/>
      <c r="S207" s="87"/>
    </row>
    <row r="208" spans="17:19" x14ac:dyDescent="0.25">
      <c r="Q208" s="87"/>
      <c r="R208" s="87"/>
      <c r="S208" s="87"/>
    </row>
    <row r="209" spans="17:19" x14ac:dyDescent="0.25">
      <c r="Q209" s="87"/>
      <c r="R209" s="87"/>
      <c r="S209" s="87"/>
    </row>
    <row r="210" spans="17:19" x14ac:dyDescent="0.25">
      <c r="Q210" s="87"/>
      <c r="R210" s="87"/>
      <c r="S210" s="87"/>
    </row>
    <row r="211" spans="17:19" x14ac:dyDescent="0.25">
      <c r="Q211" s="87"/>
      <c r="R211" s="87"/>
      <c r="S211" s="87"/>
    </row>
    <row r="212" spans="17:19" x14ac:dyDescent="0.25">
      <c r="Q212" s="87"/>
      <c r="R212" s="87"/>
      <c r="S212" s="87"/>
    </row>
    <row r="213" spans="17:19" x14ac:dyDescent="0.25">
      <c r="Q213" s="87"/>
      <c r="R213" s="87"/>
      <c r="S213" s="87"/>
    </row>
    <row r="214" spans="17:19" x14ac:dyDescent="0.25">
      <c r="Q214" s="87"/>
      <c r="R214" s="87"/>
      <c r="S214" s="87"/>
    </row>
    <row r="215" spans="17:19" x14ac:dyDescent="0.25">
      <c r="Q215" s="87"/>
      <c r="R215" s="87"/>
      <c r="S215" s="87"/>
    </row>
    <row r="216" spans="17:19" x14ac:dyDescent="0.25">
      <c r="Q216" s="87"/>
      <c r="R216" s="87"/>
      <c r="S216" s="87"/>
    </row>
    <row r="217" spans="17:19" x14ac:dyDescent="0.25">
      <c r="Q217" s="87"/>
      <c r="R217" s="87"/>
      <c r="S217" s="87"/>
    </row>
    <row r="218" spans="17:19" x14ac:dyDescent="0.25">
      <c r="Q218" s="87"/>
      <c r="R218" s="87"/>
      <c r="S218" s="87"/>
    </row>
    <row r="219" spans="17:19" x14ac:dyDescent="0.25">
      <c r="Q219" s="87"/>
      <c r="R219" s="87"/>
      <c r="S219" s="87"/>
    </row>
    <row r="220" spans="17:19" x14ac:dyDescent="0.25">
      <c r="Q220" s="87"/>
      <c r="R220" s="87"/>
      <c r="S220" s="87"/>
    </row>
    <row r="221" spans="17:19" x14ac:dyDescent="0.25">
      <c r="Q221" s="87"/>
      <c r="R221" s="87"/>
      <c r="S221" s="87"/>
    </row>
    <row r="222" spans="17:19" x14ac:dyDescent="0.25">
      <c r="Q222" s="87"/>
      <c r="R222" s="87"/>
      <c r="S222" s="87"/>
    </row>
    <row r="223" spans="17:19" x14ac:dyDescent="0.25">
      <c r="Q223" s="87"/>
      <c r="R223" s="87"/>
      <c r="S223" s="87"/>
    </row>
    <row r="224" spans="17:19" x14ac:dyDescent="0.25">
      <c r="Q224" s="87"/>
      <c r="R224" s="87"/>
      <c r="S224" s="87"/>
    </row>
    <row r="225" spans="17:19" x14ac:dyDescent="0.25">
      <c r="Q225" s="87"/>
      <c r="R225" s="87"/>
      <c r="S225" s="87"/>
    </row>
    <row r="226" spans="17:19" x14ac:dyDescent="0.25">
      <c r="Q226" s="87"/>
      <c r="R226" s="87"/>
      <c r="S226" s="87"/>
    </row>
    <row r="227" spans="17:19" x14ac:dyDescent="0.25">
      <c r="Q227" s="87"/>
      <c r="R227" s="87"/>
      <c r="S227" s="87"/>
    </row>
    <row r="228" spans="17:19" x14ac:dyDescent="0.25">
      <c r="Q228" s="87"/>
      <c r="R228" s="87"/>
      <c r="S228" s="87"/>
    </row>
    <row r="229" spans="17:19" x14ac:dyDescent="0.25">
      <c r="Q229" s="87"/>
      <c r="R229" s="87"/>
      <c r="S229" s="87"/>
    </row>
    <row r="230" spans="17:19" x14ac:dyDescent="0.25">
      <c r="Q230" s="87"/>
      <c r="R230" s="87"/>
      <c r="S230" s="87"/>
    </row>
    <row r="231" spans="17:19" x14ac:dyDescent="0.25">
      <c r="Q231" s="87"/>
      <c r="R231" s="87"/>
      <c r="S231" s="87"/>
    </row>
    <row r="232" spans="17:19" x14ac:dyDescent="0.25">
      <c r="Q232" s="87"/>
      <c r="R232" s="87"/>
      <c r="S232" s="87"/>
    </row>
    <row r="233" spans="17:19" x14ac:dyDescent="0.25">
      <c r="Q233" s="87"/>
      <c r="R233" s="87"/>
      <c r="S233" s="87"/>
    </row>
    <row r="234" spans="17:19" x14ac:dyDescent="0.25">
      <c r="Q234" s="87"/>
      <c r="R234" s="87"/>
      <c r="S234" s="87"/>
    </row>
    <row r="235" spans="17:19" x14ac:dyDescent="0.25">
      <c r="Q235" s="87"/>
      <c r="R235" s="87"/>
      <c r="S235" s="87"/>
    </row>
    <row r="236" spans="17:19" x14ac:dyDescent="0.25">
      <c r="Q236" s="87"/>
      <c r="R236" s="87"/>
      <c r="S236" s="87"/>
    </row>
    <row r="237" spans="17:19" x14ac:dyDescent="0.25">
      <c r="Q237" s="87"/>
      <c r="R237" s="87"/>
      <c r="S237" s="87"/>
    </row>
    <row r="238" spans="17:19" x14ac:dyDescent="0.25">
      <c r="Q238" s="87"/>
      <c r="R238" s="87"/>
      <c r="S238" s="87"/>
    </row>
    <row r="239" spans="17:19" x14ac:dyDescent="0.25">
      <c r="Q239" s="87"/>
      <c r="R239" s="87"/>
      <c r="S239" s="87"/>
    </row>
    <row r="240" spans="17:19" x14ac:dyDescent="0.25">
      <c r="Q240" s="87"/>
      <c r="R240" s="87"/>
      <c r="S240" s="87"/>
    </row>
    <row r="241" spans="17:19" x14ac:dyDescent="0.25">
      <c r="Q241" s="87"/>
      <c r="R241" s="87"/>
      <c r="S241" s="87"/>
    </row>
    <row r="242" spans="17:19" x14ac:dyDescent="0.25">
      <c r="Q242" s="87"/>
      <c r="R242" s="87"/>
      <c r="S242" s="87"/>
    </row>
    <row r="243" spans="17:19" x14ac:dyDescent="0.25">
      <c r="Q243" s="87"/>
      <c r="R243" s="87"/>
      <c r="S243" s="87"/>
    </row>
    <row r="244" spans="17:19" x14ac:dyDescent="0.25">
      <c r="Q244" s="87"/>
      <c r="R244" s="87"/>
      <c r="S244" s="87"/>
    </row>
    <row r="245" spans="17:19" x14ac:dyDescent="0.25">
      <c r="Q245" s="87"/>
      <c r="R245" s="87"/>
      <c r="S245" s="87"/>
    </row>
    <row r="246" spans="17:19" x14ac:dyDescent="0.25">
      <c r="Q246" s="87"/>
      <c r="R246" s="87"/>
      <c r="S246" s="87"/>
    </row>
    <row r="247" spans="17:19" x14ac:dyDescent="0.25">
      <c r="Q247" s="87"/>
      <c r="R247" s="87"/>
      <c r="S247" s="87"/>
    </row>
    <row r="248" spans="17:19" x14ac:dyDescent="0.25">
      <c r="Q248" s="87"/>
      <c r="R248" s="87"/>
      <c r="S248" s="87"/>
    </row>
    <row r="249" spans="17:19" x14ac:dyDescent="0.25">
      <c r="Q249" s="87"/>
      <c r="R249" s="87"/>
      <c r="S249" s="87"/>
    </row>
    <row r="250" spans="17:19" x14ac:dyDescent="0.25">
      <c r="Q250" s="87"/>
      <c r="R250" s="87"/>
      <c r="S250" s="87"/>
    </row>
    <row r="251" spans="17:19" x14ac:dyDescent="0.25">
      <c r="Q251" s="87"/>
      <c r="R251" s="87"/>
      <c r="S251" s="87"/>
    </row>
    <row r="252" spans="17:19" x14ac:dyDescent="0.25">
      <c r="Q252" s="87"/>
      <c r="R252" s="87"/>
      <c r="S252" s="87"/>
    </row>
    <row r="253" spans="17:19" x14ac:dyDescent="0.25">
      <c r="Q253" s="87"/>
      <c r="R253" s="87"/>
      <c r="S253" s="87"/>
    </row>
    <row r="254" spans="17:19" x14ac:dyDescent="0.25">
      <c r="Q254" s="87"/>
      <c r="R254" s="87"/>
      <c r="S254" s="87"/>
    </row>
    <row r="255" spans="17:19" x14ac:dyDescent="0.25">
      <c r="Q255" s="87"/>
      <c r="R255" s="87"/>
      <c r="S255" s="87"/>
    </row>
    <row r="256" spans="17:19" x14ac:dyDescent="0.25">
      <c r="Q256" s="87"/>
      <c r="R256" s="87"/>
      <c r="S256" s="87"/>
    </row>
    <row r="257" spans="17:19" x14ac:dyDescent="0.25">
      <c r="Q257" s="87"/>
      <c r="R257" s="87"/>
      <c r="S257" s="87"/>
    </row>
    <row r="258" spans="17:19" x14ac:dyDescent="0.25">
      <c r="Q258" s="87"/>
      <c r="R258" s="87"/>
      <c r="S258" s="87"/>
    </row>
    <row r="259" spans="17:19" x14ac:dyDescent="0.25">
      <c r="Q259" s="87"/>
      <c r="R259" s="87"/>
      <c r="S259" s="87"/>
    </row>
    <row r="260" spans="17:19" x14ac:dyDescent="0.25">
      <c r="Q260" s="87"/>
      <c r="R260" s="87"/>
      <c r="S260" s="87"/>
    </row>
    <row r="261" spans="17:19" x14ac:dyDescent="0.25">
      <c r="Q261" s="87"/>
      <c r="R261" s="87"/>
      <c r="S261" s="87"/>
    </row>
    <row r="262" spans="17:19" x14ac:dyDescent="0.25">
      <c r="Q262" s="87"/>
      <c r="R262" s="87"/>
      <c r="S262" s="87"/>
    </row>
    <row r="263" spans="17:19" x14ac:dyDescent="0.25">
      <c r="Q263" s="87"/>
      <c r="R263" s="87"/>
      <c r="S263" s="87"/>
    </row>
    <row r="264" spans="17:19" x14ac:dyDescent="0.25">
      <c r="Q264" s="87"/>
      <c r="R264" s="87"/>
      <c r="S264" s="87"/>
    </row>
    <row r="265" spans="17:19" x14ac:dyDescent="0.25">
      <c r="Q265" s="87"/>
      <c r="R265" s="87"/>
      <c r="S265" s="87"/>
    </row>
    <row r="266" spans="17:19" x14ac:dyDescent="0.25">
      <c r="Q266" s="87"/>
      <c r="R266" s="87"/>
      <c r="S266" s="87"/>
    </row>
    <row r="267" spans="17:19" x14ac:dyDescent="0.25">
      <c r="Q267" s="87"/>
      <c r="R267" s="87"/>
      <c r="S267" s="87"/>
    </row>
    <row r="268" spans="17:19" x14ac:dyDescent="0.25">
      <c r="Q268" s="87"/>
      <c r="R268" s="87"/>
      <c r="S268" s="87"/>
    </row>
    <row r="269" spans="17:19" x14ac:dyDescent="0.25">
      <c r="Q269" s="87"/>
      <c r="R269" s="87"/>
      <c r="S269" s="87"/>
    </row>
    <row r="270" spans="17:19" x14ac:dyDescent="0.25">
      <c r="Q270" s="87"/>
      <c r="R270" s="87"/>
      <c r="S270" s="87"/>
    </row>
    <row r="271" spans="17:19" x14ac:dyDescent="0.25">
      <c r="Q271" s="87"/>
      <c r="R271" s="87"/>
      <c r="S271" s="87"/>
    </row>
    <row r="272" spans="17:19" x14ac:dyDescent="0.25">
      <c r="Q272" s="87"/>
      <c r="R272" s="87"/>
      <c r="S272" s="87"/>
    </row>
    <row r="273" spans="3:19" x14ac:dyDescent="0.25">
      <c r="Q273" s="87"/>
      <c r="R273" s="87"/>
      <c r="S273" s="87"/>
    </row>
    <row r="274" spans="3:19" x14ac:dyDescent="0.25">
      <c r="Q274" s="87"/>
      <c r="R274" s="87"/>
      <c r="S274" s="87"/>
    </row>
    <row r="275" spans="3:19" x14ac:dyDescent="0.25">
      <c r="Q275" s="87"/>
      <c r="R275" s="87"/>
      <c r="S275" s="87"/>
    </row>
    <row r="276" spans="3:19" x14ac:dyDescent="0.25">
      <c r="Q276" s="87"/>
      <c r="R276" s="87"/>
      <c r="S276" s="87"/>
    </row>
    <row r="277" spans="3:19" x14ac:dyDescent="0.25">
      <c r="Q277" s="87"/>
      <c r="R277" s="87"/>
      <c r="S277" s="87"/>
    </row>
    <row r="278" spans="3:19" x14ac:dyDescent="0.25">
      <c r="Q278" s="87"/>
      <c r="R278" s="87"/>
      <c r="S278" s="87"/>
    </row>
    <row r="279" spans="3:19" x14ac:dyDescent="0.25">
      <c r="Q279" s="87"/>
      <c r="R279" s="87"/>
      <c r="S279" s="87"/>
    </row>
    <row r="280" spans="3:19" x14ac:dyDescent="0.25">
      <c r="Q280" s="87"/>
      <c r="R280" s="87"/>
      <c r="S280" s="87"/>
    </row>
    <row r="281" spans="3:19" x14ac:dyDescent="0.25">
      <c r="Q281" s="87"/>
      <c r="R281" s="87"/>
      <c r="S281" s="87"/>
    </row>
    <row r="282" spans="3:19" x14ac:dyDescent="0.25">
      <c r="Q282" s="87"/>
      <c r="R282" s="87"/>
      <c r="S282" s="87"/>
    </row>
    <row r="283" spans="3:19" x14ac:dyDescent="0.25">
      <c r="Q283" s="87"/>
      <c r="R283" s="87"/>
      <c r="S283" s="87"/>
    </row>
    <row r="284" spans="3:19" x14ac:dyDescent="0.25">
      <c r="Q284" s="87"/>
      <c r="R284" s="87"/>
      <c r="S284" s="87"/>
    </row>
    <row r="285" spans="3:19" x14ac:dyDescent="0.25">
      <c r="Q285" s="87"/>
      <c r="R285" s="87"/>
      <c r="S285" s="87"/>
    </row>
    <row r="286" spans="3:19" x14ac:dyDescent="0.25">
      <c r="Q286" s="87"/>
      <c r="R286" s="87"/>
      <c r="S286" s="87"/>
    </row>
    <row r="287" spans="3:19" x14ac:dyDescent="0.25">
      <c r="Q287" s="87"/>
      <c r="R287" s="87"/>
      <c r="S287" s="87"/>
    </row>
    <row r="288" spans="3:19" x14ac:dyDescent="0.25"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Q288" s="87"/>
      <c r="R288" s="87"/>
      <c r="S288" s="87"/>
    </row>
    <row r="289" spans="3:19" x14ac:dyDescent="0.25"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</row>
    <row r="290" spans="3:19" x14ac:dyDescent="0.25"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</row>
    <row r="291" spans="3:19" x14ac:dyDescent="0.25"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</row>
    <row r="292" spans="3:19" x14ac:dyDescent="0.25"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</row>
    <row r="293" spans="3:19" x14ac:dyDescent="0.25"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</row>
    <row r="294" spans="3:19" x14ac:dyDescent="0.25"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</row>
    <row r="295" spans="3:19" x14ac:dyDescent="0.25"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</row>
    <row r="296" spans="3:19" x14ac:dyDescent="0.25"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</row>
    <row r="297" spans="3:19" x14ac:dyDescent="0.25"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</row>
    <row r="298" spans="3:19" x14ac:dyDescent="0.25"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</row>
    <row r="299" spans="3:19" x14ac:dyDescent="0.25"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</row>
    <row r="300" spans="3:19" x14ac:dyDescent="0.25"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</row>
    <row r="301" spans="3:19" x14ac:dyDescent="0.25"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</row>
    <row r="302" spans="3:19" x14ac:dyDescent="0.25"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</row>
    <row r="303" spans="3:19" x14ac:dyDescent="0.25"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</row>
    <row r="304" spans="3:19" x14ac:dyDescent="0.25"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</row>
    <row r="305" spans="3:19" x14ac:dyDescent="0.25"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</row>
    <row r="306" spans="3:19" x14ac:dyDescent="0.25"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3:19" x14ac:dyDescent="0.25"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</row>
    <row r="308" spans="3:19" x14ac:dyDescent="0.25"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</row>
    <row r="309" spans="3:19" x14ac:dyDescent="0.25"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</row>
    <row r="310" spans="3:19" x14ac:dyDescent="0.25"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</row>
    <row r="311" spans="3:19" x14ac:dyDescent="0.25"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</row>
    <row r="312" spans="3:19" x14ac:dyDescent="0.25"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</row>
    <row r="313" spans="3:19" x14ac:dyDescent="0.25"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</row>
    <row r="314" spans="3:19" x14ac:dyDescent="0.25"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</row>
    <row r="315" spans="3:19" x14ac:dyDescent="0.25"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</row>
    <row r="316" spans="3:19" x14ac:dyDescent="0.25"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3:19" x14ac:dyDescent="0.25"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</row>
    <row r="318" spans="3:19" x14ac:dyDescent="0.25"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</row>
    <row r="319" spans="3:19" x14ac:dyDescent="0.25"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</row>
    <row r="320" spans="3:19" x14ac:dyDescent="0.25"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</row>
    <row r="321" spans="3:19" x14ac:dyDescent="0.25"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</row>
    <row r="322" spans="3:19" x14ac:dyDescent="0.25"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</row>
    <row r="323" spans="3:19" x14ac:dyDescent="0.25"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</row>
    <row r="324" spans="3:19" x14ac:dyDescent="0.25"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</row>
    <row r="325" spans="3:19" x14ac:dyDescent="0.25"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</row>
    <row r="326" spans="3:19" x14ac:dyDescent="0.25"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</row>
    <row r="327" spans="3:19" x14ac:dyDescent="0.25"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</row>
    <row r="328" spans="3:19" x14ac:dyDescent="0.25"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</row>
    <row r="329" spans="3:19" x14ac:dyDescent="0.25"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</row>
    <row r="330" spans="3:19" x14ac:dyDescent="0.25"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</row>
    <row r="331" spans="3:19" x14ac:dyDescent="0.25"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</row>
    <row r="332" spans="3:19" x14ac:dyDescent="0.25"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</row>
    <row r="333" spans="3:19" x14ac:dyDescent="0.25"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</row>
    <row r="334" spans="3:19" x14ac:dyDescent="0.25"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</row>
    <row r="335" spans="3:19" x14ac:dyDescent="0.25"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</row>
    <row r="336" spans="3:19" x14ac:dyDescent="0.25"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</row>
    <row r="337" spans="3:19" x14ac:dyDescent="0.25"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</row>
    <row r="338" spans="3:19" x14ac:dyDescent="0.25"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</row>
    <row r="339" spans="3:19" x14ac:dyDescent="0.25"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</row>
    <row r="340" spans="3:19" x14ac:dyDescent="0.25"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</row>
    <row r="341" spans="3:19" x14ac:dyDescent="0.25"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</row>
    <row r="342" spans="3:19" x14ac:dyDescent="0.25"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</row>
    <row r="343" spans="3:19" x14ac:dyDescent="0.25"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</row>
    <row r="344" spans="3:19" x14ac:dyDescent="0.25">
      <c r="P344" s="87"/>
      <c r="Q344" s="87"/>
      <c r="R344" s="87"/>
      <c r="S344" s="87"/>
    </row>
  </sheetData>
  <mergeCells count="5">
    <mergeCell ref="L77:M77"/>
    <mergeCell ref="C17:D17"/>
    <mergeCell ref="K49:M49"/>
    <mergeCell ref="L52:M52"/>
    <mergeCell ref="K76:M76"/>
  </mergeCells>
  <printOptions horizontalCentered="1"/>
  <pageMargins left="0.75" right="0.75" top="0.52" bottom="0.52" header="0.5" footer="0.5"/>
  <pageSetup scale="40" orientation="landscape" r:id="rId1"/>
  <headerFooter alignWithMargins="0"/>
  <rowBreaks count="1" manualBreakCount="1">
    <brk id="42" max="12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X575"/>
  <sheetViews>
    <sheetView topLeftCell="A37" workbookViewId="0">
      <selection activeCell="E43" sqref="E43"/>
    </sheetView>
  </sheetViews>
  <sheetFormatPr defaultColWidth="9.33203125" defaultRowHeight="15.75" x14ac:dyDescent="0.25"/>
  <cols>
    <col min="1" max="1" width="9" style="131" customWidth="1"/>
    <col min="2" max="2" width="2.1640625" style="131" customWidth="1"/>
    <col min="3" max="3" width="75.5" style="131" bestFit="1" customWidth="1"/>
    <col min="4" max="4" width="31.1640625" style="131" customWidth="1"/>
    <col min="5" max="5" width="24.1640625" style="131" customWidth="1"/>
    <col min="6" max="6" width="15" style="131" customWidth="1"/>
    <col min="7" max="7" width="20.6640625" style="131" customWidth="1"/>
    <col min="8" max="8" width="18.5" style="131" customWidth="1"/>
    <col min="9" max="9" width="8.6640625" style="131" customWidth="1"/>
    <col min="10" max="10" width="23" style="131" customWidth="1"/>
    <col min="11" max="11" width="9.33203125" style="131" customWidth="1"/>
    <col min="12" max="12" width="11.6640625" style="131" customWidth="1"/>
    <col min="13" max="13" width="2.83203125" style="131" customWidth="1"/>
    <col min="14" max="14" width="41" style="36" customWidth="1"/>
    <col min="15" max="15" width="48.83203125" style="36" customWidth="1"/>
    <col min="16" max="16" width="23.5" style="36" customWidth="1"/>
    <col min="17" max="17" width="20.5" style="36" customWidth="1"/>
    <col min="18" max="18" width="20.83203125" style="36" customWidth="1"/>
    <col min="19" max="19" width="23.6640625" style="36" bestFit="1" customWidth="1"/>
    <col min="20" max="20" width="22.1640625" style="36" bestFit="1" customWidth="1"/>
    <col min="21" max="21" width="23" style="36" bestFit="1" customWidth="1"/>
    <col min="22" max="22" width="19.83203125" style="36" customWidth="1"/>
    <col min="23" max="23" width="20.33203125" style="36" customWidth="1"/>
    <col min="24" max="24" width="23.5" style="36" bestFit="1" customWidth="1"/>
    <col min="25" max="25" width="21.6640625" style="36" bestFit="1" customWidth="1"/>
    <col min="26" max="26" width="16.1640625" style="36" customWidth="1"/>
    <col min="27" max="28" width="23.5" style="36" bestFit="1" customWidth="1"/>
    <col min="29" max="29" width="21.33203125" style="36" bestFit="1" customWidth="1"/>
    <col min="30" max="30" width="23.5" style="36" bestFit="1" customWidth="1"/>
    <col min="31" max="31" width="21.33203125" style="36" bestFit="1" customWidth="1"/>
    <col min="32" max="32" width="20.6640625" style="36" bestFit="1" customWidth="1"/>
    <col min="33" max="43" width="9.33203125" style="36"/>
    <col min="44" max="16384" width="9.33203125" style="131"/>
  </cols>
  <sheetData>
    <row r="1" spans="1:32" s="131" customFormat="1" x14ac:dyDescent="0.25">
      <c r="A1" s="298" t="s">
        <v>185</v>
      </c>
      <c r="B1" s="299"/>
      <c r="C1" s="300"/>
      <c r="D1" s="300"/>
      <c r="E1" s="300"/>
      <c r="F1" s="300"/>
      <c r="G1" s="300"/>
      <c r="H1" s="300"/>
      <c r="I1" s="300"/>
      <c r="J1" s="300"/>
      <c r="K1" s="2"/>
      <c r="L1" s="2"/>
      <c r="M1" s="296"/>
      <c r="N1" s="25"/>
      <c r="O1" s="42"/>
      <c r="P1" s="43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131" customFormat="1" x14ac:dyDescent="0.25">
      <c r="A2" s="298" t="s">
        <v>249</v>
      </c>
      <c r="B2" s="299"/>
      <c r="C2" s="300"/>
      <c r="D2" s="300"/>
      <c r="E2" s="300"/>
      <c r="F2" s="300"/>
      <c r="G2" s="300"/>
      <c r="H2" s="300"/>
      <c r="I2" s="300"/>
      <c r="J2" s="300"/>
      <c r="K2" s="2"/>
      <c r="L2" s="2"/>
      <c r="M2" s="296"/>
      <c r="N2" s="25"/>
      <c r="O2" s="25"/>
      <c r="P2" s="44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131" customFormat="1" x14ac:dyDescent="0.25">
      <c r="A3" s="1"/>
      <c r="B3" s="1"/>
      <c r="C3" s="7"/>
      <c r="D3" s="2"/>
      <c r="E3" s="3"/>
      <c r="F3" s="2"/>
      <c r="G3" s="2"/>
      <c r="H3" s="2"/>
      <c r="I3" s="4"/>
      <c r="J3" s="4"/>
      <c r="K3" s="4"/>
      <c r="L3" s="4"/>
      <c r="M3" s="4"/>
      <c r="N3" s="25"/>
      <c r="O3" s="25"/>
      <c r="P3" s="44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s="131" customFormat="1" x14ac:dyDescent="0.25">
      <c r="A4" s="1" t="s">
        <v>186</v>
      </c>
      <c r="B4" s="1"/>
      <c r="C4" s="2"/>
      <c r="D4" s="2"/>
      <c r="E4" s="8"/>
      <c r="F4" s="2"/>
      <c r="G4" s="2"/>
      <c r="H4" s="2"/>
      <c r="I4" s="4"/>
      <c r="J4" s="352" t="s">
        <v>918</v>
      </c>
      <c r="K4" s="4"/>
      <c r="L4" s="4"/>
      <c r="M4" s="4"/>
      <c r="N4" s="25"/>
      <c r="O4" s="25"/>
      <c r="P4" s="2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s="131" customFormat="1" x14ac:dyDescent="0.25">
      <c r="A5" s="353" t="s">
        <v>187</v>
      </c>
      <c r="B5" s="1"/>
      <c r="C5" s="2"/>
      <c r="E5" s="1"/>
      <c r="F5" s="9"/>
      <c r="G5" s="9"/>
      <c r="H5" s="9"/>
      <c r="I5" s="2"/>
      <c r="J5" s="286" t="s">
        <v>123</v>
      </c>
      <c r="K5" s="300"/>
      <c r="L5" s="300"/>
      <c r="M5" s="4"/>
      <c r="N5" s="25"/>
      <c r="O5" s="25"/>
      <c r="P5" s="2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s="131" customFormat="1" x14ac:dyDescent="0.25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5"/>
      <c r="O6" s="25"/>
      <c r="P6" s="2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131" customFormat="1" x14ac:dyDescent="0.25">
      <c r="A7" s="356" t="s">
        <v>130</v>
      </c>
      <c r="B7" s="299"/>
      <c r="C7" s="300"/>
      <c r="D7" s="300"/>
      <c r="E7" s="299"/>
      <c r="F7" s="300"/>
      <c r="G7" s="300"/>
      <c r="H7" s="300"/>
      <c r="I7" s="300"/>
      <c r="J7" s="300"/>
      <c r="K7" s="2"/>
      <c r="L7" s="2"/>
      <c r="M7" s="4"/>
      <c r="N7" s="51"/>
      <c r="O7" s="51"/>
      <c r="P7" s="24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s="131" customFormat="1" x14ac:dyDescent="0.25">
      <c r="C8" s="134" t="s">
        <v>18</v>
      </c>
      <c r="D8" s="134" t="s">
        <v>19</v>
      </c>
      <c r="E8" s="134" t="s">
        <v>20</v>
      </c>
      <c r="F8" s="135" t="s">
        <v>0</v>
      </c>
      <c r="G8" s="135"/>
      <c r="H8" s="136" t="s">
        <v>21</v>
      </c>
      <c r="I8" s="135"/>
      <c r="J8" s="137" t="s">
        <v>22</v>
      </c>
      <c r="K8" s="135"/>
      <c r="L8" s="134"/>
      <c r="M8" s="135"/>
      <c r="N8" s="35"/>
      <c r="O8" s="51"/>
      <c r="P8" s="2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s="131" customFormat="1" x14ac:dyDescent="0.25">
      <c r="C9" s="132"/>
      <c r="D9" s="138" t="s">
        <v>23</v>
      </c>
      <c r="E9" s="135"/>
      <c r="F9" s="135"/>
      <c r="G9" s="135"/>
      <c r="H9" s="134"/>
      <c r="I9" s="135"/>
      <c r="J9" s="139" t="s">
        <v>24</v>
      </c>
      <c r="K9" s="135"/>
      <c r="L9" s="134"/>
      <c r="M9" s="135"/>
      <c r="N9" s="35"/>
      <c r="O9" s="35"/>
      <c r="P9" s="24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131" customFormat="1" x14ac:dyDescent="0.25">
      <c r="A10" s="134" t="s">
        <v>1</v>
      </c>
      <c r="C10" s="132"/>
      <c r="D10" s="140" t="s">
        <v>25</v>
      </c>
      <c r="E10" s="139" t="s">
        <v>26</v>
      </c>
      <c r="F10" s="141"/>
      <c r="G10" s="139" t="s">
        <v>27</v>
      </c>
      <c r="I10" s="141"/>
      <c r="J10" s="142" t="s">
        <v>28</v>
      </c>
      <c r="K10" s="135"/>
      <c r="L10" s="134"/>
      <c r="M10" s="133"/>
      <c r="N10" s="35"/>
      <c r="O10" s="35"/>
      <c r="P10" s="2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s="131" customFormat="1" ht="16.5" thickBot="1" x14ac:dyDescent="0.3">
      <c r="A11" s="143" t="s">
        <v>3</v>
      </c>
      <c r="C11" s="144" t="s">
        <v>29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3"/>
      <c r="N11" s="51"/>
      <c r="O11" s="51"/>
      <c r="P11" s="24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s="131" customFormat="1" x14ac:dyDescent="0.25">
      <c r="A12" s="134"/>
      <c r="C12" s="132"/>
      <c r="D12" s="135"/>
      <c r="E12" s="135"/>
      <c r="F12" s="135"/>
      <c r="G12" s="135"/>
      <c r="H12" s="135"/>
      <c r="I12" s="135"/>
      <c r="J12" s="135"/>
      <c r="K12" s="135"/>
      <c r="L12" s="135"/>
      <c r="M12" s="133"/>
      <c r="N12" s="51"/>
      <c r="O12" s="51"/>
      <c r="P12" s="24"/>
      <c r="Q12" s="36"/>
      <c r="R12" s="36"/>
      <c r="S12" s="145"/>
      <c r="T12" s="145"/>
      <c r="U12" s="36"/>
      <c r="V12" s="36"/>
      <c r="W12" s="36"/>
      <c r="X12" s="36"/>
      <c r="Y12" s="36"/>
      <c r="Z12" s="36"/>
      <c r="AA12" s="36"/>
      <c r="AB12" s="146"/>
      <c r="AC12" s="36"/>
      <c r="AD12" s="36"/>
      <c r="AE12" s="36"/>
      <c r="AF12" s="36"/>
    </row>
    <row r="13" spans="1:32" s="131" customFormat="1" x14ac:dyDescent="0.25">
      <c r="A13" s="134"/>
      <c r="C13" s="132" t="s">
        <v>30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3"/>
      <c r="N13" s="51"/>
      <c r="O13" s="51"/>
      <c r="P13" s="24"/>
      <c r="Q13" s="36"/>
      <c r="R13" s="36"/>
      <c r="S13" s="24"/>
      <c r="T13" s="146"/>
      <c r="U13" s="24"/>
      <c r="V13" s="146"/>
      <c r="W13" s="36"/>
      <c r="X13" s="36"/>
      <c r="Y13" s="36"/>
      <c r="Z13" s="36"/>
      <c r="AA13" s="36"/>
      <c r="AB13" s="70"/>
      <c r="AC13" s="146"/>
      <c r="AD13" s="147"/>
      <c r="AE13" s="147"/>
      <c r="AF13" s="147"/>
    </row>
    <row r="14" spans="1:32" s="131" customFormat="1" x14ac:dyDescent="0.25">
      <c r="A14" s="134">
        <v>1</v>
      </c>
      <c r="C14" s="132" t="s">
        <v>31</v>
      </c>
      <c r="D14" s="268" t="s">
        <v>175</v>
      </c>
      <c r="E14" s="152">
        <f>'OATT Input Data'!$E$101</f>
        <v>8120576134</v>
      </c>
      <c r="F14" s="135"/>
      <c r="G14" s="135" t="s">
        <v>32</v>
      </c>
      <c r="H14" s="148"/>
      <c r="I14" s="135"/>
      <c r="J14" s="175"/>
      <c r="K14" s="135"/>
      <c r="L14" s="135"/>
      <c r="M14" s="133"/>
      <c r="N14" s="150"/>
      <c r="O14" s="51"/>
      <c r="P14" s="51"/>
      <c r="Q14" s="51"/>
      <c r="R14" s="51"/>
      <c r="S14" s="151"/>
      <c r="T14" s="152"/>
      <c r="U14" s="151"/>
      <c r="V14" s="152"/>
      <c r="W14" s="36"/>
      <c r="X14" s="36"/>
      <c r="Y14" s="36"/>
      <c r="Z14" s="36"/>
      <c r="AA14" s="36"/>
      <c r="AB14" s="70"/>
      <c r="AC14" s="70"/>
      <c r="AD14" s="70"/>
      <c r="AE14" s="70"/>
      <c r="AF14" s="70"/>
    </row>
    <row r="15" spans="1:32" s="131" customFormat="1" x14ac:dyDescent="0.25">
      <c r="A15" s="134">
        <v>2</v>
      </c>
      <c r="C15" s="132" t="s">
        <v>33</v>
      </c>
      <c r="D15" s="268" t="s">
        <v>176</v>
      </c>
      <c r="E15" s="542">
        <f>'OATT Input Data'!$E$102</f>
        <v>1116349499</v>
      </c>
      <c r="F15" s="135"/>
      <c r="G15" s="135" t="s">
        <v>9</v>
      </c>
      <c r="H15" s="148">
        <f>'PTP Pg 4 of 5'!$J$16</f>
        <v>0.95489000000000002</v>
      </c>
      <c r="I15" s="135"/>
      <c r="J15" s="175">
        <f>ROUND(E15*H15,0)</f>
        <v>1065990973</v>
      </c>
      <c r="K15" s="135"/>
      <c r="L15" s="135"/>
      <c r="M15" s="133"/>
      <c r="N15" s="36"/>
      <c r="O15" s="51"/>
      <c r="P15" s="51"/>
      <c r="Q15" s="51"/>
      <c r="R15" s="51"/>
      <c r="S15" s="151"/>
      <c r="T15" s="152"/>
      <c r="U15" s="151"/>
      <c r="V15" s="152"/>
      <c r="W15" s="36"/>
      <c r="X15" s="36"/>
      <c r="Y15" s="36"/>
      <c r="Z15" s="36"/>
      <c r="AA15" s="36"/>
      <c r="AB15" s="70"/>
      <c r="AC15" s="70"/>
      <c r="AD15" s="70"/>
      <c r="AE15" s="70"/>
      <c r="AF15" s="70"/>
    </row>
    <row r="16" spans="1:32" s="131" customFormat="1" x14ac:dyDescent="0.25">
      <c r="A16" s="134">
        <v>3</v>
      </c>
      <c r="C16" s="132" t="s">
        <v>34</v>
      </c>
      <c r="D16" s="268" t="s">
        <v>177</v>
      </c>
      <c r="E16" s="53">
        <f>'OATT Input Data'!$E$103</f>
        <v>2768568168</v>
      </c>
      <c r="F16" s="135"/>
      <c r="G16" s="135" t="s">
        <v>32</v>
      </c>
      <c r="H16" s="148"/>
      <c r="I16" s="135"/>
      <c r="J16" s="149"/>
      <c r="K16" s="135"/>
      <c r="L16" s="135"/>
      <c r="M16" s="133"/>
      <c r="N16" s="36"/>
      <c r="O16" s="51"/>
      <c r="P16" s="51"/>
      <c r="Q16" s="51"/>
      <c r="R16" s="51"/>
      <c r="S16" s="151"/>
      <c r="T16" s="152"/>
      <c r="U16" s="151"/>
      <c r="V16" s="152"/>
      <c r="W16" s="36"/>
      <c r="X16" s="36"/>
      <c r="Y16" s="36"/>
      <c r="Z16" s="36"/>
      <c r="AA16" s="36"/>
      <c r="AB16" s="70"/>
      <c r="AC16" s="36"/>
      <c r="AD16" s="36"/>
      <c r="AE16" s="36"/>
      <c r="AF16" s="36"/>
    </row>
    <row r="17" spans="1:31" s="131" customFormat="1" x14ac:dyDescent="0.25">
      <c r="A17" s="134">
        <v>4</v>
      </c>
      <c r="C17" s="132" t="s">
        <v>35</v>
      </c>
      <c r="D17" s="268" t="s">
        <v>178</v>
      </c>
      <c r="E17" s="53">
        <f>'OATT Input Data'!$E$104</f>
        <v>195923692</v>
      </c>
      <c r="F17" s="135"/>
      <c r="G17" s="135" t="s">
        <v>36</v>
      </c>
      <c r="H17" s="148">
        <f>'PTP Pg 4 of 5'!$J$33</f>
        <v>6.2399999999999997E-2</v>
      </c>
      <c r="I17" s="135"/>
      <c r="J17" s="149">
        <f>ROUND(E17*H17,0)</f>
        <v>12225638</v>
      </c>
      <c r="K17" s="135"/>
      <c r="L17" s="135"/>
      <c r="M17" s="135"/>
      <c r="N17" s="36"/>
      <c r="O17" s="153"/>
      <c r="P17" s="51"/>
      <c r="Q17" s="51"/>
      <c r="R17" s="51"/>
      <c r="S17" s="151"/>
      <c r="T17" s="152"/>
      <c r="U17" s="151"/>
      <c r="V17" s="152"/>
      <c r="W17" s="36"/>
      <c r="X17" s="36"/>
      <c r="Y17" s="36"/>
      <c r="Z17" s="36"/>
      <c r="AA17" s="36"/>
      <c r="AB17" s="70"/>
      <c r="AC17" s="36"/>
      <c r="AD17" s="36"/>
      <c r="AE17" s="36"/>
    </row>
    <row r="18" spans="1:31" s="131" customFormat="1" ht="18" x14ac:dyDescent="0.4">
      <c r="A18" s="134">
        <v>5</v>
      </c>
      <c r="C18" s="132" t="s">
        <v>37</v>
      </c>
      <c r="D18" s="268" t="s">
        <v>179</v>
      </c>
      <c r="E18" s="20">
        <f>'OATT Input Data'!$E$105</f>
        <v>177800833</v>
      </c>
      <c r="F18" s="135"/>
      <c r="G18" s="135" t="s">
        <v>38</v>
      </c>
      <c r="H18" s="148">
        <f>'PTP Pg 4 of 5'!$J$41</f>
        <v>5.799E-2</v>
      </c>
      <c r="I18" s="135"/>
      <c r="J18" s="176">
        <f>ROUND(E18*H18,0)</f>
        <v>10310670</v>
      </c>
      <c r="K18" s="135"/>
      <c r="L18" s="135"/>
      <c r="M18" s="135"/>
      <c r="N18" s="36"/>
      <c r="O18" s="171"/>
      <c r="P18" s="51"/>
      <c r="Q18" s="51"/>
      <c r="R18" s="51"/>
      <c r="S18" s="151"/>
      <c r="T18" s="152"/>
      <c r="U18" s="151"/>
      <c r="V18" s="152"/>
      <c r="W18" s="36"/>
      <c r="X18" s="36"/>
      <c r="Y18" s="36"/>
      <c r="Z18" s="36"/>
      <c r="AA18" s="36"/>
      <c r="AB18" s="70"/>
      <c r="AC18" s="36"/>
      <c r="AD18" s="36"/>
      <c r="AE18" s="36"/>
    </row>
    <row r="19" spans="1:31" s="131" customFormat="1" x14ac:dyDescent="0.25">
      <c r="A19" s="134">
        <v>6</v>
      </c>
      <c r="C19" s="154" t="s">
        <v>173</v>
      </c>
      <c r="D19" s="288" t="s">
        <v>266</v>
      </c>
      <c r="E19" s="175">
        <f>ROUND(SUM(E14:E18),0)</f>
        <v>12379218326</v>
      </c>
      <c r="F19" s="135"/>
      <c r="G19" s="135" t="s">
        <v>39</v>
      </c>
      <c r="H19" s="155">
        <f>ROUND(J19/E19,5)</f>
        <v>8.7929999999999994E-2</v>
      </c>
      <c r="I19" s="135"/>
      <c r="J19" s="175">
        <f>ROUND(SUM(J15,J17:J18),0)</f>
        <v>1088527281</v>
      </c>
      <c r="K19" s="135"/>
      <c r="L19" s="156"/>
      <c r="M19" s="133"/>
      <c r="N19" s="36"/>
      <c r="O19" s="51"/>
      <c r="P19" s="51"/>
      <c r="Q19" s="36"/>
      <c r="R19" s="36"/>
      <c r="S19" s="151"/>
      <c r="T19" s="152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31" customFormat="1" x14ac:dyDescent="0.25">
      <c r="C20" s="132"/>
      <c r="D20" s="288"/>
      <c r="E20" s="149"/>
      <c r="F20" s="135"/>
      <c r="G20" s="135"/>
      <c r="H20" s="156"/>
      <c r="I20" s="135"/>
      <c r="J20" s="149"/>
      <c r="K20" s="135"/>
      <c r="L20" s="156"/>
      <c r="M20" s="133"/>
      <c r="N20" s="51"/>
      <c r="O20" s="51"/>
      <c r="P20" s="24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31" customFormat="1" x14ac:dyDescent="0.25">
      <c r="C21" s="132" t="s">
        <v>40</v>
      </c>
      <c r="D21" s="288" t="s">
        <v>252</v>
      </c>
      <c r="E21" s="149"/>
      <c r="F21" s="135"/>
      <c r="G21" s="135"/>
      <c r="H21" s="135"/>
      <c r="I21" s="135"/>
      <c r="J21" s="149"/>
      <c r="K21" s="135"/>
      <c r="L21" s="135"/>
      <c r="M21" s="133"/>
      <c r="N21" s="51"/>
      <c r="O21" s="51"/>
      <c r="P21" s="36"/>
      <c r="Q21" s="36"/>
      <c r="R21" s="36"/>
      <c r="S21" s="36"/>
      <c r="T21" s="36"/>
      <c r="U21" s="36"/>
      <c r="V21" s="36"/>
      <c r="W21" s="36"/>
      <c r="X21" s="36"/>
      <c r="Y21" s="150"/>
      <c r="Z21" s="36"/>
      <c r="AA21" s="36"/>
      <c r="AB21" s="36"/>
      <c r="AC21" s="36"/>
      <c r="AD21" s="36"/>
      <c r="AE21" s="150"/>
    </row>
    <row r="22" spans="1:31" s="131" customFormat="1" x14ac:dyDescent="0.25">
      <c r="A22" s="134">
        <v>7</v>
      </c>
      <c r="C22" s="132" t="str">
        <f>+C14</f>
        <v xml:space="preserve">  Production</v>
      </c>
      <c r="D22" s="268" t="s">
        <v>190</v>
      </c>
      <c r="E22" s="152">
        <f>SUM('OATT Input Data'!$E$110:$E$112)</f>
        <v>3160963736.6700001</v>
      </c>
      <c r="F22" s="135"/>
      <c r="G22" s="135" t="s">
        <v>32</v>
      </c>
      <c r="H22" s="148"/>
      <c r="I22" s="135"/>
      <c r="J22" s="175"/>
      <c r="K22" s="135"/>
      <c r="L22" s="135"/>
      <c r="M22" s="133"/>
      <c r="N22" s="51"/>
      <c r="O22" s="157"/>
      <c r="P22" s="51"/>
      <c r="Q22" s="51"/>
      <c r="R22" s="36"/>
      <c r="S22" s="151"/>
      <c r="T22" s="152"/>
      <c r="U22" s="151"/>
      <c r="V22" s="152"/>
      <c r="W22" s="36"/>
      <c r="X22" s="70"/>
      <c r="Y22" s="70"/>
      <c r="Z22" s="36"/>
      <c r="AA22" s="70"/>
      <c r="AB22" s="70"/>
      <c r="AC22" s="70"/>
      <c r="AD22" s="70"/>
      <c r="AE22" s="70"/>
    </row>
    <row r="23" spans="1:31" s="131" customFormat="1" x14ac:dyDescent="0.25">
      <c r="A23" s="134">
        <v>8</v>
      </c>
      <c r="C23" s="132" t="str">
        <f>+C15</f>
        <v xml:space="preserve">  Transmission</v>
      </c>
      <c r="D23" s="268" t="s">
        <v>180</v>
      </c>
      <c r="E23" s="53">
        <f>'OATT Input Data'!$E$113</f>
        <v>479829992.51999998</v>
      </c>
      <c r="F23" s="135"/>
      <c r="G23" s="135" t="s">
        <v>9</v>
      </c>
      <c r="H23" s="158">
        <f>+H15</f>
        <v>0.95489000000000002</v>
      </c>
      <c r="I23" s="135"/>
      <c r="J23" s="175">
        <f>ROUND(E23*H23,0)</f>
        <v>458184862</v>
      </c>
      <c r="K23" s="135"/>
      <c r="L23" s="135"/>
      <c r="M23" s="133"/>
      <c r="N23" s="51"/>
      <c r="O23" s="57"/>
      <c r="P23" s="51"/>
      <c r="Q23" s="51"/>
      <c r="R23" s="36"/>
      <c r="S23" s="152"/>
      <c r="T23" s="152"/>
      <c r="U23" s="152"/>
      <c r="V23" s="152"/>
      <c r="W23" s="36"/>
      <c r="X23" s="70"/>
      <c r="Y23" s="70"/>
      <c r="Z23" s="36"/>
      <c r="AA23" s="70"/>
      <c r="AB23" s="70"/>
      <c r="AC23" s="70"/>
      <c r="AD23" s="70"/>
      <c r="AE23" s="70"/>
    </row>
    <row r="24" spans="1:31" s="131" customFormat="1" x14ac:dyDescent="0.25">
      <c r="A24" s="134">
        <v>9</v>
      </c>
      <c r="C24" s="132" t="str">
        <f>+C16</f>
        <v xml:space="preserve">  Distribution</v>
      </c>
      <c r="D24" s="268" t="s">
        <v>181</v>
      </c>
      <c r="E24" s="53">
        <f>'OATT Input Data'!$E$114</f>
        <v>1072537143.9</v>
      </c>
      <c r="F24" s="135"/>
      <c r="G24" s="135" t="str">
        <f>+G16</f>
        <v>NA</v>
      </c>
      <c r="H24" s="148"/>
      <c r="I24" s="135"/>
      <c r="J24" s="149"/>
      <c r="K24" s="135"/>
      <c r="L24" s="135"/>
      <c r="M24" s="133"/>
      <c r="N24" s="51"/>
      <c r="O24" s="157"/>
      <c r="P24" s="51"/>
      <c r="Q24" s="51"/>
      <c r="R24" s="36"/>
      <c r="S24" s="151"/>
      <c r="T24" s="152"/>
      <c r="U24" s="70"/>
      <c r="V24" s="152"/>
      <c r="W24" s="36"/>
      <c r="X24" s="70"/>
      <c r="Y24" s="70"/>
      <c r="Z24" s="36"/>
      <c r="AA24" s="70"/>
      <c r="AB24" s="70"/>
      <c r="AC24" s="70"/>
      <c r="AD24" s="36"/>
      <c r="AE24" s="36"/>
    </row>
    <row r="25" spans="1:31" s="131" customFormat="1" x14ac:dyDescent="0.25">
      <c r="A25" s="134">
        <v>10</v>
      </c>
      <c r="C25" s="132" t="str">
        <f>+C17</f>
        <v xml:space="preserve">  General &amp; Intangible</v>
      </c>
      <c r="D25" s="268" t="s">
        <v>182</v>
      </c>
      <c r="E25" s="53">
        <f>'OATT Input Data'!$E$109+'OATT Input Data'!$E$115</f>
        <v>120498749.41</v>
      </c>
      <c r="F25" s="135"/>
      <c r="G25" s="135" t="str">
        <f>+G17</f>
        <v>W/S</v>
      </c>
      <c r="H25" s="148">
        <f>+H17</f>
        <v>6.2399999999999997E-2</v>
      </c>
      <c r="I25" s="135"/>
      <c r="J25" s="149">
        <f>ROUND(E25*H25,0)</f>
        <v>7519122</v>
      </c>
      <c r="K25" s="135"/>
      <c r="L25" s="135"/>
      <c r="M25" s="133"/>
      <c r="N25" s="51"/>
      <c r="O25" s="157"/>
      <c r="P25" s="51"/>
      <c r="Q25" s="51"/>
      <c r="R25" s="36"/>
      <c r="S25" s="152"/>
      <c r="T25" s="152"/>
      <c r="U25" s="152"/>
      <c r="V25" s="152"/>
      <c r="W25" s="36"/>
      <c r="X25" s="70"/>
      <c r="Y25" s="70"/>
      <c r="Z25" s="36"/>
      <c r="AA25" s="36"/>
      <c r="AB25" s="70"/>
      <c r="AC25" s="36"/>
      <c r="AD25" s="36"/>
      <c r="AE25" s="36"/>
    </row>
    <row r="26" spans="1:31" s="131" customFormat="1" ht="18" x14ac:dyDescent="0.4">
      <c r="A26" s="134">
        <v>11</v>
      </c>
      <c r="C26" s="132" t="str">
        <f>+C18</f>
        <v xml:space="preserve">  Common</v>
      </c>
      <c r="D26" s="268" t="s">
        <v>179</v>
      </c>
      <c r="E26" s="20">
        <f>'OATT Input Data'!$E$116</f>
        <v>99291151.599999994</v>
      </c>
      <c r="F26" s="135"/>
      <c r="G26" s="135" t="str">
        <f>+G18</f>
        <v>CE</v>
      </c>
      <c r="H26" s="148">
        <f>+H18</f>
        <v>5.799E-2</v>
      </c>
      <c r="I26" s="135"/>
      <c r="J26" s="176">
        <f>ROUND(E26*H26,0)</f>
        <v>5757894</v>
      </c>
      <c r="K26" s="135"/>
      <c r="L26" s="135"/>
      <c r="M26" s="133"/>
      <c r="N26" s="51"/>
      <c r="O26" s="159"/>
      <c r="P26" s="51"/>
      <c r="Q26" s="51"/>
      <c r="R26" s="36"/>
      <c r="S26" s="151"/>
      <c r="T26" s="152"/>
      <c r="U26" s="70"/>
      <c r="V26" s="152"/>
      <c r="W26" s="36"/>
      <c r="X26" s="36"/>
      <c r="Y26" s="36"/>
      <c r="Z26" s="36"/>
      <c r="AA26" s="36"/>
      <c r="AB26" s="70"/>
      <c r="AC26" s="36"/>
      <c r="AD26" s="36"/>
      <c r="AE26" s="36"/>
    </row>
    <row r="27" spans="1:31" s="131" customFormat="1" x14ac:dyDescent="0.25">
      <c r="A27" s="134">
        <v>12</v>
      </c>
      <c r="C27" s="154" t="s">
        <v>172</v>
      </c>
      <c r="D27" s="288" t="s">
        <v>267</v>
      </c>
      <c r="E27" s="175">
        <f>ROUND(SUM(E22:E26),0)</f>
        <v>4933120774</v>
      </c>
      <c r="F27" s="135"/>
      <c r="G27" s="135"/>
      <c r="H27" s="135"/>
      <c r="I27" s="135"/>
      <c r="J27" s="175">
        <f>ROUND(SUM(J23,J25:J26),0)</f>
        <v>471461878</v>
      </c>
      <c r="K27" s="135"/>
      <c r="L27" s="135"/>
      <c r="M27" s="133"/>
      <c r="N27" s="160"/>
      <c r="O27" s="35"/>
      <c r="P27" s="51"/>
      <c r="Q27" s="51"/>
      <c r="R27" s="36"/>
      <c r="S27" s="152"/>
      <c r="T27" s="152"/>
      <c r="U27" s="36"/>
      <c r="V27" s="36"/>
      <c r="W27" s="150"/>
      <c r="X27" s="70"/>
      <c r="Y27" s="36"/>
      <c r="Z27" s="36"/>
      <c r="AA27" s="36"/>
      <c r="AB27" s="70"/>
      <c r="AC27" s="36"/>
      <c r="AD27" s="36"/>
      <c r="AE27" s="36"/>
    </row>
    <row r="28" spans="1:31" s="131" customFormat="1" x14ac:dyDescent="0.25">
      <c r="A28" s="134"/>
      <c r="D28" s="135" t="s">
        <v>0</v>
      </c>
      <c r="E28" s="149"/>
      <c r="F28" s="135"/>
      <c r="G28" s="135"/>
      <c r="H28" s="156"/>
      <c r="I28" s="135"/>
      <c r="J28" s="149"/>
      <c r="K28" s="135"/>
      <c r="L28" s="156"/>
      <c r="M28" s="133"/>
      <c r="N28" s="51"/>
      <c r="O28" s="51"/>
      <c r="P28" s="24"/>
      <c r="Q28" s="36"/>
      <c r="R28" s="36"/>
      <c r="S28" s="36"/>
      <c r="T28" s="36"/>
      <c r="U28" s="36"/>
      <c r="V28" s="36"/>
      <c r="W28" s="36"/>
      <c r="X28" s="70"/>
      <c r="Y28" s="36"/>
      <c r="Z28" s="36"/>
      <c r="AA28" s="36"/>
      <c r="AB28" s="70"/>
      <c r="AC28" s="36"/>
      <c r="AD28" s="36"/>
      <c r="AE28" s="36"/>
    </row>
    <row r="29" spans="1:31" s="131" customFormat="1" x14ac:dyDescent="0.25">
      <c r="A29" s="134"/>
      <c r="C29" s="132" t="s">
        <v>42</v>
      </c>
      <c r="D29" s="135"/>
      <c r="E29" s="149"/>
      <c r="F29" s="135"/>
      <c r="G29" s="135"/>
      <c r="H29" s="135"/>
      <c r="I29" s="135"/>
      <c r="J29" s="149"/>
      <c r="K29" s="135"/>
      <c r="L29" s="135"/>
      <c r="M29" s="133"/>
      <c r="N29" s="51"/>
      <c r="O29" s="51"/>
      <c r="P29" s="51"/>
      <c r="Q29" s="51"/>
      <c r="R29" s="36"/>
      <c r="S29" s="151"/>
      <c r="T29" s="152"/>
      <c r="U29" s="151"/>
      <c r="V29" s="36"/>
      <c r="W29" s="36"/>
      <c r="X29" s="70"/>
      <c r="Y29" s="36"/>
      <c r="Z29" s="36"/>
      <c r="AA29" s="36"/>
      <c r="AB29" s="36"/>
      <c r="AC29" s="36"/>
      <c r="AD29" s="36"/>
      <c r="AE29" s="36"/>
    </row>
    <row r="30" spans="1:31" s="131" customFormat="1" x14ac:dyDescent="0.25">
      <c r="A30" s="134">
        <v>13</v>
      </c>
      <c r="C30" s="132" t="str">
        <f>+C22</f>
        <v xml:space="preserve">  Production</v>
      </c>
      <c r="D30" s="288" t="s">
        <v>268</v>
      </c>
      <c r="E30" s="175">
        <f>E14-E22</f>
        <v>4959612397.3299999</v>
      </c>
      <c r="F30" s="135"/>
      <c r="G30" s="135"/>
      <c r="H30" s="156"/>
      <c r="I30" s="135"/>
      <c r="J30" s="175"/>
      <c r="K30" s="135"/>
      <c r="L30" s="156"/>
      <c r="M30" s="133"/>
      <c r="N30" s="51"/>
      <c r="O30" s="51"/>
      <c r="P30" s="51"/>
      <c r="Q30" s="51"/>
      <c r="R30" s="36"/>
      <c r="S30" s="151"/>
      <c r="T30" s="152"/>
      <c r="U30" s="151"/>
      <c r="V30" s="36"/>
      <c r="W30" s="36"/>
      <c r="X30" s="70"/>
      <c r="Y30" s="70"/>
      <c r="Z30" s="36"/>
      <c r="AA30" s="36"/>
      <c r="AB30" s="150"/>
      <c r="AC30" s="150"/>
      <c r="AD30" s="36"/>
      <c r="AE30" s="36"/>
    </row>
    <row r="31" spans="1:31" s="131" customFormat="1" x14ac:dyDescent="0.25">
      <c r="A31" s="134">
        <v>14</v>
      </c>
      <c r="C31" s="132" t="str">
        <f>+C23</f>
        <v xml:space="preserve">  Transmission</v>
      </c>
      <c r="D31" s="288" t="s">
        <v>269</v>
      </c>
      <c r="E31" s="149">
        <f t="shared" ref="E31:E34" si="0">E15-E23</f>
        <v>636519506.48000002</v>
      </c>
      <c r="F31" s="135"/>
      <c r="G31" s="135"/>
      <c r="H31" s="148"/>
      <c r="I31" s="135"/>
      <c r="J31" s="175">
        <f>J15-J23</f>
        <v>607806111</v>
      </c>
      <c r="K31" s="135"/>
      <c r="L31" s="156"/>
      <c r="M31" s="133"/>
      <c r="N31" s="51"/>
      <c r="O31" s="51"/>
      <c r="P31" s="51"/>
      <c r="Q31" s="51"/>
      <c r="R31" s="36"/>
      <c r="S31" s="151"/>
      <c r="T31" s="152"/>
      <c r="U31" s="151"/>
      <c r="V31" s="36"/>
      <c r="W31" s="36"/>
      <c r="X31" s="36"/>
      <c r="Y31" s="70"/>
      <c r="Z31" s="36"/>
      <c r="AA31" s="70"/>
      <c r="AB31" s="70"/>
      <c r="AC31" s="36"/>
      <c r="AD31" s="36"/>
      <c r="AE31" s="36"/>
    </row>
    <row r="32" spans="1:31" s="131" customFormat="1" x14ac:dyDescent="0.25">
      <c r="A32" s="134">
        <v>15</v>
      </c>
      <c r="C32" s="132" t="str">
        <f>+C24</f>
        <v xml:space="preserve">  Distribution</v>
      </c>
      <c r="D32" s="288" t="s">
        <v>270</v>
      </c>
      <c r="E32" s="149">
        <f t="shared" si="0"/>
        <v>1696031024.0999999</v>
      </c>
      <c r="F32" s="135"/>
      <c r="G32" s="135"/>
      <c r="H32" s="156"/>
      <c r="I32" s="135"/>
      <c r="J32" s="149"/>
      <c r="K32" s="135"/>
      <c r="L32" s="156"/>
      <c r="M32" s="133"/>
      <c r="N32" s="51"/>
      <c r="O32" s="88"/>
      <c r="P32" s="51"/>
      <c r="Q32" s="36"/>
      <c r="R32" s="150"/>
      <c r="S32" s="151"/>
      <c r="T32" s="152"/>
      <c r="U32" s="152"/>
      <c r="V32" s="36"/>
      <c r="W32" s="36"/>
      <c r="X32" s="70"/>
      <c r="Y32" s="70"/>
      <c r="Z32" s="36"/>
      <c r="AA32" s="70"/>
      <c r="AB32" s="70"/>
      <c r="AC32" s="161"/>
      <c r="AD32" s="36"/>
      <c r="AE32" s="36"/>
    </row>
    <row r="33" spans="1:28" s="131" customFormat="1" x14ac:dyDescent="0.25">
      <c r="A33" s="134">
        <v>16</v>
      </c>
      <c r="C33" s="132" t="str">
        <f>+C25</f>
        <v xml:space="preserve">  General &amp; Intangible</v>
      </c>
      <c r="D33" s="288" t="s">
        <v>271</v>
      </c>
      <c r="E33" s="149">
        <f t="shared" si="0"/>
        <v>75424942.590000004</v>
      </c>
      <c r="F33" s="135"/>
      <c r="G33" s="135"/>
      <c r="H33" s="156"/>
      <c r="I33" s="135"/>
      <c r="J33" s="149">
        <f>J17-J25</f>
        <v>4706516</v>
      </c>
      <c r="K33" s="135"/>
      <c r="L33" s="156"/>
      <c r="M33" s="133"/>
      <c r="N33" s="51"/>
      <c r="O33" s="35"/>
      <c r="P33" s="24"/>
      <c r="Q33" s="36"/>
      <c r="R33" s="36"/>
      <c r="S33" s="36"/>
      <c r="T33" s="36"/>
      <c r="U33" s="36"/>
      <c r="V33" s="36"/>
      <c r="W33" s="36"/>
      <c r="X33" s="70"/>
      <c r="Y33" s="70"/>
      <c r="Z33" s="36"/>
      <c r="AA33" s="70"/>
      <c r="AB33" s="70"/>
    </row>
    <row r="34" spans="1:28" s="131" customFormat="1" ht="18" x14ac:dyDescent="0.4">
      <c r="A34" s="134">
        <v>17</v>
      </c>
      <c r="C34" s="132" t="str">
        <f>+C26</f>
        <v xml:space="preserve">  Common</v>
      </c>
      <c r="D34" s="288" t="s">
        <v>272</v>
      </c>
      <c r="E34" s="176">
        <f t="shared" si="0"/>
        <v>78509681.400000006</v>
      </c>
      <c r="F34" s="135"/>
      <c r="G34" s="135"/>
      <c r="H34" s="156"/>
      <c r="I34" s="135"/>
      <c r="J34" s="176">
        <f>J18-J26</f>
        <v>4552776</v>
      </c>
      <c r="K34" s="135"/>
      <c r="L34" s="156"/>
      <c r="M34" s="133"/>
      <c r="N34" s="51"/>
      <c r="O34" s="35"/>
      <c r="P34" s="24"/>
      <c r="Q34" s="36"/>
      <c r="R34" s="36"/>
      <c r="S34" s="36"/>
      <c r="T34" s="36"/>
      <c r="U34" s="36"/>
      <c r="V34" s="36"/>
      <c r="W34" s="36"/>
      <c r="X34" s="70"/>
      <c r="Y34" s="36"/>
      <c r="Z34" s="36"/>
      <c r="AA34" s="36"/>
      <c r="AB34" s="70"/>
    </row>
    <row r="35" spans="1:28" s="131" customFormat="1" x14ac:dyDescent="0.25">
      <c r="A35" s="134">
        <v>18</v>
      </c>
      <c r="C35" s="154" t="s">
        <v>171</v>
      </c>
      <c r="D35" s="288" t="s">
        <v>273</v>
      </c>
      <c r="E35" s="175">
        <f>ROUND(SUM(E30:E34),0)</f>
        <v>7446097552</v>
      </c>
      <c r="F35" s="135"/>
      <c r="G35" s="135" t="s">
        <v>321</v>
      </c>
      <c r="H35" s="155">
        <f>ROUND(J35/E35,5)</f>
        <v>8.2869999999999999E-2</v>
      </c>
      <c r="I35" s="135"/>
      <c r="J35" s="175">
        <f>ROUND(SUM(J31,J33:J34),0)</f>
        <v>617065403</v>
      </c>
      <c r="K35" s="135"/>
      <c r="L35" s="135"/>
      <c r="M35" s="133"/>
      <c r="N35" s="162"/>
      <c r="O35" s="51"/>
      <c r="P35" s="24"/>
      <c r="Q35" s="36"/>
      <c r="R35" s="36"/>
      <c r="S35" s="36"/>
      <c r="T35" s="36"/>
      <c r="U35" s="36"/>
      <c r="V35" s="36"/>
      <c r="W35" s="36"/>
      <c r="X35" s="70"/>
      <c r="Y35" s="36"/>
      <c r="Z35" s="36"/>
      <c r="AA35" s="36"/>
      <c r="AB35" s="36"/>
    </row>
    <row r="36" spans="1:28" s="131" customFormat="1" x14ac:dyDescent="0.25">
      <c r="A36" s="134"/>
      <c r="D36" s="135"/>
      <c r="E36" s="149"/>
      <c r="F36" s="135"/>
      <c r="I36" s="135"/>
      <c r="J36" s="149"/>
      <c r="K36" s="135"/>
      <c r="L36" s="156"/>
      <c r="M36" s="133"/>
      <c r="N36" s="51"/>
      <c r="O36" s="51"/>
      <c r="P36" s="24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70"/>
    </row>
    <row r="37" spans="1:28" s="131" customFormat="1" x14ac:dyDescent="0.25">
      <c r="A37" s="134"/>
      <c r="C37" s="154" t="s">
        <v>191</v>
      </c>
      <c r="D37" s="288" t="s">
        <v>253</v>
      </c>
      <c r="E37" s="149"/>
      <c r="F37" s="135"/>
      <c r="G37" s="135"/>
      <c r="H37" s="135"/>
      <c r="I37" s="135"/>
      <c r="J37" s="149"/>
      <c r="K37" s="135"/>
      <c r="L37" s="135"/>
      <c r="M37" s="133"/>
      <c r="N37" s="51"/>
      <c r="O37" s="51"/>
      <c r="P37" s="24"/>
      <c r="Q37" s="36"/>
      <c r="R37" s="36"/>
      <c r="S37" s="36"/>
      <c r="T37" s="36"/>
      <c r="U37" s="36"/>
      <c r="V37" s="51"/>
      <c r="W37" s="36"/>
      <c r="X37" s="36"/>
      <c r="Y37" s="36"/>
      <c r="Z37" s="36"/>
      <c r="AA37" s="36"/>
      <c r="AB37" s="36"/>
    </row>
    <row r="38" spans="1:28" s="131" customFormat="1" x14ac:dyDescent="0.25">
      <c r="A38" s="134">
        <v>19</v>
      </c>
      <c r="C38" s="132" t="s">
        <v>44</v>
      </c>
      <c r="D38" s="268" t="s">
        <v>380</v>
      </c>
      <c r="E38" s="543">
        <f>'OATT Input Data'!$E$121*-1</f>
        <v>0</v>
      </c>
      <c r="F38" s="9"/>
      <c r="G38" s="135" t="s">
        <v>32</v>
      </c>
      <c r="H38" s="182"/>
      <c r="I38" s="135"/>
      <c r="J38" s="175"/>
      <c r="K38" s="135"/>
      <c r="L38" s="156"/>
      <c r="M38" s="133"/>
      <c r="N38" s="163"/>
      <c r="O38" s="35"/>
      <c r="P38" s="51"/>
      <c r="Q38" s="51"/>
      <c r="R38" s="36"/>
      <c r="S38" s="152"/>
      <c r="T38" s="152"/>
      <c r="U38" s="152"/>
      <c r="V38" s="152"/>
      <c r="W38" s="36"/>
      <c r="X38" s="36"/>
      <c r="Y38" s="36"/>
      <c r="Z38" s="36"/>
      <c r="AA38" s="36"/>
      <c r="AB38" s="36"/>
    </row>
    <row r="39" spans="1:28" s="131" customFormat="1" x14ac:dyDescent="0.25">
      <c r="A39" s="134">
        <f>A38+1</f>
        <v>20</v>
      </c>
      <c r="C39" s="132" t="s">
        <v>45</v>
      </c>
      <c r="D39" s="268" t="s">
        <v>261</v>
      </c>
      <c r="E39" s="53">
        <f>'OATT Input Data'!$E$122*-1</f>
        <v>-1528425672</v>
      </c>
      <c r="F39" s="135"/>
      <c r="G39" s="135" t="s">
        <v>46</v>
      </c>
      <c r="H39" s="148">
        <f>+H35</f>
        <v>8.2869999999999999E-2</v>
      </c>
      <c r="I39" s="135"/>
      <c r="J39" s="175">
        <f t="shared" ref="J39:J46" si="1">ROUND(E39*H39,0)</f>
        <v>-126660635</v>
      </c>
      <c r="K39" s="135"/>
      <c r="L39" s="156"/>
      <c r="M39" s="133"/>
      <c r="N39" s="163"/>
      <c r="O39" s="35"/>
      <c r="P39" s="51"/>
      <c r="Q39" s="51"/>
      <c r="R39" s="36"/>
      <c r="S39" s="151"/>
      <c r="T39" s="152"/>
      <c r="U39" s="151"/>
      <c r="V39" s="152"/>
      <c r="W39" s="36"/>
      <c r="X39" s="36"/>
      <c r="Y39" s="36"/>
      <c r="Z39" s="36"/>
      <c r="AA39" s="36"/>
      <c r="AB39" s="36"/>
    </row>
    <row r="40" spans="1:28" s="131" customFormat="1" x14ac:dyDescent="0.25">
      <c r="A40" s="134">
        <f>A39+1</f>
        <v>21</v>
      </c>
      <c r="C40" s="132" t="s">
        <v>47</v>
      </c>
      <c r="D40" s="267" t="s">
        <v>262</v>
      </c>
      <c r="E40" s="53">
        <f>'OATT Input Data'!$E$126*-1</f>
        <v>-240437848</v>
      </c>
      <c r="F40" s="135"/>
      <c r="G40" s="135" t="s">
        <v>46</v>
      </c>
      <c r="H40" s="148">
        <f>+H39</f>
        <v>8.2869999999999999E-2</v>
      </c>
      <c r="I40" s="135"/>
      <c r="J40" s="149">
        <f t="shared" si="1"/>
        <v>-19925084</v>
      </c>
      <c r="K40" s="135"/>
      <c r="L40" s="156"/>
      <c r="M40" s="133"/>
      <c r="N40" s="163"/>
      <c r="O40" s="35"/>
      <c r="P40" s="51"/>
      <c r="Q40" s="51"/>
      <c r="R40" s="36"/>
      <c r="S40" s="151"/>
      <c r="T40" s="151"/>
      <c r="U40" s="151"/>
      <c r="V40" s="151"/>
      <c r="W40" s="36"/>
      <c r="X40" s="36"/>
      <c r="Y40" s="36"/>
      <c r="Z40" s="36"/>
      <c r="AA40" s="36"/>
      <c r="AB40" s="36"/>
    </row>
    <row r="41" spans="1:28" s="131" customFormat="1" x14ac:dyDescent="0.25">
      <c r="A41" s="134">
        <f>A40+1</f>
        <v>22</v>
      </c>
      <c r="C41" s="132" t="s">
        <v>48</v>
      </c>
      <c r="D41" s="267" t="s">
        <v>263</v>
      </c>
      <c r="E41" s="53">
        <f>'OATT Input Data'!$E$130</f>
        <v>347221899</v>
      </c>
      <c r="F41" s="135"/>
      <c r="G41" s="135" t="str">
        <f>+G40</f>
        <v>NP</v>
      </c>
      <c r="H41" s="148">
        <f>+H40</f>
        <v>8.2869999999999999E-2</v>
      </c>
      <c r="I41" s="135"/>
      <c r="J41" s="149">
        <f t="shared" si="1"/>
        <v>28774279</v>
      </c>
      <c r="K41" s="135"/>
      <c r="L41" s="156"/>
      <c r="M41" s="133"/>
      <c r="N41" s="163"/>
      <c r="O41" s="35"/>
      <c r="P41" s="51"/>
      <c r="Q41" s="51"/>
      <c r="R41" s="36"/>
      <c r="S41" s="151"/>
      <c r="T41" s="151"/>
      <c r="U41" s="151"/>
      <c r="V41" s="151"/>
      <c r="W41" s="36"/>
      <c r="X41" s="36"/>
      <c r="Y41" s="36"/>
      <c r="Z41" s="36"/>
      <c r="AA41" s="36"/>
      <c r="AB41" s="36"/>
    </row>
    <row r="42" spans="1:28" s="131" customFormat="1" x14ac:dyDescent="0.25">
      <c r="A42" s="134">
        <f>A41+1</f>
        <v>23</v>
      </c>
      <c r="C42" s="131" t="s">
        <v>49</v>
      </c>
      <c r="D42" s="268" t="s">
        <v>264</v>
      </c>
      <c r="E42" s="544">
        <f>'OATT Input Data'!$E$131*-1</f>
        <v>0</v>
      </c>
      <c r="F42" s="135"/>
      <c r="G42" s="135" t="s">
        <v>46</v>
      </c>
      <c r="H42" s="148">
        <f>+H40</f>
        <v>8.2869999999999999E-2</v>
      </c>
      <c r="I42" s="135"/>
      <c r="J42" s="546">
        <f t="shared" si="1"/>
        <v>0</v>
      </c>
      <c r="K42" s="135"/>
      <c r="L42" s="156"/>
      <c r="M42" s="133"/>
      <c r="N42" s="164"/>
      <c r="O42" s="35"/>
      <c r="P42" s="51"/>
      <c r="Q42" s="5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131" customFormat="1" x14ac:dyDescent="0.25">
      <c r="A43" s="134">
        <f t="shared" ref="A43:A47" si="2">A42+1</f>
        <v>24</v>
      </c>
      <c r="C43" s="2" t="s">
        <v>50</v>
      </c>
      <c r="D43" s="289" t="s">
        <v>287</v>
      </c>
      <c r="E43" s="544">
        <f>'OATT Input Data'!$E$146*-1</f>
        <v>-2118536</v>
      </c>
      <c r="F43" s="135"/>
      <c r="G43" s="135" t="str">
        <f>G15</f>
        <v>TP</v>
      </c>
      <c r="H43" s="158">
        <f>H15</f>
        <v>0.95489000000000002</v>
      </c>
      <c r="I43" s="135"/>
      <c r="J43" s="546">
        <f t="shared" si="1"/>
        <v>-2022969</v>
      </c>
      <c r="K43" s="135"/>
      <c r="L43" s="156"/>
      <c r="M43" s="133"/>
      <c r="N43" s="164"/>
      <c r="O43" s="35"/>
      <c r="P43" s="51"/>
      <c r="Q43" s="5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s="131" customFormat="1" x14ac:dyDescent="0.25">
      <c r="A44" s="134">
        <f t="shared" si="2"/>
        <v>25</v>
      </c>
      <c r="C44" s="285" t="s">
        <v>51</v>
      </c>
      <c r="D44" s="289" t="s">
        <v>287</v>
      </c>
      <c r="E44" s="53">
        <f>'OATT Input Data'!$E$153*-1</f>
        <v>-8056328.6920770183</v>
      </c>
      <c r="F44" s="135"/>
      <c r="G44" s="135"/>
      <c r="H44" s="165">
        <v>1</v>
      </c>
      <c r="I44" s="135"/>
      <c r="J44" s="149">
        <f t="shared" si="1"/>
        <v>-8056329</v>
      </c>
      <c r="K44" s="135"/>
      <c r="L44" s="156"/>
      <c r="M44" s="133"/>
      <c r="N44" s="166"/>
      <c r="O44" s="35"/>
      <c r="P44" s="51"/>
      <c r="Q44" s="5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s="131" customFormat="1" x14ac:dyDescent="0.25">
      <c r="A45" s="134">
        <f t="shared" si="2"/>
        <v>26</v>
      </c>
      <c r="C45" s="284" t="s">
        <v>183</v>
      </c>
      <c r="E45" s="53">
        <f>'OATT Input Data'!$E$135*-1</f>
        <v>-576882.12</v>
      </c>
      <c r="F45" s="135"/>
      <c r="G45" s="135" t="str">
        <f>$G$15</f>
        <v>TP</v>
      </c>
      <c r="H45" s="158">
        <f>$H$15</f>
        <v>0.95489000000000002</v>
      </c>
      <c r="I45" s="135"/>
      <c r="J45" s="149">
        <f t="shared" si="1"/>
        <v>-550859</v>
      </c>
      <c r="K45" s="135"/>
      <c r="L45" s="156"/>
      <c r="M45" s="133"/>
      <c r="N45" s="166"/>
      <c r="O45" s="35"/>
      <c r="P45" s="51"/>
      <c r="Q45" s="51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s="131" customFormat="1" ht="18" x14ac:dyDescent="0.4">
      <c r="A46" s="134">
        <f t="shared" si="2"/>
        <v>27</v>
      </c>
      <c r="C46" s="284" t="s">
        <v>184</v>
      </c>
      <c r="E46" s="545">
        <f>'OATT Input Data'!$E$139*-1</f>
        <v>0</v>
      </c>
      <c r="F46" s="135"/>
      <c r="G46" s="135" t="str">
        <f>$G$18</f>
        <v>CE</v>
      </c>
      <c r="H46" s="158">
        <f>$H$18</f>
        <v>5.799E-2</v>
      </c>
      <c r="I46" s="135"/>
      <c r="J46" s="547">
        <f t="shared" si="1"/>
        <v>0</v>
      </c>
      <c r="K46" s="135"/>
      <c r="L46" s="156"/>
      <c r="M46" s="133"/>
      <c r="N46" s="166"/>
      <c r="O46" s="35"/>
      <c r="P46" s="51"/>
      <c r="Q46" s="5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s="131" customFormat="1" x14ac:dyDescent="0.25">
      <c r="A47" s="134">
        <f t="shared" si="2"/>
        <v>28</v>
      </c>
      <c r="C47" s="154" t="s">
        <v>192</v>
      </c>
      <c r="D47" s="288" t="s">
        <v>265</v>
      </c>
      <c r="E47" s="175">
        <f>ROUND(SUM(E38:E46),0)</f>
        <v>-1432393368</v>
      </c>
      <c r="F47" s="135"/>
      <c r="G47" s="135"/>
      <c r="H47" s="135"/>
      <c r="I47" s="135"/>
      <c r="J47" s="175">
        <f>ROUND(SUM(J39:J46),0)</f>
        <v>-128441597</v>
      </c>
      <c r="K47" s="135"/>
      <c r="L47" s="135"/>
      <c r="M47" s="133"/>
      <c r="N47" s="166"/>
      <c r="O47" s="51"/>
      <c r="P47" s="24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131" customFormat="1" x14ac:dyDescent="0.25">
      <c r="A48" s="134"/>
      <c r="D48" s="135"/>
      <c r="E48" s="149"/>
      <c r="F48" s="135"/>
      <c r="G48" s="135"/>
      <c r="H48" s="156"/>
      <c r="I48" s="135"/>
      <c r="J48" s="149"/>
      <c r="K48" s="135"/>
      <c r="L48" s="156"/>
      <c r="M48" s="133"/>
      <c r="N48" s="69"/>
      <c r="O48" s="51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50" x14ac:dyDescent="0.25">
      <c r="A49" s="134">
        <f>A47+1</f>
        <v>29</v>
      </c>
      <c r="C49" s="132" t="s">
        <v>260</v>
      </c>
      <c r="D49" s="268" t="s">
        <v>335</v>
      </c>
      <c r="E49" s="543">
        <f>'OATT Input Data'!$E$155*-1</f>
        <v>0</v>
      </c>
      <c r="F49" s="135"/>
      <c r="G49" s="135" t="str">
        <f>+G23</f>
        <v>TP</v>
      </c>
      <c r="H49" s="148">
        <f>+H23</f>
        <v>0.95489000000000002</v>
      </c>
      <c r="I49" s="135"/>
      <c r="J49" s="548">
        <f>ROUND(E49*H49,0)</f>
        <v>0</v>
      </c>
      <c r="K49" s="135"/>
      <c r="L49" s="135"/>
      <c r="M49" s="133"/>
      <c r="N49" s="69"/>
      <c r="O49" s="51"/>
      <c r="P49" s="51"/>
      <c r="Q49" s="51"/>
    </row>
    <row r="50" spans="1:50" x14ac:dyDescent="0.25">
      <c r="A50" s="134"/>
      <c r="C50" s="132"/>
      <c r="D50" s="135"/>
      <c r="E50" s="149"/>
      <c r="F50" s="135"/>
      <c r="G50" s="135"/>
      <c r="H50" s="135"/>
      <c r="I50" s="135"/>
      <c r="J50" s="149"/>
      <c r="K50" s="135"/>
      <c r="L50" s="135"/>
      <c r="M50" s="133"/>
      <c r="N50" s="69"/>
      <c r="O50" s="51"/>
      <c r="P50" s="24"/>
    </row>
    <row r="51" spans="1:50" x14ac:dyDescent="0.25">
      <c r="A51" s="134"/>
      <c r="C51" s="154" t="s">
        <v>256</v>
      </c>
      <c r="D51" s="288" t="s">
        <v>255</v>
      </c>
      <c r="E51" s="149"/>
      <c r="F51" s="135"/>
      <c r="G51" s="135"/>
      <c r="H51" s="135"/>
      <c r="I51" s="135"/>
      <c r="J51" s="149"/>
      <c r="K51" s="135"/>
      <c r="L51" s="135"/>
      <c r="M51" s="133"/>
      <c r="N51" s="51"/>
      <c r="O51" s="51"/>
      <c r="P51" s="24"/>
    </row>
    <row r="52" spans="1:50" x14ac:dyDescent="0.25">
      <c r="A52" s="134">
        <f>A49+1</f>
        <v>30</v>
      </c>
      <c r="C52" s="284" t="s">
        <v>169</v>
      </c>
      <c r="D52" s="290" t="s">
        <v>52</v>
      </c>
      <c r="E52" s="152">
        <f>ROUND('NITS Pg 3 of 5'!$E$22/8,0)</f>
        <v>27178344</v>
      </c>
      <c r="F52" s="135"/>
      <c r="G52" s="135"/>
      <c r="H52" s="156"/>
      <c r="I52" s="135"/>
      <c r="J52" s="152">
        <f>ROUND('NITS Pg 3 of 5'!$J$22/8,0)</f>
        <v>5703741</v>
      </c>
      <c r="K52" s="133"/>
      <c r="L52" s="156"/>
      <c r="M52" s="133"/>
      <c r="N52" s="167"/>
      <c r="O52" s="168"/>
      <c r="P52" s="24"/>
    </row>
    <row r="53" spans="1:50" x14ac:dyDescent="0.25">
      <c r="A53" s="134">
        <f>A52+1</f>
        <v>31</v>
      </c>
      <c r="C53" s="284" t="s">
        <v>257</v>
      </c>
      <c r="D53" s="268" t="s">
        <v>384</v>
      </c>
      <c r="E53" s="53">
        <f>'OATT Input Data'!$E$161</f>
        <v>8335997.5970423017</v>
      </c>
      <c r="F53" s="135"/>
      <c r="G53" s="135" t="s">
        <v>53</v>
      </c>
      <c r="H53" s="148">
        <f>'PTP Pg 4 of 5'!$J$25</f>
        <v>0.86341000000000001</v>
      </c>
      <c r="I53" s="135"/>
      <c r="J53" s="149">
        <f t="shared" ref="J53:J54" si="3">ROUND(E53*H53,0)</f>
        <v>7197384</v>
      </c>
      <c r="K53" s="135" t="s">
        <v>0</v>
      </c>
      <c r="L53" s="156"/>
      <c r="M53" s="133"/>
      <c r="N53" s="169"/>
      <c r="O53" s="168"/>
      <c r="P53" s="54"/>
      <c r="Q53" s="54"/>
    </row>
    <row r="54" spans="1:50" ht="18" x14ac:dyDescent="0.4">
      <c r="A54" s="134">
        <f t="shared" ref="A54:A55" si="4">A53+1</f>
        <v>32</v>
      </c>
      <c r="C54" s="285" t="s">
        <v>170</v>
      </c>
      <c r="D54" s="268" t="s">
        <v>420</v>
      </c>
      <c r="E54" s="177">
        <f>'OATT Input Data'!$E$166</f>
        <v>15266260</v>
      </c>
      <c r="F54" s="135"/>
      <c r="G54" s="135" t="s">
        <v>54</v>
      </c>
      <c r="H54" s="148">
        <f>+H19</f>
        <v>8.7929999999999994E-2</v>
      </c>
      <c r="I54" s="135"/>
      <c r="J54" s="176">
        <f t="shared" si="3"/>
        <v>1342362</v>
      </c>
      <c r="K54" s="135"/>
      <c r="L54" s="156"/>
      <c r="M54" s="133"/>
      <c r="N54" s="169"/>
      <c r="O54" s="35"/>
      <c r="P54" s="54"/>
      <c r="Q54" s="54"/>
    </row>
    <row r="55" spans="1:50" x14ac:dyDescent="0.25">
      <c r="A55" s="134">
        <f t="shared" si="4"/>
        <v>33</v>
      </c>
      <c r="C55" s="154" t="s">
        <v>193</v>
      </c>
      <c r="D55" s="288" t="str">
        <f>"Sum of Ls. "&amp;A52&amp;" - "&amp;A54</f>
        <v>Sum of Ls. 30 - 32</v>
      </c>
      <c r="E55" s="175">
        <f>ROUND(SUM(E52:E54),0)</f>
        <v>50780602</v>
      </c>
      <c r="F55" s="133"/>
      <c r="G55" s="133"/>
      <c r="H55" s="133"/>
      <c r="I55" s="133"/>
      <c r="J55" s="175">
        <f>ROUND(SUM(J52:J54),0)</f>
        <v>14243487</v>
      </c>
      <c r="K55" s="133"/>
      <c r="L55" s="133"/>
      <c r="M55" s="133"/>
      <c r="N55" s="160"/>
      <c r="O55" s="51"/>
      <c r="P55" s="24"/>
    </row>
    <row r="56" spans="1:50" x14ac:dyDescent="0.25">
      <c r="D56" s="135"/>
      <c r="E56" s="149"/>
      <c r="F56" s="135"/>
      <c r="G56" s="135"/>
      <c r="H56" s="135"/>
      <c r="I56" s="135"/>
      <c r="J56" s="149"/>
      <c r="K56" s="135"/>
      <c r="L56" s="135"/>
      <c r="M56" s="133"/>
      <c r="N56" s="51"/>
      <c r="O56" s="51"/>
      <c r="P56" s="24"/>
    </row>
    <row r="57" spans="1:50" x14ac:dyDescent="0.25">
      <c r="A57" s="134">
        <f>A55+1</f>
        <v>34</v>
      </c>
      <c r="C57" s="132" t="s">
        <v>258</v>
      </c>
      <c r="D57" s="288" t="s">
        <v>259</v>
      </c>
      <c r="E57" s="178">
        <f>ROUND(E55+E49+E47+E35,0)</f>
        <v>6064484786</v>
      </c>
      <c r="F57" s="135"/>
      <c r="G57" s="135"/>
      <c r="H57" s="156"/>
      <c r="I57" s="135"/>
      <c r="J57" s="178">
        <f>ROUND(J55+J49+J47+J35,0)</f>
        <v>502867293</v>
      </c>
      <c r="K57" s="135"/>
      <c r="L57" s="156"/>
      <c r="M57" s="135"/>
      <c r="N57" s="51"/>
      <c r="O57" s="51"/>
      <c r="P57" s="24"/>
    </row>
    <row r="58" spans="1:50" x14ac:dyDescent="0.25">
      <c r="A58" s="134"/>
      <c r="C58" s="132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51"/>
      <c r="O58" s="51"/>
      <c r="P58" s="24"/>
    </row>
    <row r="59" spans="1:50" x14ac:dyDescent="0.25">
      <c r="Q59" s="86"/>
      <c r="R59" s="86"/>
      <c r="S59" s="86"/>
      <c r="AR59" s="1"/>
      <c r="AS59" s="1"/>
      <c r="AT59" s="1"/>
      <c r="AU59" s="1"/>
      <c r="AV59" s="1"/>
      <c r="AW59" s="1"/>
      <c r="AX59" s="1"/>
    </row>
    <row r="60" spans="1:50" x14ac:dyDescent="0.25">
      <c r="Q60" s="86"/>
      <c r="R60" s="86"/>
      <c r="S60" s="86"/>
      <c r="AR60" s="1"/>
      <c r="AS60" s="1"/>
      <c r="AT60" s="1"/>
      <c r="AU60" s="1"/>
      <c r="AV60" s="1"/>
      <c r="AW60" s="1"/>
      <c r="AX60" s="1"/>
    </row>
    <row r="61" spans="1:50" x14ac:dyDescent="0.25">
      <c r="Q61" s="86"/>
      <c r="R61" s="86"/>
      <c r="S61" s="86"/>
      <c r="AR61" s="1"/>
      <c r="AS61" s="1"/>
      <c r="AT61" s="1"/>
      <c r="AU61" s="1"/>
      <c r="AV61" s="1"/>
      <c r="AW61" s="1"/>
      <c r="AX61" s="1"/>
    </row>
    <row r="62" spans="1:50" x14ac:dyDescent="0.25">
      <c r="Q62" s="86"/>
      <c r="R62" s="86"/>
      <c r="S62" s="86"/>
      <c r="AR62" s="1"/>
      <c r="AS62" s="1"/>
      <c r="AT62" s="1"/>
      <c r="AU62" s="1"/>
      <c r="AV62" s="1"/>
      <c r="AW62" s="1"/>
      <c r="AX62" s="1"/>
    </row>
    <row r="63" spans="1:50" x14ac:dyDescent="0.25">
      <c r="Q63" s="86"/>
      <c r="R63" s="86"/>
      <c r="S63" s="86"/>
      <c r="AR63" s="1"/>
      <c r="AS63" s="1"/>
      <c r="AT63" s="1"/>
      <c r="AU63" s="1"/>
      <c r="AV63" s="1"/>
      <c r="AW63" s="1"/>
      <c r="AX63" s="1"/>
    </row>
    <row r="64" spans="1:50" x14ac:dyDescent="0.25">
      <c r="Q64" s="86"/>
      <c r="R64" s="86"/>
      <c r="S64" s="86"/>
      <c r="AR64" s="1"/>
      <c r="AS64" s="1"/>
      <c r="AT64" s="1"/>
      <c r="AU64" s="1"/>
      <c r="AV64" s="1"/>
      <c r="AW64" s="1"/>
      <c r="AX64" s="1"/>
    </row>
    <row r="65" spans="17:50" s="131" customFormat="1" x14ac:dyDescent="0.25">
      <c r="Q65" s="86"/>
      <c r="R65" s="86"/>
      <c r="S65" s="8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"/>
      <c r="AS65" s="1"/>
      <c r="AT65" s="1"/>
      <c r="AU65" s="1"/>
      <c r="AV65" s="1"/>
      <c r="AW65" s="1"/>
      <c r="AX65" s="1"/>
    </row>
    <row r="66" spans="17:50" s="131" customFormat="1" x14ac:dyDescent="0.25">
      <c r="Q66" s="86"/>
      <c r="R66" s="86"/>
      <c r="S66" s="8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1"/>
      <c r="AS66" s="1"/>
      <c r="AT66" s="1"/>
      <c r="AU66" s="1"/>
      <c r="AV66" s="1"/>
      <c r="AW66" s="1"/>
      <c r="AX66" s="1"/>
    </row>
    <row r="67" spans="17:50" s="131" customFormat="1" x14ac:dyDescent="0.25">
      <c r="Q67" s="86"/>
      <c r="R67" s="86"/>
      <c r="S67" s="8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"/>
      <c r="AS67" s="1"/>
      <c r="AT67" s="1"/>
      <c r="AU67" s="1"/>
      <c r="AV67" s="1"/>
      <c r="AW67" s="1"/>
      <c r="AX67" s="1"/>
    </row>
    <row r="68" spans="17:50" s="131" customFormat="1" x14ac:dyDescent="0.25">
      <c r="Q68" s="86"/>
      <c r="R68" s="86"/>
      <c r="S68" s="8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1"/>
      <c r="AS68" s="1"/>
      <c r="AT68" s="1"/>
      <c r="AU68" s="1"/>
      <c r="AV68" s="1"/>
      <c r="AW68" s="1"/>
      <c r="AX68" s="1"/>
    </row>
    <row r="69" spans="17:50" s="131" customFormat="1" x14ac:dyDescent="0.25">
      <c r="Q69" s="86"/>
      <c r="R69" s="86"/>
      <c r="S69" s="8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1"/>
      <c r="AS69" s="1"/>
      <c r="AT69" s="1"/>
      <c r="AU69" s="1"/>
      <c r="AV69" s="1"/>
      <c r="AW69" s="1"/>
      <c r="AX69" s="1"/>
    </row>
    <row r="70" spans="17:50" s="131" customFormat="1" x14ac:dyDescent="0.25">
      <c r="Q70" s="86"/>
      <c r="R70" s="86"/>
      <c r="S70" s="8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1"/>
      <c r="AS70" s="1"/>
      <c r="AT70" s="1"/>
      <c r="AU70" s="1"/>
      <c r="AV70" s="1"/>
      <c r="AW70" s="1"/>
      <c r="AX70" s="1"/>
    </row>
    <row r="71" spans="17:50" s="131" customFormat="1" x14ac:dyDescent="0.25">
      <c r="Q71" s="86"/>
      <c r="R71" s="86"/>
      <c r="S71" s="8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1"/>
      <c r="AS71" s="1"/>
      <c r="AT71" s="1"/>
      <c r="AU71" s="1"/>
      <c r="AV71" s="1"/>
      <c r="AW71" s="1"/>
      <c r="AX71" s="1"/>
    </row>
    <row r="72" spans="17:50" s="131" customFormat="1" x14ac:dyDescent="0.25">
      <c r="Q72" s="86"/>
      <c r="R72" s="86"/>
      <c r="S72" s="8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1"/>
      <c r="AS72" s="1"/>
      <c r="AT72" s="1"/>
      <c r="AU72" s="1"/>
      <c r="AV72" s="1"/>
      <c r="AW72" s="1"/>
      <c r="AX72" s="1"/>
    </row>
    <row r="73" spans="17:50" s="131" customFormat="1" x14ac:dyDescent="0.25">
      <c r="Q73" s="86"/>
      <c r="R73" s="86"/>
      <c r="S73" s="8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1"/>
      <c r="AS73" s="1"/>
      <c r="AT73" s="1"/>
      <c r="AU73" s="1"/>
      <c r="AV73" s="1"/>
      <c r="AW73" s="1"/>
      <c r="AX73" s="1"/>
    </row>
    <row r="74" spans="17:50" s="131" customFormat="1" x14ac:dyDescent="0.25">
      <c r="Q74" s="86"/>
      <c r="R74" s="86"/>
      <c r="S74" s="8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1"/>
      <c r="AS74" s="1"/>
      <c r="AT74" s="1"/>
      <c r="AU74" s="1"/>
      <c r="AV74" s="1"/>
      <c r="AW74" s="1"/>
      <c r="AX74" s="1"/>
    </row>
    <row r="75" spans="17:50" s="131" customFormat="1" x14ac:dyDescent="0.25">
      <c r="Q75" s="86"/>
      <c r="R75" s="86"/>
      <c r="S75" s="8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1"/>
      <c r="AS75" s="1"/>
      <c r="AT75" s="1"/>
      <c r="AU75" s="1"/>
      <c r="AV75" s="1"/>
      <c r="AW75" s="1"/>
      <c r="AX75" s="1"/>
    </row>
    <row r="76" spans="17:50" s="131" customFormat="1" x14ac:dyDescent="0.25">
      <c r="Q76" s="86"/>
      <c r="R76" s="86"/>
      <c r="S76" s="8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1"/>
      <c r="AS76" s="1"/>
      <c r="AT76" s="1"/>
      <c r="AU76" s="1"/>
      <c r="AV76" s="1"/>
      <c r="AW76" s="1"/>
      <c r="AX76" s="1"/>
    </row>
    <row r="77" spans="17:50" s="131" customFormat="1" x14ac:dyDescent="0.25">
      <c r="Q77" s="86"/>
      <c r="R77" s="86"/>
      <c r="S77" s="8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1"/>
      <c r="AS77" s="1"/>
      <c r="AT77" s="1"/>
      <c r="AU77" s="1"/>
      <c r="AV77" s="1"/>
      <c r="AW77" s="1"/>
      <c r="AX77" s="1"/>
    </row>
    <row r="78" spans="17:50" s="131" customFormat="1" x14ac:dyDescent="0.25">
      <c r="Q78" s="86"/>
      <c r="R78" s="86"/>
      <c r="S78" s="8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1"/>
      <c r="AS78" s="1"/>
      <c r="AT78" s="1"/>
      <c r="AU78" s="1"/>
      <c r="AV78" s="1"/>
      <c r="AW78" s="1"/>
      <c r="AX78" s="1"/>
    </row>
    <row r="79" spans="17:50" s="131" customFormat="1" x14ac:dyDescent="0.25">
      <c r="Q79" s="86"/>
      <c r="R79" s="86"/>
      <c r="S79" s="8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1"/>
      <c r="AS79" s="1"/>
      <c r="AT79" s="1"/>
      <c r="AU79" s="1"/>
      <c r="AV79" s="1"/>
      <c r="AW79" s="1"/>
      <c r="AX79" s="1"/>
    </row>
    <row r="80" spans="17:50" s="131" customFormat="1" x14ac:dyDescent="0.25">
      <c r="Q80" s="86"/>
      <c r="R80" s="86"/>
      <c r="S80" s="8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1"/>
      <c r="AS80" s="1"/>
      <c r="AT80" s="1"/>
      <c r="AU80" s="1"/>
      <c r="AV80" s="1"/>
      <c r="AW80" s="1"/>
      <c r="AX80" s="1"/>
    </row>
    <row r="81" spans="17:50" s="131" customFormat="1" x14ac:dyDescent="0.25">
      <c r="Q81" s="86"/>
      <c r="R81" s="86"/>
      <c r="S81" s="8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1"/>
      <c r="AS81" s="1"/>
      <c r="AT81" s="1"/>
      <c r="AU81" s="1"/>
      <c r="AV81" s="1"/>
      <c r="AW81" s="1"/>
      <c r="AX81" s="1"/>
    </row>
    <row r="82" spans="17:50" s="131" customFormat="1" x14ac:dyDescent="0.25">
      <c r="Q82" s="86"/>
      <c r="R82" s="86"/>
      <c r="S82" s="8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1"/>
      <c r="AS82" s="1"/>
      <c r="AT82" s="1"/>
      <c r="AU82" s="1"/>
      <c r="AV82" s="1"/>
      <c r="AW82" s="1"/>
      <c r="AX82" s="1"/>
    </row>
    <row r="83" spans="17:50" s="131" customFormat="1" x14ac:dyDescent="0.25">
      <c r="Q83" s="86"/>
      <c r="R83" s="86"/>
      <c r="S83" s="8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1"/>
      <c r="AS83" s="1"/>
      <c r="AT83" s="1"/>
      <c r="AU83" s="1"/>
      <c r="AV83" s="1"/>
      <c r="AW83" s="1"/>
      <c r="AX83" s="1"/>
    </row>
    <row r="84" spans="17:50" s="131" customFormat="1" x14ac:dyDescent="0.25">
      <c r="Q84" s="86"/>
      <c r="R84" s="86"/>
      <c r="S84" s="8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1"/>
      <c r="AS84" s="1"/>
      <c r="AT84" s="1"/>
      <c r="AU84" s="1"/>
      <c r="AV84" s="1"/>
      <c r="AW84" s="1"/>
      <c r="AX84" s="1"/>
    </row>
    <row r="85" spans="17:50" s="131" customFormat="1" x14ac:dyDescent="0.25">
      <c r="Q85" s="86"/>
      <c r="R85" s="86"/>
      <c r="S85" s="8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1"/>
      <c r="AS85" s="1"/>
      <c r="AT85" s="1"/>
      <c r="AU85" s="1"/>
      <c r="AV85" s="1"/>
      <c r="AW85" s="1"/>
      <c r="AX85" s="1"/>
    </row>
    <row r="86" spans="17:50" s="131" customFormat="1" x14ac:dyDescent="0.25">
      <c r="Q86" s="86"/>
      <c r="R86" s="86"/>
      <c r="S86" s="8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1"/>
      <c r="AS86" s="1"/>
      <c r="AT86" s="1"/>
      <c r="AU86" s="1"/>
      <c r="AV86" s="1"/>
      <c r="AW86" s="1"/>
      <c r="AX86" s="1"/>
    </row>
    <row r="87" spans="17:50" s="131" customFormat="1" x14ac:dyDescent="0.25">
      <c r="Q87" s="86"/>
      <c r="R87" s="86"/>
      <c r="S87" s="8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1"/>
      <c r="AS87" s="1"/>
      <c r="AT87" s="1"/>
      <c r="AU87" s="1"/>
      <c r="AV87" s="1"/>
      <c r="AW87" s="1"/>
      <c r="AX87" s="1"/>
    </row>
    <row r="88" spans="17:50" s="131" customFormat="1" x14ac:dyDescent="0.25">
      <c r="Q88" s="86"/>
      <c r="R88" s="86"/>
      <c r="S88" s="8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1"/>
      <c r="AS88" s="1"/>
      <c r="AT88" s="1"/>
      <c r="AU88" s="1"/>
      <c r="AV88" s="1"/>
      <c r="AW88" s="1"/>
      <c r="AX88" s="1"/>
    </row>
    <row r="89" spans="17:50" s="131" customFormat="1" x14ac:dyDescent="0.25">
      <c r="Q89" s="86"/>
      <c r="R89" s="86"/>
      <c r="S89" s="8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1"/>
      <c r="AS89" s="1"/>
      <c r="AT89" s="1"/>
      <c r="AU89" s="1"/>
      <c r="AV89" s="1"/>
      <c r="AW89" s="1"/>
      <c r="AX89" s="1"/>
    </row>
    <row r="90" spans="17:50" s="131" customFormat="1" x14ac:dyDescent="0.25">
      <c r="Q90" s="86"/>
      <c r="R90" s="86"/>
      <c r="S90" s="8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1"/>
      <c r="AS90" s="1"/>
      <c r="AT90" s="1"/>
      <c r="AU90" s="1"/>
      <c r="AV90" s="1"/>
      <c r="AW90" s="1"/>
      <c r="AX90" s="1"/>
    </row>
    <row r="91" spans="17:50" s="131" customFormat="1" x14ac:dyDescent="0.25">
      <c r="Q91" s="86"/>
      <c r="R91" s="86"/>
      <c r="S91" s="8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1"/>
      <c r="AS91" s="1"/>
      <c r="AT91" s="1"/>
      <c r="AU91" s="1"/>
      <c r="AV91" s="1"/>
      <c r="AW91" s="1"/>
      <c r="AX91" s="1"/>
    </row>
    <row r="92" spans="17:50" s="131" customFormat="1" x14ac:dyDescent="0.25">
      <c r="Q92" s="86"/>
      <c r="R92" s="86"/>
      <c r="S92" s="8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1"/>
      <c r="AS92" s="1"/>
      <c r="AT92" s="1"/>
      <c r="AU92" s="1"/>
      <c r="AV92" s="1"/>
      <c r="AW92" s="1"/>
      <c r="AX92" s="1"/>
    </row>
    <row r="93" spans="17:50" s="131" customFormat="1" x14ac:dyDescent="0.25">
      <c r="Q93" s="86"/>
      <c r="R93" s="86"/>
      <c r="S93" s="8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1"/>
      <c r="AS93" s="1"/>
      <c r="AT93" s="1"/>
      <c r="AU93" s="1"/>
      <c r="AV93" s="1"/>
      <c r="AW93" s="1"/>
      <c r="AX93" s="1"/>
    </row>
    <row r="94" spans="17:50" s="131" customFormat="1" x14ac:dyDescent="0.25">
      <c r="Q94" s="86"/>
      <c r="R94" s="86"/>
      <c r="S94" s="8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1"/>
      <c r="AS94" s="1"/>
      <c r="AT94" s="1"/>
      <c r="AU94" s="1"/>
      <c r="AV94" s="1"/>
      <c r="AW94" s="1"/>
      <c r="AX94" s="1"/>
    </row>
    <row r="95" spans="17:50" s="131" customFormat="1" x14ac:dyDescent="0.25">
      <c r="Q95" s="86"/>
      <c r="R95" s="86"/>
      <c r="S95" s="8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1"/>
      <c r="AS95" s="1"/>
      <c r="AT95" s="1"/>
      <c r="AU95" s="1"/>
      <c r="AV95" s="1"/>
      <c r="AW95" s="1"/>
      <c r="AX95" s="1"/>
    </row>
    <row r="96" spans="17:50" s="131" customFormat="1" x14ac:dyDescent="0.25">
      <c r="Q96" s="86"/>
      <c r="R96" s="86"/>
      <c r="S96" s="8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1"/>
      <c r="AS96" s="1"/>
      <c r="AT96" s="1"/>
      <c r="AU96" s="1"/>
      <c r="AV96" s="1"/>
      <c r="AW96" s="1"/>
      <c r="AX96" s="1"/>
    </row>
    <row r="97" spans="17:50" s="131" customFormat="1" x14ac:dyDescent="0.25">
      <c r="Q97" s="86"/>
      <c r="R97" s="86"/>
      <c r="S97" s="8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1"/>
      <c r="AS97" s="1"/>
      <c r="AT97" s="1"/>
      <c r="AU97" s="1"/>
      <c r="AV97" s="1"/>
      <c r="AW97" s="1"/>
      <c r="AX97" s="1"/>
    </row>
    <row r="98" spans="17:50" s="131" customFormat="1" x14ac:dyDescent="0.25">
      <c r="Q98" s="86"/>
      <c r="R98" s="86"/>
      <c r="S98" s="8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1"/>
      <c r="AS98" s="1"/>
      <c r="AT98" s="1"/>
      <c r="AU98" s="1"/>
      <c r="AV98" s="1"/>
      <c r="AW98" s="1"/>
      <c r="AX98" s="1"/>
    </row>
    <row r="99" spans="17:50" s="131" customFormat="1" x14ac:dyDescent="0.25">
      <c r="Q99" s="86"/>
      <c r="R99" s="86"/>
      <c r="S99" s="8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1"/>
      <c r="AS99" s="1"/>
      <c r="AT99" s="1"/>
      <c r="AU99" s="1"/>
      <c r="AV99" s="1"/>
      <c r="AW99" s="1"/>
      <c r="AX99" s="1"/>
    </row>
    <row r="100" spans="17:50" s="131" customFormat="1" x14ac:dyDescent="0.25">
      <c r="Q100" s="86"/>
      <c r="R100" s="86"/>
      <c r="S100" s="8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1"/>
      <c r="AS100" s="1"/>
      <c r="AT100" s="1"/>
      <c r="AU100" s="1"/>
      <c r="AV100" s="1"/>
      <c r="AW100" s="1"/>
      <c r="AX100" s="1"/>
    </row>
    <row r="101" spans="17:50" s="131" customFormat="1" x14ac:dyDescent="0.25">
      <c r="Q101" s="86"/>
      <c r="R101" s="86"/>
      <c r="S101" s="8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1"/>
      <c r="AS101" s="1"/>
      <c r="AT101" s="1"/>
      <c r="AU101" s="1"/>
      <c r="AV101" s="1"/>
      <c r="AW101" s="1"/>
      <c r="AX101" s="1"/>
    </row>
    <row r="102" spans="17:50" s="131" customFormat="1" x14ac:dyDescent="0.25">
      <c r="Q102" s="86"/>
      <c r="R102" s="86"/>
      <c r="S102" s="8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1"/>
      <c r="AS102" s="1"/>
      <c r="AT102" s="1"/>
      <c r="AU102" s="1"/>
      <c r="AV102" s="1"/>
      <c r="AW102" s="1"/>
      <c r="AX102" s="1"/>
    </row>
    <row r="103" spans="17:50" s="131" customFormat="1" x14ac:dyDescent="0.25">
      <c r="Q103" s="86"/>
      <c r="R103" s="86"/>
      <c r="S103" s="8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1"/>
      <c r="AS103" s="1"/>
      <c r="AT103" s="1"/>
      <c r="AU103" s="1"/>
      <c r="AV103" s="1"/>
      <c r="AW103" s="1"/>
      <c r="AX103" s="1"/>
    </row>
    <row r="104" spans="17:50" s="131" customFormat="1" x14ac:dyDescent="0.25">
      <c r="Q104" s="86"/>
      <c r="R104" s="86"/>
      <c r="S104" s="8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1"/>
      <c r="AS104" s="1"/>
      <c r="AT104" s="1"/>
      <c r="AU104" s="1"/>
      <c r="AV104" s="1"/>
      <c r="AW104" s="1"/>
      <c r="AX104" s="1"/>
    </row>
    <row r="105" spans="17:50" s="131" customFormat="1" x14ac:dyDescent="0.25">
      <c r="Q105" s="86"/>
      <c r="R105" s="86"/>
      <c r="S105" s="8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1"/>
      <c r="AS105" s="1"/>
      <c r="AT105" s="1"/>
      <c r="AU105" s="1"/>
      <c r="AV105" s="1"/>
      <c r="AW105" s="1"/>
      <c r="AX105" s="1"/>
    </row>
    <row r="106" spans="17:50" s="131" customFormat="1" x14ac:dyDescent="0.25">
      <c r="Q106" s="86"/>
      <c r="R106" s="86"/>
      <c r="S106" s="8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1"/>
      <c r="AS106" s="1"/>
      <c r="AT106" s="1"/>
      <c r="AU106" s="1"/>
      <c r="AV106" s="1"/>
      <c r="AW106" s="1"/>
      <c r="AX106" s="1"/>
    </row>
    <row r="107" spans="17:50" s="131" customFormat="1" x14ac:dyDescent="0.25">
      <c r="Q107" s="86"/>
      <c r="R107" s="86"/>
      <c r="S107" s="8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1"/>
      <c r="AS107" s="1"/>
      <c r="AT107" s="1"/>
      <c r="AU107" s="1"/>
      <c r="AV107" s="1"/>
      <c r="AW107" s="1"/>
      <c r="AX107" s="1"/>
    </row>
    <row r="108" spans="17:50" s="131" customFormat="1" x14ac:dyDescent="0.25">
      <c r="Q108" s="86"/>
      <c r="R108" s="86"/>
      <c r="S108" s="8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1"/>
      <c r="AS108" s="1"/>
      <c r="AT108" s="1"/>
      <c r="AU108" s="1"/>
      <c r="AV108" s="1"/>
      <c r="AW108" s="1"/>
      <c r="AX108" s="1"/>
    </row>
    <row r="109" spans="17:50" s="131" customFormat="1" x14ac:dyDescent="0.25">
      <c r="Q109" s="86"/>
      <c r="R109" s="86"/>
      <c r="S109" s="8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1"/>
      <c r="AS109" s="1"/>
      <c r="AT109" s="1"/>
      <c r="AU109" s="1"/>
      <c r="AV109" s="1"/>
      <c r="AW109" s="1"/>
      <c r="AX109" s="1"/>
    </row>
    <row r="110" spans="17:50" s="131" customFormat="1" x14ac:dyDescent="0.25">
      <c r="Q110" s="86"/>
      <c r="R110" s="86"/>
      <c r="S110" s="8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1"/>
      <c r="AS110" s="1"/>
      <c r="AT110" s="1"/>
      <c r="AU110" s="1"/>
      <c r="AV110" s="1"/>
      <c r="AW110" s="1"/>
      <c r="AX110" s="1"/>
    </row>
    <row r="111" spans="17:50" s="131" customFormat="1" x14ac:dyDescent="0.25">
      <c r="Q111" s="86"/>
      <c r="R111" s="86"/>
      <c r="S111" s="8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1"/>
      <c r="AS111" s="1"/>
      <c r="AT111" s="1"/>
      <c r="AU111" s="1"/>
      <c r="AV111" s="1"/>
      <c r="AW111" s="1"/>
      <c r="AX111" s="1"/>
    </row>
    <row r="112" spans="17:50" s="131" customFormat="1" x14ac:dyDescent="0.25">
      <c r="Q112" s="86"/>
      <c r="R112" s="86"/>
      <c r="S112" s="8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1"/>
      <c r="AS112" s="1"/>
      <c r="AT112" s="1"/>
      <c r="AU112" s="1"/>
      <c r="AV112" s="1"/>
      <c r="AW112" s="1"/>
      <c r="AX112" s="1"/>
    </row>
    <row r="113" spans="17:50" s="131" customFormat="1" x14ac:dyDescent="0.25">
      <c r="Q113" s="86"/>
      <c r="R113" s="86"/>
      <c r="S113" s="8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1"/>
      <c r="AS113" s="1"/>
      <c r="AT113" s="1"/>
      <c r="AU113" s="1"/>
      <c r="AV113" s="1"/>
      <c r="AW113" s="1"/>
      <c r="AX113" s="1"/>
    </row>
    <row r="114" spans="17:50" s="131" customFormat="1" x14ac:dyDescent="0.25">
      <c r="Q114" s="86"/>
      <c r="R114" s="86"/>
      <c r="S114" s="8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1"/>
      <c r="AS114" s="1"/>
      <c r="AT114" s="1"/>
      <c r="AU114" s="1"/>
      <c r="AV114" s="1"/>
      <c r="AW114" s="1"/>
      <c r="AX114" s="1"/>
    </row>
    <row r="115" spans="17:50" s="131" customFormat="1" x14ac:dyDescent="0.25">
      <c r="Q115" s="86"/>
      <c r="R115" s="86"/>
      <c r="S115" s="8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1"/>
      <c r="AS115" s="1"/>
      <c r="AT115" s="1"/>
      <c r="AU115" s="1"/>
      <c r="AV115" s="1"/>
      <c r="AW115" s="1"/>
      <c r="AX115" s="1"/>
    </row>
    <row r="116" spans="17:50" s="131" customFormat="1" x14ac:dyDescent="0.25">
      <c r="Q116" s="86"/>
      <c r="R116" s="86"/>
      <c r="S116" s="8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1"/>
      <c r="AS116" s="1"/>
      <c r="AT116" s="1"/>
      <c r="AU116" s="1"/>
      <c r="AV116" s="1"/>
      <c r="AW116" s="1"/>
      <c r="AX116" s="1"/>
    </row>
    <row r="117" spans="17:50" s="131" customFormat="1" x14ac:dyDescent="0.25">
      <c r="Q117" s="86"/>
      <c r="R117" s="86"/>
      <c r="S117" s="8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1"/>
      <c r="AS117" s="1"/>
      <c r="AT117" s="1"/>
      <c r="AU117" s="1"/>
      <c r="AV117" s="1"/>
      <c r="AW117" s="1"/>
      <c r="AX117" s="1"/>
    </row>
    <row r="118" spans="17:50" s="131" customFormat="1" x14ac:dyDescent="0.25">
      <c r="Q118" s="86"/>
      <c r="R118" s="86"/>
      <c r="S118" s="8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1"/>
      <c r="AS118" s="1"/>
      <c r="AT118" s="1"/>
      <c r="AU118" s="1"/>
      <c r="AV118" s="1"/>
      <c r="AW118" s="1"/>
      <c r="AX118" s="1"/>
    </row>
    <row r="119" spans="17:50" s="131" customFormat="1" x14ac:dyDescent="0.25">
      <c r="Q119" s="86"/>
      <c r="R119" s="86"/>
      <c r="S119" s="8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1"/>
      <c r="AS119" s="1"/>
      <c r="AT119" s="1"/>
      <c r="AU119" s="1"/>
      <c r="AV119" s="1"/>
      <c r="AW119" s="1"/>
      <c r="AX119" s="1"/>
    </row>
    <row r="120" spans="17:50" s="131" customFormat="1" x14ac:dyDescent="0.25">
      <c r="Q120" s="86"/>
      <c r="R120" s="86"/>
      <c r="S120" s="8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1"/>
      <c r="AS120" s="1"/>
      <c r="AT120" s="1"/>
      <c r="AU120" s="1"/>
      <c r="AV120" s="1"/>
      <c r="AW120" s="1"/>
      <c r="AX120" s="1"/>
    </row>
    <row r="121" spans="17:50" s="131" customFormat="1" x14ac:dyDescent="0.25">
      <c r="Q121" s="86"/>
      <c r="R121" s="86"/>
      <c r="S121" s="8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1"/>
      <c r="AS121" s="1"/>
      <c r="AT121" s="1"/>
      <c r="AU121" s="1"/>
      <c r="AV121" s="1"/>
      <c r="AW121" s="1"/>
      <c r="AX121" s="1"/>
    </row>
    <row r="122" spans="17:50" s="131" customFormat="1" x14ac:dyDescent="0.25">
      <c r="Q122" s="86"/>
      <c r="R122" s="86"/>
      <c r="S122" s="8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1"/>
      <c r="AS122" s="1"/>
      <c r="AT122" s="1"/>
      <c r="AU122" s="1"/>
      <c r="AV122" s="1"/>
      <c r="AW122" s="1"/>
      <c r="AX122" s="1"/>
    </row>
    <row r="123" spans="17:50" s="131" customFormat="1" x14ac:dyDescent="0.25">
      <c r="Q123" s="86"/>
      <c r="R123" s="86"/>
      <c r="S123" s="8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1"/>
      <c r="AS123" s="1"/>
      <c r="AT123" s="1"/>
      <c r="AU123" s="1"/>
      <c r="AV123" s="1"/>
      <c r="AW123" s="1"/>
      <c r="AX123" s="1"/>
    </row>
    <row r="124" spans="17:50" s="131" customFormat="1" x14ac:dyDescent="0.25">
      <c r="Q124" s="86"/>
      <c r="R124" s="86"/>
      <c r="S124" s="8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1"/>
      <c r="AS124" s="1"/>
      <c r="AT124" s="1"/>
      <c r="AU124" s="1"/>
      <c r="AV124" s="1"/>
      <c r="AW124" s="1"/>
      <c r="AX124" s="1"/>
    </row>
    <row r="125" spans="17:50" s="131" customFormat="1" x14ac:dyDescent="0.25">
      <c r="Q125" s="86"/>
      <c r="R125" s="86"/>
      <c r="S125" s="8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1"/>
      <c r="AS125" s="1"/>
      <c r="AT125" s="1"/>
      <c r="AU125" s="1"/>
      <c r="AV125" s="1"/>
      <c r="AW125" s="1"/>
      <c r="AX125" s="1"/>
    </row>
    <row r="126" spans="17:50" s="131" customFormat="1" x14ac:dyDescent="0.25">
      <c r="Q126" s="86"/>
      <c r="R126" s="86"/>
      <c r="S126" s="8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1"/>
      <c r="AS126" s="1"/>
      <c r="AT126" s="1"/>
      <c r="AU126" s="1"/>
      <c r="AV126" s="1"/>
      <c r="AW126" s="1"/>
      <c r="AX126" s="1"/>
    </row>
    <row r="127" spans="17:50" s="131" customFormat="1" x14ac:dyDescent="0.25">
      <c r="Q127" s="86"/>
      <c r="R127" s="86"/>
      <c r="S127" s="8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1"/>
      <c r="AS127" s="1"/>
      <c r="AT127" s="1"/>
      <c r="AU127" s="1"/>
      <c r="AV127" s="1"/>
      <c r="AW127" s="1"/>
      <c r="AX127" s="1"/>
    </row>
    <row r="128" spans="17:50" s="131" customFormat="1" x14ac:dyDescent="0.25">
      <c r="Q128" s="86"/>
      <c r="R128" s="86"/>
      <c r="S128" s="8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1"/>
      <c r="AS128" s="1"/>
      <c r="AT128" s="1"/>
      <c r="AU128" s="1"/>
      <c r="AV128" s="1"/>
      <c r="AW128" s="1"/>
      <c r="AX128" s="1"/>
    </row>
    <row r="129" spans="17:50" s="131" customFormat="1" x14ac:dyDescent="0.25">
      <c r="Q129" s="86"/>
      <c r="R129" s="86"/>
      <c r="S129" s="8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1"/>
      <c r="AS129" s="1"/>
      <c r="AT129" s="1"/>
      <c r="AU129" s="1"/>
      <c r="AV129" s="1"/>
      <c r="AW129" s="1"/>
      <c r="AX129" s="1"/>
    </row>
    <row r="130" spans="17:50" s="131" customFormat="1" x14ac:dyDescent="0.25">
      <c r="Q130" s="86"/>
      <c r="R130" s="86"/>
      <c r="S130" s="8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1"/>
      <c r="AS130" s="1"/>
      <c r="AT130" s="1"/>
      <c r="AU130" s="1"/>
      <c r="AV130" s="1"/>
      <c r="AW130" s="1"/>
      <c r="AX130" s="1"/>
    </row>
    <row r="131" spans="17:50" s="131" customFormat="1" x14ac:dyDescent="0.25">
      <c r="Q131" s="86"/>
      <c r="R131" s="86"/>
      <c r="S131" s="8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1"/>
      <c r="AS131" s="1"/>
      <c r="AT131" s="1"/>
      <c r="AU131" s="1"/>
      <c r="AV131" s="1"/>
      <c r="AW131" s="1"/>
      <c r="AX131" s="1"/>
    </row>
    <row r="132" spans="17:50" s="131" customFormat="1" x14ac:dyDescent="0.25">
      <c r="Q132" s="86"/>
      <c r="R132" s="86"/>
      <c r="S132" s="8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1"/>
      <c r="AS132" s="1"/>
      <c r="AT132" s="1"/>
      <c r="AU132" s="1"/>
      <c r="AV132" s="1"/>
      <c r="AW132" s="1"/>
      <c r="AX132" s="1"/>
    </row>
    <row r="133" spans="17:50" s="131" customFormat="1" x14ac:dyDescent="0.25">
      <c r="Q133" s="86"/>
      <c r="R133" s="86"/>
      <c r="S133" s="8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1"/>
      <c r="AS133" s="1"/>
      <c r="AT133" s="1"/>
      <c r="AU133" s="1"/>
      <c r="AV133" s="1"/>
      <c r="AW133" s="1"/>
      <c r="AX133" s="1"/>
    </row>
    <row r="134" spans="17:50" s="131" customFormat="1" x14ac:dyDescent="0.25">
      <c r="Q134" s="86"/>
      <c r="R134" s="86"/>
      <c r="S134" s="8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1"/>
      <c r="AS134" s="1"/>
      <c r="AT134" s="1"/>
      <c r="AU134" s="1"/>
      <c r="AV134" s="1"/>
      <c r="AW134" s="1"/>
      <c r="AX134" s="1"/>
    </row>
    <row r="135" spans="17:50" s="131" customFormat="1" x14ac:dyDescent="0.25">
      <c r="Q135" s="86"/>
      <c r="R135" s="86"/>
      <c r="S135" s="8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1"/>
      <c r="AS135" s="1"/>
      <c r="AT135" s="1"/>
      <c r="AU135" s="1"/>
      <c r="AV135" s="1"/>
      <c r="AW135" s="1"/>
      <c r="AX135" s="1"/>
    </row>
    <row r="136" spans="17:50" s="131" customFormat="1" x14ac:dyDescent="0.25">
      <c r="Q136" s="86"/>
      <c r="R136" s="86"/>
      <c r="S136" s="8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1"/>
      <c r="AS136" s="1"/>
      <c r="AT136" s="1"/>
      <c r="AU136" s="1"/>
      <c r="AV136" s="1"/>
      <c r="AW136" s="1"/>
      <c r="AX136" s="1"/>
    </row>
    <row r="137" spans="17:50" s="131" customFormat="1" x14ac:dyDescent="0.25">
      <c r="Q137" s="86"/>
      <c r="R137" s="86"/>
      <c r="S137" s="8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1"/>
      <c r="AS137" s="1"/>
      <c r="AT137" s="1"/>
      <c r="AU137" s="1"/>
      <c r="AV137" s="1"/>
      <c r="AW137" s="1"/>
      <c r="AX137" s="1"/>
    </row>
    <row r="138" spans="17:50" s="131" customFormat="1" x14ac:dyDescent="0.25">
      <c r="Q138" s="86"/>
      <c r="R138" s="86"/>
      <c r="S138" s="8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1"/>
      <c r="AS138" s="1"/>
      <c r="AT138" s="1"/>
      <c r="AU138" s="1"/>
      <c r="AV138" s="1"/>
      <c r="AW138" s="1"/>
      <c r="AX138" s="1"/>
    </row>
    <row r="139" spans="17:50" s="131" customFormat="1" x14ac:dyDescent="0.25">
      <c r="Q139" s="86"/>
      <c r="R139" s="86"/>
      <c r="S139" s="8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1"/>
      <c r="AS139" s="1"/>
      <c r="AT139" s="1"/>
      <c r="AU139" s="1"/>
      <c r="AV139" s="1"/>
      <c r="AW139" s="1"/>
      <c r="AX139" s="1"/>
    </row>
    <row r="140" spans="17:50" s="131" customFormat="1" x14ac:dyDescent="0.25">
      <c r="Q140" s="86"/>
      <c r="R140" s="86"/>
      <c r="S140" s="8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1"/>
      <c r="AS140" s="1"/>
      <c r="AT140" s="1"/>
      <c r="AU140" s="1"/>
      <c r="AV140" s="1"/>
      <c r="AW140" s="1"/>
      <c r="AX140" s="1"/>
    </row>
    <row r="141" spans="17:50" s="131" customFormat="1" x14ac:dyDescent="0.25">
      <c r="Q141" s="86"/>
      <c r="R141" s="86"/>
      <c r="S141" s="8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1"/>
      <c r="AS141" s="1"/>
      <c r="AT141" s="1"/>
      <c r="AU141" s="1"/>
      <c r="AV141" s="1"/>
      <c r="AW141" s="1"/>
      <c r="AX141" s="1"/>
    </row>
    <row r="142" spans="17:50" s="131" customFormat="1" x14ac:dyDescent="0.25">
      <c r="Q142" s="86"/>
      <c r="R142" s="86"/>
      <c r="S142" s="8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1"/>
      <c r="AS142" s="1"/>
      <c r="AT142" s="1"/>
      <c r="AU142" s="1"/>
      <c r="AV142" s="1"/>
      <c r="AW142" s="1"/>
      <c r="AX142" s="1"/>
    </row>
    <row r="143" spans="17:50" s="131" customFormat="1" x14ac:dyDescent="0.25">
      <c r="Q143" s="86"/>
      <c r="R143" s="86"/>
      <c r="S143" s="8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1"/>
      <c r="AS143" s="1"/>
      <c r="AT143" s="1"/>
      <c r="AU143" s="1"/>
      <c r="AV143" s="1"/>
      <c r="AW143" s="1"/>
      <c r="AX143" s="1"/>
    </row>
    <row r="144" spans="17:50" s="131" customFormat="1" x14ac:dyDescent="0.25">
      <c r="Q144" s="86"/>
      <c r="R144" s="86"/>
      <c r="S144" s="8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1"/>
      <c r="AS144" s="1"/>
      <c r="AT144" s="1"/>
      <c r="AU144" s="1"/>
      <c r="AV144" s="1"/>
      <c r="AW144" s="1"/>
      <c r="AX144" s="1"/>
    </row>
    <row r="145" spans="17:50" s="131" customFormat="1" x14ac:dyDescent="0.25">
      <c r="Q145" s="86"/>
      <c r="R145" s="86"/>
      <c r="S145" s="8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1"/>
      <c r="AS145" s="1"/>
      <c r="AT145" s="1"/>
      <c r="AU145" s="1"/>
      <c r="AV145" s="1"/>
      <c r="AW145" s="1"/>
      <c r="AX145" s="1"/>
    </row>
    <row r="146" spans="17:50" s="131" customFormat="1" x14ac:dyDescent="0.25">
      <c r="Q146" s="86"/>
      <c r="R146" s="86"/>
      <c r="S146" s="8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1"/>
      <c r="AS146" s="1"/>
      <c r="AT146" s="1"/>
      <c r="AU146" s="1"/>
      <c r="AV146" s="1"/>
      <c r="AW146" s="1"/>
      <c r="AX146" s="1"/>
    </row>
    <row r="147" spans="17:50" s="131" customFormat="1" x14ac:dyDescent="0.25">
      <c r="Q147" s="86"/>
      <c r="R147" s="86"/>
      <c r="S147" s="8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1"/>
      <c r="AS147" s="1"/>
      <c r="AT147" s="1"/>
      <c r="AU147" s="1"/>
      <c r="AV147" s="1"/>
      <c r="AW147" s="1"/>
      <c r="AX147" s="1"/>
    </row>
    <row r="148" spans="17:50" s="131" customFormat="1" x14ac:dyDescent="0.25">
      <c r="Q148" s="86"/>
      <c r="R148" s="86"/>
      <c r="S148" s="8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1"/>
      <c r="AS148" s="1"/>
      <c r="AT148" s="1"/>
      <c r="AU148" s="1"/>
      <c r="AV148" s="1"/>
      <c r="AW148" s="1"/>
      <c r="AX148" s="1"/>
    </row>
    <row r="149" spans="17:50" s="131" customFormat="1" x14ac:dyDescent="0.25">
      <c r="Q149" s="86"/>
      <c r="R149" s="86"/>
      <c r="S149" s="8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1"/>
      <c r="AS149" s="1"/>
      <c r="AT149" s="1"/>
      <c r="AU149" s="1"/>
      <c r="AV149" s="1"/>
      <c r="AW149" s="1"/>
      <c r="AX149" s="1"/>
    </row>
    <row r="150" spans="17:50" s="131" customFormat="1" x14ac:dyDescent="0.25">
      <c r="Q150" s="86"/>
      <c r="R150" s="86"/>
      <c r="S150" s="8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1"/>
      <c r="AS150" s="1"/>
      <c r="AT150" s="1"/>
      <c r="AU150" s="1"/>
      <c r="AV150" s="1"/>
      <c r="AW150" s="1"/>
      <c r="AX150" s="1"/>
    </row>
    <row r="151" spans="17:50" s="131" customFormat="1" x14ac:dyDescent="0.25">
      <c r="Q151" s="86"/>
      <c r="R151" s="86"/>
      <c r="S151" s="8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1"/>
      <c r="AS151" s="1"/>
      <c r="AT151" s="1"/>
      <c r="AU151" s="1"/>
      <c r="AV151" s="1"/>
      <c r="AW151" s="1"/>
      <c r="AX151" s="1"/>
    </row>
    <row r="152" spans="17:50" s="131" customFormat="1" x14ac:dyDescent="0.25">
      <c r="Q152" s="86"/>
      <c r="R152" s="86"/>
      <c r="S152" s="8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1"/>
      <c r="AS152" s="1"/>
      <c r="AT152" s="1"/>
      <c r="AU152" s="1"/>
      <c r="AV152" s="1"/>
      <c r="AW152" s="1"/>
      <c r="AX152" s="1"/>
    </row>
    <row r="153" spans="17:50" s="131" customFormat="1" x14ac:dyDescent="0.25">
      <c r="Q153" s="86"/>
      <c r="R153" s="86"/>
      <c r="S153" s="8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1"/>
      <c r="AS153" s="1"/>
      <c r="AT153" s="1"/>
      <c r="AU153" s="1"/>
      <c r="AV153" s="1"/>
      <c r="AW153" s="1"/>
      <c r="AX153" s="1"/>
    </row>
    <row r="154" spans="17:50" s="131" customFormat="1" x14ac:dyDescent="0.25">
      <c r="Q154" s="86"/>
      <c r="R154" s="86"/>
      <c r="S154" s="8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1"/>
      <c r="AS154" s="1"/>
      <c r="AT154" s="1"/>
      <c r="AU154" s="1"/>
      <c r="AV154" s="1"/>
      <c r="AW154" s="1"/>
      <c r="AX154" s="1"/>
    </row>
    <row r="155" spans="17:50" s="131" customFormat="1" x14ac:dyDescent="0.25">
      <c r="Q155" s="86"/>
      <c r="R155" s="86"/>
      <c r="S155" s="8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1"/>
      <c r="AS155" s="1"/>
      <c r="AT155" s="1"/>
      <c r="AU155" s="1"/>
      <c r="AV155" s="1"/>
      <c r="AW155" s="1"/>
      <c r="AX155" s="1"/>
    </row>
    <row r="156" spans="17:50" s="131" customFormat="1" x14ac:dyDescent="0.25">
      <c r="Q156" s="86"/>
      <c r="R156" s="86"/>
      <c r="S156" s="8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1"/>
      <c r="AS156" s="1"/>
      <c r="AT156" s="1"/>
      <c r="AU156" s="1"/>
      <c r="AV156" s="1"/>
      <c r="AW156" s="1"/>
      <c r="AX156" s="1"/>
    </row>
    <row r="157" spans="17:50" s="131" customFormat="1" x14ac:dyDescent="0.25">
      <c r="Q157" s="86"/>
      <c r="R157" s="86"/>
      <c r="S157" s="8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1"/>
      <c r="AS157" s="1"/>
      <c r="AT157" s="1"/>
      <c r="AU157" s="1"/>
      <c r="AV157" s="1"/>
      <c r="AW157" s="1"/>
      <c r="AX157" s="1"/>
    </row>
    <row r="158" spans="17:50" s="131" customFormat="1" x14ac:dyDescent="0.25">
      <c r="Q158" s="86"/>
      <c r="R158" s="86"/>
      <c r="S158" s="8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1"/>
      <c r="AS158" s="1"/>
      <c r="AT158" s="1"/>
      <c r="AU158" s="1"/>
      <c r="AV158" s="1"/>
      <c r="AW158" s="1"/>
      <c r="AX158" s="1"/>
    </row>
    <row r="159" spans="17:50" s="131" customFormat="1" x14ac:dyDescent="0.25">
      <c r="Q159" s="86"/>
      <c r="R159" s="86"/>
      <c r="S159" s="8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1"/>
      <c r="AS159" s="1"/>
      <c r="AT159" s="1"/>
      <c r="AU159" s="1"/>
      <c r="AV159" s="1"/>
      <c r="AW159" s="1"/>
      <c r="AX159" s="1"/>
    </row>
    <row r="160" spans="17:50" s="131" customFormat="1" x14ac:dyDescent="0.25">
      <c r="Q160" s="86"/>
      <c r="R160" s="86"/>
      <c r="S160" s="8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1"/>
      <c r="AS160" s="1"/>
      <c r="AT160" s="1"/>
      <c r="AU160" s="1"/>
      <c r="AV160" s="1"/>
      <c r="AW160" s="1"/>
      <c r="AX160" s="1"/>
    </row>
    <row r="161" spans="17:50" s="131" customFormat="1" x14ac:dyDescent="0.25">
      <c r="Q161" s="86"/>
      <c r="R161" s="86"/>
      <c r="S161" s="8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1"/>
      <c r="AS161" s="1"/>
      <c r="AT161" s="1"/>
      <c r="AU161" s="1"/>
      <c r="AV161" s="1"/>
      <c r="AW161" s="1"/>
      <c r="AX161" s="1"/>
    </row>
    <row r="162" spans="17:50" s="131" customFormat="1" x14ac:dyDescent="0.25">
      <c r="Q162" s="86"/>
      <c r="R162" s="86"/>
      <c r="S162" s="8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1"/>
      <c r="AS162" s="1"/>
      <c r="AT162" s="1"/>
      <c r="AU162" s="1"/>
      <c r="AV162" s="1"/>
      <c r="AW162" s="1"/>
      <c r="AX162" s="1"/>
    </row>
    <row r="163" spans="17:50" s="131" customFormat="1" x14ac:dyDescent="0.25">
      <c r="Q163" s="86"/>
      <c r="R163" s="86"/>
      <c r="S163" s="8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1"/>
      <c r="AS163" s="1"/>
      <c r="AT163" s="1"/>
      <c r="AU163" s="1"/>
      <c r="AV163" s="1"/>
      <c r="AW163" s="1"/>
      <c r="AX163" s="1"/>
    </row>
    <row r="164" spans="17:50" s="131" customFormat="1" x14ac:dyDescent="0.25">
      <c r="Q164" s="86"/>
      <c r="R164" s="86"/>
      <c r="S164" s="8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1"/>
      <c r="AS164" s="1"/>
      <c r="AT164" s="1"/>
      <c r="AU164" s="1"/>
      <c r="AV164" s="1"/>
      <c r="AW164" s="1"/>
      <c r="AX164" s="1"/>
    </row>
    <row r="165" spans="17:50" s="131" customFormat="1" x14ac:dyDescent="0.25">
      <c r="Q165" s="86"/>
      <c r="R165" s="86"/>
      <c r="S165" s="8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1"/>
      <c r="AS165" s="1"/>
      <c r="AT165" s="1"/>
      <c r="AU165" s="1"/>
      <c r="AV165" s="1"/>
      <c r="AW165" s="1"/>
      <c r="AX165" s="1"/>
    </row>
    <row r="166" spans="17:50" s="131" customFormat="1" x14ac:dyDescent="0.25">
      <c r="Q166" s="86"/>
      <c r="R166" s="86"/>
      <c r="S166" s="8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1"/>
      <c r="AS166" s="1"/>
      <c r="AT166" s="1"/>
      <c r="AU166" s="1"/>
      <c r="AV166" s="1"/>
      <c r="AW166" s="1"/>
      <c r="AX166" s="1"/>
    </row>
    <row r="167" spans="17:50" s="131" customFormat="1" x14ac:dyDescent="0.25">
      <c r="Q167" s="86"/>
      <c r="R167" s="86"/>
      <c r="S167" s="8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1"/>
      <c r="AS167" s="1"/>
      <c r="AT167" s="1"/>
      <c r="AU167" s="1"/>
      <c r="AV167" s="1"/>
      <c r="AW167" s="1"/>
      <c r="AX167" s="1"/>
    </row>
    <row r="168" spans="17:50" s="131" customFormat="1" x14ac:dyDescent="0.25">
      <c r="Q168" s="86"/>
      <c r="R168" s="86"/>
      <c r="S168" s="8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1"/>
      <c r="AS168" s="1"/>
      <c r="AT168" s="1"/>
      <c r="AU168" s="1"/>
      <c r="AV168" s="1"/>
      <c r="AW168" s="1"/>
      <c r="AX168" s="1"/>
    </row>
    <row r="169" spans="17:50" s="131" customFormat="1" x14ac:dyDescent="0.25">
      <c r="Q169" s="86"/>
      <c r="R169" s="86"/>
      <c r="S169" s="8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1"/>
      <c r="AS169" s="1"/>
      <c r="AT169" s="1"/>
      <c r="AU169" s="1"/>
      <c r="AV169" s="1"/>
      <c r="AW169" s="1"/>
      <c r="AX169" s="1"/>
    </row>
    <row r="170" spans="17:50" s="131" customFormat="1" x14ac:dyDescent="0.25">
      <c r="Q170" s="86"/>
      <c r="R170" s="86"/>
      <c r="S170" s="8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1"/>
      <c r="AS170" s="1"/>
      <c r="AT170" s="1"/>
      <c r="AU170" s="1"/>
      <c r="AV170" s="1"/>
      <c r="AW170" s="1"/>
      <c r="AX170" s="1"/>
    </row>
    <row r="171" spans="17:50" s="131" customFormat="1" x14ac:dyDescent="0.25">
      <c r="Q171" s="86"/>
      <c r="R171" s="86"/>
      <c r="S171" s="8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1"/>
      <c r="AS171" s="1"/>
      <c r="AT171" s="1"/>
      <c r="AU171" s="1"/>
      <c r="AV171" s="1"/>
      <c r="AW171" s="1"/>
      <c r="AX171" s="1"/>
    </row>
    <row r="172" spans="17:50" s="131" customFormat="1" x14ac:dyDescent="0.25">
      <c r="Q172" s="86"/>
      <c r="R172" s="86"/>
      <c r="S172" s="8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1"/>
      <c r="AS172" s="1"/>
      <c r="AT172" s="1"/>
      <c r="AU172" s="1"/>
      <c r="AV172" s="1"/>
      <c r="AW172" s="1"/>
      <c r="AX172" s="1"/>
    </row>
    <row r="173" spans="17:50" s="131" customFormat="1" x14ac:dyDescent="0.25">
      <c r="Q173" s="86"/>
      <c r="R173" s="86"/>
      <c r="S173" s="8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1"/>
      <c r="AS173" s="1"/>
      <c r="AT173" s="1"/>
      <c r="AU173" s="1"/>
      <c r="AV173" s="1"/>
      <c r="AW173" s="1"/>
      <c r="AX173" s="1"/>
    </row>
    <row r="174" spans="17:50" s="131" customFormat="1" x14ac:dyDescent="0.25">
      <c r="Q174" s="86"/>
      <c r="R174" s="86"/>
      <c r="S174" s="8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1"/>
      <c r="AS174" s="1"/>
      <c r="AT174" s="1"/>
      <c r="AU174" s="1"/>
      <c r="AV174" s="1"/>
      <c r="AW174" s="1"/>
      <c r="AX174" s="1"/>
    </row>
    <row r="175" spans="17:50" s="131" customFormat="1" x14ac:dyDescent="0.25">
      <c r="Q175" s="86"/>
      <c r="R175" s="86"/>
      <c r="S175" s="8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1"/>
      <c r="AS175" s="1"/>
      <c r="AT175" s="1"/>
      <c r="AU175" s="1"/>
      <c r="AV175" s="1"/>
      <c r="AW175" s="1"/>
      <c r="AX175" s="1"/>
    </row>
    <row r="176" spans="17:50" s="131" customFormat="1" x14ac:dyDescent="0.25">
      <c r="Q176" s="86"/>
      <c r="R176" s="86"/>
      <c r="S176" s="8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1"/>
      <c r="AS176" s="1"/>
      <c r="AT176" s="1"/>
      <c r="AU176" s="1"/>
      <c r="AV176" s="1"/>
      <c r="AW176" s="1"/>
      <c r="AX176" s="1"/>
    </row>
    <row r="177" spans="1:50" x14ac:dyDescent="0.25">
      <c r="Q177" s="86"/>
      <c r="R177" s="86"/>
      <c r="S177" s="86"/>
      <c r="AR177" s="1"/>
      <c r="AS177" s="1"/>
      <c r="AT177" s="1"/>
      <c r="AU177" s="1"/>
      <c r="AV177" s="1"/>
      <c r="AW177" s="1"/>
      <c r="AX177" s="1"/>
    </row>
    <row r="178" spans="1:50" x14ac:dyDescent="0.25">
      <c r="Q178" s="86"/>
      <c r="R178" s="86"/>
      <c r="S178" s="86"/>
      <c r="AR178" s="1"/>
      <c r="AS178" s="1"/>
      <c r="AT178" s="1"/>
      <c r="AU178" s="1"/>
      <c r="AV178" s="1"/>
      <c r="AW178" s="1"/>
      <c r="AX178" s="1"/>
    </row>
    <row r="179" spans="1:50" x14ac:dyDescent="0.25">
      <c r="Q179" s="86"/>
      <c r="R179" s="86"/>
      <c r="S179" s="86"/>
      <c r="AR179" s="1"/>
      <c r="AS179" s="1"/>
      <c r="AT179" s="1"/>
      <c r="AU179" s="1"/>
      <c r="AV179" s="1"/>
      <c r="AW179" s="1"/>
      <c r="AX179" s="1"/>
    </row>
    <row r="180" spans="1:50" x14ac:dyDescent="0.25">
      <c r="Q180" s="86"/>
      <c r="R180" s="86"/>
      <c r="S180" s="86"/>
      <c r="AR180" s="1"/>
      <c r="AS180" s="1"/>
      <c r="AT180" s="1"/>
      <c r="AU180" s="1"/>
      <c r="AV180" s="1"/>
      <c r="AW180" s="1"/>
      <c r="AX180" s="1"/>
    </row>
    <row r="181" spans="1:50" x14ac:dyDescent="0.25">
      <c r="Q181" s="86"/>
      <c r="R181" s="86"/>
      <c r="S181" s="86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Q182" s="86"/>
      <c r="R182" s="86"/>
      <c r="S182" s="86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6"/>
      <c r="O183" s="86"/>
      <c r="Q183" s="86"/>
      <c r="R183" s="86"/>
      <c r="S183" s="86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6"/>
      <c r="O184" s="86"/>
      <c r="P184" s="86"/>
      <c r="Q184" s="86"/>
      <c r="R184" s="86"/>
      <c r="S184" s="86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6"/>
      <c r="O185" s="86"/>
      <c r="P185" s="86"/>
      <c r="Q185" s="86"/>
      <c r="R185" s="86"/>
      <c r="S185" s="86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6"/>
      <c r="O186" s="86"/>
      <c r="P186" s="86"/>
      <c r="Q186" s="86"/>
      <c r="R186" s="86"/>
      <c r="S186" s="86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6"/>
      <c r="O187" s="86"/>
      <c r="P187" s="86"/>
      <c r="Q187" s="86"/>
      <c r="R187" s="86"/>
      <c r="S187" s="86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6"/>
      <c r="O188" s="86"/>
      <c r="P188" s="86"/>
      <c r="Q188" s="86"/>
      <c r="R188" s="86"/>
      <c r="S188" s="86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6"/>
      <c r="O189" s="86"/>
      <c r="P189" s="86"/>
      <c r="Q189" s="86"/>
      <c r="R189" s="86"/>
      <c r="S189" s="86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6"/>
      <c r="O190" s="86"/>
      <c r="P190" s="86"/>
      <c r="Q190" s="86"/>
      <c r="R190" s="86"/>
      <c r="S190" s="86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6"/>
      <c r="O191" s="86"/>
      <c r="P191" s="86"/>
      <c r="Q191" s="86"/>
      <c r="R191" s="86"/>
      <c r="S191" s="86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6"/>
      <c r="O192" s="86"/>
      <c r="P192" s="86"/>
      <c r="Q192" s="86"/>
      <c r="R192" s="86"/>
      <c r="S192" s="86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6"/>
      <c r="O193" s="86"/>
      <c r="P193" s="86"/>
      <c r="Q193" s="86"/>
      <c r="R193" s="86"/>
      <c r="S193" s="86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6"/>
      <c r="O194" s="86"/>
      <c r="P194" s="86"/>
      <c r="Q194" s="86"/>
      <c r="R194" s="86"/>
      <c r="S194" s="86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6"/>
      <c r="O195" s="86"/>
      <c r="P195" s="86"/>
      <c r="Q195" s="86"/>
      <c r="R195" s="86"/>
      <c r="S195" s="86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6"/>
      <c r="O196" s="86"/>
      <c r="P196" s="86"/>
      <c r="Q196" s="86"/>
      <c r="R196" s="86"/>
      <c r="S196" s="86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6"/>
      <c r="O197" s="86"/>
      <c r="P197" s="86"/>
      <c r="Q197" s="86"/>
      <c r="R197" s="86"/>
      <c r="S197" s="86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6"/>
      <c r="O198" s="86"/>
      <c r="P198" s="86"/>
      <c r="Q198" s="86"/>
      <c r="R198" s="86"/>
      <c r="S198" s="86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6"/>
      <c r="O199" s="86"/>
      <c r="P199" s="86"/>
      <c r="Q199" s="86"/>
      <c r="R199" s="86"/>
      <c r="S199" s="86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6"/>
      <c r="O200" s="86"/>
      <c r="P200" s="86"/>
      <c r="Q200" s="86"/>
      <c r="R200" s="86"/>
      <c r="S200" s="86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6"/>
      <c r="O201" s="86"/>
      <c r="P201" s="86"/>
      <c r="Q201" s="86"/>
      <c r="R201" s="86"/>
      <c r="S201" s="86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6"/>
      <c r="O202" s="86"/>
      <c r="P202" s="86"/>
      <c r="Q202" s="86"/>
      <c r="R202" s="86"/>
      <c r="S202" s="86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6"/>
      <c r="O203" s="86"/>
      <c r="P203" s="86"/>
      <c r="Q203" s="86"/>
      <c r="R203" s="86"/>
      <c r="S203" s="86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6"/>
      <c r="O204" s="86"/>
      <c r="P204" s="86"/>
      <c r="Q204" s="86"/>
      <c r="R204" s="86"/>
      <c r="S204" s="86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6"/>
      <c r="O205" s="86"/>
      <c r="P205" s="86"/>
      <c r="Q205" s="86"/>
      <c r="R205" s="86"/>
      <c r="S205" s="86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6"/>
      <c r="O206" s="86"/>
      <c r="P206" s="86"/>
      <c r="Q206" s="86"/>
      <c r="R206" s="86"/>
      <c r="S206" s="86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6"/>
      <c r="O207" s="86"/>
      <c r="P207" s="86"/>
      <c r="Q207" s="86"/>
      <c r="R207" s="86"/>
      <c r="S207" s="86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6"/>
      <c r="O208" s="86"/>
      <c r="P208" s="86"/>
      <c r="Q208" s="86"/>
      <c r="R208" s="86"/>
      <c r="S208" s="86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6"/>
      <c r="O209" s="86"/>
      <c r="P209" s="86"/>
      <c r="Q209" s="86"/>
      <c r="R209" s="86"/>
      <c r="S209" s="86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6"/>
      <c r="O210" s="86"/>
      <c r="P210" s="86"/>
      <c r="Q210" s="86"/>
      <c r="R210" s="86"/>
      <c r="S210" s="86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6"/>
      <c r="O211" s="86"/>
      <c r="P211" s="86"/>
      <c r="Q211" s="86"/>
      <c r="R211" s="86"/>
      <c r="S211" s="86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6"/>
      <c r="O212" s="86"/>
      <c r="P212" s="86"/>
      <c r="Q212" s="86"/>
      <c r="R212" s="86"/>
      <c r="S212" s="86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6"/>
      <c r="O213" s="86"/>
      <c r="P213" s="86"/>
      <c r="Q213" s="86"/>
      <c r="R213" s="86"/>
      <c r="S213" s="86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6"/>
      <c r="O214" s="86"/>
      <c r="P214" s="86"/>
      <c r="Q214" s="86"/>
      <c r="R214" s="86"/>
      <c r="S214" s="86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6"/>
      <c r="O215" s="86"/>
      <c r="P215" s="86"/>
      <c r="Q215" s="86"/>
      <c r="R215" s="86"/>
      <c r="S215" s="86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6"/>
      <c r="O216" s="86"/>
      <c r="P216" s="86"/>
      <c r="Q216" s="86"/>
      <c r="R216" s="86"/>
      <c r="S216" s="86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6"/>
      <c r="O217" s="86"/>
      <c r="P217" s="86"/>
      <c r="Q217" s="86"/>
      <c r="R217" s="86"/>
      <c r="S217" s="86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6"/>
      <c r="O218" s="86"/>
      <c r="P218" s="86"/>
      <c r="Q218" s="86"/>
      <c r="R218" s="86"/>
      <c r="S218" s="86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6"/>
      <c r="O219" s="86"/>
      <c r="P219" s="86"/>
      <c r="Q219" s="86"/>
      <c r="R219" s="86"/>
      <c r="S219" s="86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6"/>
      <c r="O220" s="86"/>
      <c r="P220" s="86"/>
      <c r="Q220" s="86"/>
      <c r="R220" s="86"/>
      <c r="S220" s="86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6"/>
      <c r="O221" s="86"/>
      <c r="P221" s="86"/>
      <c r="Q221" s="86"/>
      <c r="R221" s="86"/>
      <c r="S221" s="86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6"/>
      <c r="O222" s="86"/>
      <c r="P222" s="86"/>
      <c r="Q222" s="86"/>
      <c r="R222" s="86"/>
      <c r="S222" s="86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6"/>
      <c r="O223" s="86"/>
      <c r="P223" s="86"/>
      <c r="Q223" s="86"/>
      <c r="R223" s="86"/>
      <c r="S223" s="86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6"/>
      <c r="O224" s="86"/>
      <c r="P224" s="86"/>
      <c r="Q224" s="86"/>
      <c r="R224" s="86"/>
      <c r="S224" s="86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6"/>
      <c r="O225" s="86"/>
      <c r="P225" s="86"/>
      <c r="Q225" s="86"/>
      <c r="R225" s="86"/>
      <c r="S225" s="86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6"/>
      <c r="O226" s="86"/>
      <c r="P226" s="86"/>
      <c r="Q226" s="86"/>
      <c r="R226" s="86"/>
      <c r="S226" s="86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6"/>
      <c r="O227" s="86"/>
      <c r="P227" s="86"/>
      <c r="Q227" s="86"/>
      <c r="R227" s="86"/>
      <c r="S227" s="86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6"/>
      <c r="O228" s="86"/>
      <c r="P228" s="86"/>
      <c r="Q228" s="86"/>
      <c r="R228" s="86"/>
      <c r="S228" s="86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6"/>
      <c r="O229" s="86"/>
      <c r="P229" s="86"/>
      <c r="Q229" s="86"/>
      <c r="R229" s="86"/>
      <c r="S229" s="86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6"/>
      <c r="O230" s="86"/>
      <c r="P230" s="86"/>
      <c r="Q230" s="86"/>
      <c r="R230" s="86"/>
      <c r="S230" s="86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6"/>
      <c r="O231" s="86"/>
      <c r="P231" s="86"/>
      <c r="Q231" s="86"/>
      <c r="R231" s="86"/>
      <c r="S231" s="86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6"/>
      <c r="O232" s="86"/>
      <c r="P232" s="86"/>
      <c r="Q232" s="86"/>
      <c r="R232" s="86"/>
      <c r="S232" s="86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6"/>
      <c r="O233" s="86"/>
      <c r="P233" s="86"/>
      <c r="Q233" s="86"/>
      <c r="R233" s="86"/>
      <c r="S233" s="86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6"/>
      <c r="O234" s="86"/>
      <c r="P234" s="86"/>
      <c r="Q234" s="86"/>
      <c r="R234" s="86"/>
      <c r="S234" s="86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6"/>
      <c r="O235" s="86"/>
      <c r="P235" s="86"/>
      <c r="Q235" s="86"/>
      <c r="R235" s="86"/>
      <c r="S235" s="86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6"/>
      <c r="O236" s="86"/>
      <c r="P236" s="86"/>
      <c r="Q236" s="86"/>
      <c r="R236" s="86"/>
      <c r="S236" s="86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6"/>
      <c r="O237" s="86"/>
      <c r="P237" s="86"/>
      <c r="Q237" s="86"/>
      <c r="R237" s="86"/>
      <c r="S237" s="86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6"/>
      <c r="O238" s="86"/>
      <c r="P238" s="86"/>
      <c r="Q238" s="86"/>
      <c r="R238" s="86"/>
      <c r="S238" s="86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P239" s="86"/>
      <c r="Q239" s="86"/>
      <c r="R239" s="86"/>
      <c r="S239" s="86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AR312" s="1"/>
      <c r="AS312" s="1"/>
      <c r="AT312" s="1"/>
      <c r="AU312" s="1"/>
      <c r="AV312" s="1"/>
      <c r="AW312" s="1"/>
      <c r="AX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AR313" s="1"/>
      <c r="AS313" s="1"/>
      <c r="AT313" s="1"/>
      <c r="AU313" s="1"/>
      <c r="AV313" s="1"/>
      <c r="AW313" s="1"/>
      <c r="AX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AR314" s="1"/>
      <c r="AS314" s="1"/>
      <c r="AT314" s="1"/>
      <c r="AU314" s="1"/>
      <c r="AV314" s="1"/>
      <c r="AW314" s="1"/>
      <c r="AX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AR315" s="1"/>
      <c r="AS315" s="1"/>
      <c r="AT315" s="1"/>
      <c r="AU315" s="1"/>
      <c r="AV315" s="1"/>
      <c r="AW315" s="1"/>
      <c r="AX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AR316" s="1"/>
      <c r="AS316" s="1"/>
      <c r="AT316" s="1"/>
      <c r="AU316" s="1"/>
      <c r="AV316" s="1"/>
      <c r="AW316" s="1"/>
      <c r="AX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AR317" s="1"/>
      <c r="AS317" s="1"/>
      <c r="AT317" s="1"/>
      <c r="AU317" s="1"/>
      <c r="AV317" s="1"/>
      <c r="AW317" s="1"/>
      <c r="AX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AR318" s="1"/>
      <c r="AS318" s="1"/>
      <c r="AT318" s="1"/>
      <c r="AU318" s="1"/>
      <c r="AV318" s="1"/>
      <c r="AW318" s="1"/>
      <c r="AX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AR319" s="1"/>
      <c r="AS319" s="1"/>
      <c r="AT319" s="1"/>
      <c r="AU319" s="1"/>
      <c r="AV319" s="1"/>
      <c r="AW319" s="1"/>
      <c r="AX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AR320" s="1"/>
      <c r="AS320" s="1"/>
      <c r="AT320" s="1"/>
      <c r="AU320" s="1"/>
      <c r="AV320" s="1"/>
      <c r="AW320" s="1"/>
      <c r="AX320" s="1"/>
    </row>
    <row r="321" spans="1:5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AR321" s="1"/>
      <c r="AS321" s="1"/>
      <c r="AT321" s="1"/>
      <c r="AU321" s="1"/>
      <c r="AV321" s="1"/>
      <c r="AW321" s="1"/>
      <c r="AX321" s="1"/>
    </row>
    <row r="322" spans="1:5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AR322" s="1"/>
      <c r="AS322" s="1"/>
      <c r="AT322" s="1"/>
      <c r="AU322" s="1"/>
      <c r="AV322" s="1"/>
      <c r="AW322" s="1"/>
      <c r="AX322" s="1"/>
    </row>
    <row r="323" spans="1:5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AR323" s="1"/>
      <c r="AS323" s="1"/>
      <c r="AT323" s="1"/>
      <c r="AU323" s="1"/>
      <c r="AV323" s="1"/>
      <c r="AW323" s="1"/>
      <c r="AX323" s="1"/>
    </row>
    <row r="324" spans="1:5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AR324" s="1"/>
      <c r="AS324" s="1"/>
      <c r="AT324" s="1"/>
      <c r="AU324" s="1"/>
      <c r="AV324" s="1"/>
      <c r="AW324" s="1"/>
      <c r="AX324" s="1"/>
    </row>
    <row r="325" spans="1:5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AR325" s="1"/>
      <c r="AS325" s="1"/>
      <c r="AT325" s="1"/>
      <c r="AU325" s="1"/>
      <c r="AV325" s="1"/>
      <c r="AW325" s="1"/>
      <c r="AX325" s="1"/>
    </row>
    <row r="326" spans="1:5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AR326" s="1"/>
      <c r="AS326" s="1"/>
      <c r="AT326" s="1"/>
      <c r="AU326" s="1"/>
      <c r="AV326" s="1"/>
      <c r="AW326" s="1"/>
      <c r="AX326" s="1"/>
    </row>
    <row r="327" spans="1:5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AR327" s="1"/>
      <c r="AS327" s="1"/>
      <c r="AT327" s="1"/>
      <c r="AU327" s="1"/>
      <c r="AV327" s="1"/>
      <c r="AW327" s="1"/>
      <c r="AX327" s="1"/>
    </row>
    <row r="328" spans="1:5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AR328" s="1"/>
      <c r="AS328" s="1"/>
      <c r="AT328" s="1"/>
      <c r="AU328" s="1"/>
      <c r="AV328" s="1"/>
      <c r="AW328" s="1"/>
      <c r="AX328" s="1"/>
    </row>
    <row r="329" spans="1:5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AR329" s="1"/>
      <c r="AS329" s="1"/>
      <c r="AT329" s="1"/>
      <c r="AU329" s="1"/>
      <c r="AV329" s="1"/>
      <c r="AW329" s="1"/>
      <c r="AX329" s="1"/>
    </row>
    <row r="330" spans="1:5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AR330" s="1"/>
      <c r="AS330" s="1"/>
      <c r="AT330" s="1"/>
      <c r="AU330" s="1"/>
      <c r="AV330" s="1"/>
      <c r="AW330" s="1"/>
      <c r="AX330" s="1"/>
    </row>
    <row r="331" spans="1:5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AR331" s="1"/>
      <c r="AS331" s="1"/>
      <c r="AT331" s="1"/>
      <c r="AU331" s="1"/>
      <c r="AV331" s="1"/>
      <c r="AW331" s="1"/>
      <c r="AX331" s="1"/>
    </row>
    <row r="332" spans="1:5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AR332" s="1"/>
      <c r="AS332" s="1"/>
      <c r="AT332" s="1"/>
      <c r="AU332" s="1"/>
      <c r="AV332" s="1"/>
      <c r="AW332" s="1"/>
      <c r="AX332" s="1"/>
    </row>
    <row r="333" spans="1:5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AR333" s="1"/>
      <c r="AS333" s="1"/>
      <c r="AT333" s="1"/>
      <c r="AU333" s="1"/>
      <c r="AV333" s="1"/>
      <c r="AW333" s="1"/>
      <c r="AX333" s="1"/>
    </row>
    <row r="334" spans="1:5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AR334" s="1"/>
      <c r="AS334" s="1"/>
      <c r="AT334" s="1"/>
      <c r="AU334" s="1"/>
      <c r="AV334" s="1"/>
      <c r="AW334" s="1"/>
      <c r="AX334" s="1"/>
    </row>
    <row r="335" spans="1:5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AR335" s="1"/>
      <c r="AS335" s="1"/>
      <c r="AT335" s="1"/>
      <c r="AU335" s="1"/>
      <c r="AV335" s="1"/>
      <c r="AW335" s="1"/>
      <c r="AX335" s="1"/>
    </row>
    <row r="336" spans="1:5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AR336" s="1"/>
      <c r="AS336" s="1"/>
      <c r="AT336" s="1"/>
      <c r="AU336" s="1"/>
      <c r="AV336" s="1"/>
      <c r="AW336" s="1"/>
      <c r="AX336" s="1"/>
    </row>
    <row r="337" spans="1:5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AR337" s="1"/>
      <c r="AS337" s="1"/>
      <c r="AT337" s="1"/>
      <c r="AU337" s="1"/>
      <c r="AV337" s="1"/>
      <c r="AW337" s="1"/>
      <c r="AX337" s="1"/>
    </row>
    <row r="338" spans="1:5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AR338" s="1"/>
      <c r="AS338" s="1"/>
      <c r="AT338" s="1"/>
      <c r="AU338" s="1"/>
      <c r="AV338" s="1"/>
      <c r="AW338" s="1"/>
      <c r="AX338" s="1"/>
    </row>
    <row r="339" spans="1:5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AR339" s="1"/>
      <c r="AS339" s="1"/>
      <c r="AT339" s="1"/>
      <c r="AU339" s="1"/>
      <c r="AV339" s="1"/>
      <c r="AW339" s="1"/>
      <c r="AX339" s="1"/>
    </row>
    <row r="340" spans="1:5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AR340" s="1"/>
      <c r="AS340" s="1"/>
      <c r="AT340" s="1"/>
      <c r="AU340" s="1"/>
      <c r="AV340" s="1"/>
      <c r="AW340" s="1"/>
      <c r="AX340" s="1"/>
    </row>
    <row r="341" spans="1:5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AR341" s="1"/>
      <c r="AS341" s="1"/>
      <c r="AT341" s="1"/>
      <c r="AU341" s="1"/>
      <c r="AV341" s="1"/>
      <c r="AW341" s="1"/>
      <c r="AX341" s="1"/>
    </row>
    <row r="342" spans="1:5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AR342" s="1"/>
      <c r="AS342" s="1"/>
      <c r="AT342" s="1"/>
      <c r="AU342" s="1"/>
      <c r="AV342" s="1"/>
      <c r="AW342" s="1"/>
      <c r="AX342" s="1"/>
    </row>
    <row r="343" spans="1:5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AR343" s="1"/>
      <c r="AS343" s="1"/>
      <c r="AT343" s="1"/>
      <c r="AU343" s="1"/>
      <c r="AV343" s="1"/>
      <c r="AW343" s="1"/>
      <c r="AX343" s="1"/>
    </row>
    <row r="344" spans="1:5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AR344" s="1"/>
      <c r="AS344" s="1"/>
      <c r="AT344" s="1"/>
      <c r="AU344" s="1"/>
      <c r="AV344" s="1"/>
      <c r="AW344" s="1"/>
      <c r="AX344" s="1"/>
    </row>
    <row r="345" spans="1:5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AR345" s="1"/>
      <c r="AS345" s="1"/>
      <c r="AT345" s="1"/>
      <c r="AU345" s="1"/>
      <c r="AV345" s="1"/>
      <c r="AW345" s="1"/>
      <c r="AX345" s="1"/>
    </row>
    <row r="346" spans="1:5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AR346" s="1"/>
      <c r="AS346" s="1"/>
      <c r="AT346" s="1"/>
      <c r="AU346" s="1"/>
      <c r="AV346" s="1"/>
      <c r="AW346" s="1"/>
      <c r="AX346" s="1"/>
    </row>
    <row r="347" spans="1:5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AR347" s="1"/>
      <c r="AS347" s="1"/>
      <c r="AT347" s="1"/>
      <c r="AU347" s="1"/>
      <c r="AV347" s="1"/>
      <c r="AW347" s="1"/>
      <c r="AX347" s="1"/>
    </row>
    <row r="348" spans="1:5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AR348" s="1"/>
      <c r="AS348" s="1"/>
      <c r="AT348" s="1"/>
      <c r="AU348" s="1"/>
      <c r="AV348" s="1"/>
      <c r="AW348" s="1"/>
      <c r="AX348" s="1"/>
    </row>
    <row r="349" spans="1:5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AR349" s="1"/>
      <c r="AS349" s="1"/>
      <c r="AT349" s="1"/>
      <c r="AU349" s="1"/>
      <c r="AV349" s="1"/>
      <c r="AW349" s="1"/>
      <c r="AX349" s="1"/>
    </row>
    <row r="350" spans="1:5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5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5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s="131" customForma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s="131" customForma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s="131" customForma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s="131" customForma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s="131" customForma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s="131" customForma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s="131" customForma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s="131" customForma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s="131" customForma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s="131" customForma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s="131" customForma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s="131" customForma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s="131" customForma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s="131" customForma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s="131" customForma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s="131" customForma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s="131" customForma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s="131" customForma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s="131" customForma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s="131" customForma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s="131" customForma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s="131" customForma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s="131" customForma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s="131" customForma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s="131" customForma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s="131" customForma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s="131" customForma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s="131" customForma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s="131" customForma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s="131" customForma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s="131" customForma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s="131" customForma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s="131" customForma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131" customForma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131" customForma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131" customForma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131" customForma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131" customForma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131" customForma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131" customForma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131" customForma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131" customForma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131" customForma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131" customForma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131" customForma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131" customForma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131" customForma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131" customForma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s="131" customForma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s="131" customForma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s="131" customForma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s="131" customForma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s="131" customForma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s="131" customForma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s="131" customForma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s="131" customForma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s="131" customForma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s="131" customForma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s="131" customForma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s="131" customForma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s="131" customForma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s="131" customForma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s="131" customForma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131" customForma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131" customForma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131" customForma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131" customForma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131" customForma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131" customForma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131" customForma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131" customForma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131" customForma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131" customForma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131" customForma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131" customForma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131" customForma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131" customForma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131" customForma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131" customForma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131" customForma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s="131" customForma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s="131" customForma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s="131" customForma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s="131" customForma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s="131" customForma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s="131" customForma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s="131" customForma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s="131" customForma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s="131" customForma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s="131" customForma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s="131" customForma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s="131" customForma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s="131" customForma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s="131" customForma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s="131" customForma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s="131" customForma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131" customForma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131" customForma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131" customForma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131" customForma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131" customForma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131" customForma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131" customForma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131" customForma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131" customForma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131" customForma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131" customForma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131" customForma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131" customForma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131" customForma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131" customForma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131" customForma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131" customForma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131" customForma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131" customForma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131" customForma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131" customForma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131" customForma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131" customForma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131" customForma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131" customForma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131" customForma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131" customForma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131" customForma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131" customForma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131" customForma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131" customForma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131" customForma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131" customForma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131" customForma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131" customForma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131" customForma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131" customForma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131" customForma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131" customForma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131" customForma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131" customForma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31" customForma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31" customForma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31" customForma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31" customForma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31" customForma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31" customForma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31" customForma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31" customForma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31" customForma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31" customForma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31" customForma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31" customForma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31" customForma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31" customForma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31" customForma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31" customForma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31" customForma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31" customForma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31" customForma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31" customForma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31" customForma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31" customForma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31" customForma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31" customForma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31" customForma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31" customForma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31" customForma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31" customForma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31" customForma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31" customForma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31" customForma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31" customForma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31" customForma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31" customForma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31" customForma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31" customForma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31" customForma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31" customForma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31" customForma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31" customForma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31" customForma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31" customForma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31" customForma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31" customForma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31" customForma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31" customForma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31" customForma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31" customForma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31" customForma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31" customForma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31" customForma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31" customForma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31" customForma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31" customForma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31" customForma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31" customForma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31" customForma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31" customForma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31" customForma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31" customForma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31" customForma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31" customForma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31" customForma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31" customForma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31" customForma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31" customForma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31" customForma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31" customForma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31" customForma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31" customForma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31" customForma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31" customForma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31" customForma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31" customForma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31" customForma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31" customForma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31" customForma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31" customForma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31" customForma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31" customForma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31" customForma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31" customForma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31" customForma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31" customForma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31" customForma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31" customForma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</sheetData>
  <printOptions horizontalCentered="1"/>
  <pageMargins left="0.75" right="0.75" top="0.53" bottom="0.48" header="0.5" footer="0.5"/>
  <pageSetup scale="29" orientation="landscape" r:id="rId1"/>
  <headerFooter alignWithMargins="0"/>
  <rowBreaks count="2" manualBreakCount="2">
    <brk id="20" max="9" man="1"/>
    <brk id="57" max="9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OATT Input Data</vt:lpstr>
      <vt:lpstr>VA Transmission</vt:lpstr>
      <vt:lpstr>Summary</vt:lpstr>
      <vt:lpstr>NITS Pg 1 of 5</vt:lpstr>
      <vt:lpstr>NITS Pg 2 of 5</vt:lpstr>
      <vt:lpstr>NITS Pg 3 of 5</vt:lpstr>
      <vt:lpstr>NITS Pg 4 of 5</vt:lpstr>
      <vt:lpstr>PTP Pg 1 of 5</vt:lpstr>
      <vt:lpstr>PTP Pg 2 of 5</vt:lpstr>
      <vt:lpstr>PTP Pg 3 of 5</vt:lpstr>
      <vt:lpstr>PTP Pg 4 of 5</vt:lpstr>
      <vt:lpstr>Pg 5 of 5 Notes for both</vt:lpstr>
      <vt:lpstr>Depreciation Rates</vt:lpstr>
      <vt:lpstr>Sch 1</vt:lpstr>
      <vt:lpstr>'NITS Pg 1 of 5'!Print_Area</vt:lpstr>
      <vt:lpstr>'NITS Pg 2 of 5'!Print_Area</vt:lpstr>
      <vt:lpstr>'NITS Pg 3 of 5'!Print_Area</vt:lpstr>
      <vt:lpstr>'NITS Pg 4 of 5'!Print_Area</vt:lpstr>
      <vt:lpstr>'Pg 5 of 5 Notes for both'!Print_Area</vt:lpstr>
      <vt:lpstr>'PTP Pg 1 of 5'!Print_Area</vt:lpstr>
      <vt:lpstr>'PTP Pg 2 of 5'!Print_Area</vt:lpstr>
      <vt:lpstr>'PTP Pg 3 of 5'!Print_Area</vt:lpstr>
      <vt:lpstr>'PTP Pg 4 of 5'!Print_Area</vt:lpstr>
      <vt:lpstr>'Sch 1'!Print_Area</vt:lpstr>
      <vt:lpstr>'VA Transmission'!Print_Area</vt:lpstr>
      <vt:lpstr>'NITS Pg 1 of 5'!Print_Titles</vt:lpstr>
      <vt:lpstr>'PTP Pg 1 of 5'!Print_Titles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cp:lastPrinted>2015-01-05T21:43:08Z</cp:lastPrinted>
  <dcterms:created xsi:type="dcterms:W3CDTF">2012-11-13T18:56:46Z</dcterms:created>
  <dcterms:modified xsi:type="dcterms:W3CDTF">2015-06-23T12:03:59Z</dcterms:modified>
</cp:coreProperties>
</file>