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Value Line Electrics" sheetId="1" r:id="rId1"/>
    <sheet name="DCF Analysis" sheetId="2" r:id="rId2"/>
    <sheet name="Holding Co. Capital Structures" sheetId="3" r:id="rId3"/>
    <sheet name="Operating Co. Cap. Structures" sheetId="4" r:id="rId4"/>
    <sheet name="LADWP Capital Structure" sheetId="5" r:id="rId5"/>
    <sheet name="Testimony Table 1" sheetId="6" r:id="rId6"/>
    <sheet name="Testimony Table 2" sheetId="7" r:id="rId7"/>
  </sheets>
  <definedNames>
    <definedName name="Exhibit202">'Value Line Electrics'!$A$4:$G$50</definedName>
    <definedName name="Exhibit203">'DCF Analysis'!$DP$291:$ER$317</definedName>
    <definedName name="Exhibit204">'DCF Analysis'!$N$92:$X$119</definedName>
    <definedName name="Exhibit205">'DCF Analysis'!$A$100:$J$124</definedName>
  </definedNames>
  <calcPr calcId="125725"/>
</workbook>
</file>

<file path=xl/calcChain.xml><?xml version="1.0" encoding="utf-8"?>
<calcChain xmlns="http://schemas.openxmlformats.org/spreadsheetml/2006/main">
  <c r="J147" i="2"/>
  <c r="F147"/>
  <c r="I147"/>
  <c r="H147"/>
  <c r="E147"/>
  <c r="A148"/>
  <c r="A149" s="1"/>
  <c r="A150" s="1"/>
  <c r="A147"/>
  <c r="W367" i="5"/>
  <c r="R105" i="2"/>
  <c r="O348" i="5"/>
  <c r="R357" s="1"/>
  <c r="D10" i="7" l="1"/>
  <c r="F6"/>
  <c r="EN315" i="2"/>
  <c r="EM315"/>
  <c r="EJ315"/>
  <c r="EI315"/>
  <c r="EE315"/>
  <c r="EF315"/>
  <c r="EB315"/>
  <c r="EA315"/>
  <c r="DX315"/>
  <c r="DW315"/>
  <c r="DT315"/>
  <c r="DS315"/>
  <c r="EN314"/>
  <c r="EM314"/>
  <c r="EJ314"/>
  <c r="EI314"/>
  <c r="EF314"/>
  <c r="EE314"/>
  <c r="EA314"/>
  <c r="EB314"/>
  <c r="DX314"/>
  <c r="DW314"/>
  <c r="DT314"/>
  <c r="DS314"/>
  <c r="EN313"/>
  <c r="EM313"/>
  <c r="EJ313"/>
  <c r="EI313"/>
  <c r="EF313"/>
  <c r="EE313"/>
  <c r="EB313"/>
  <c r="EA313"/>
  <c r="DX313"/>
  <c r="DW313"/>
  <c r="DT313"/>
  <c r="DS313"/>
  <c r="EN312"/>
  <c r="EM312"/>
  <c r="EJ312"/>
  <c r="EI312"/>
  <c r="EF312"/>
  <c r="EE312"/>
  <c r="EB312"/>
  <c r="EA312"/>
  <c r="DX312"/>
  <c r="DW312"/>
  <c r="DT312"/>
  <c r="DS312"/>
  <c r="EN311"/>
  <c r="EM311"/>
  <c r="EJ311"/>
  <c r="EI311"/>
  <c r="EF311"/>
  <c r="EE311"/>
  <c r="EB311"/>
  <c r="EA311"/>
  <c r="DX311"/>
  <c r="DW311"/>
  <c r="DT311"/>
  <c r="DS311"/>
  <c r="EN310"/>
  <c r="EM310"/>
  <c r="EJ310"/>
  <c r="EI310"/>
  <c r="EF310"/>
  <c r="EE310"/>
  <c r="EB310"/>
  <c r="EA310"/>
  <c r="DX310"/>
  <c r="DW310"/>
  <c r="DT310"/>
  <c r="DS310"/>
  <c r="EN309"/>
  <c r="EM309"/>
  <c r="EJ309"/>
  <c r="EI309"/>
  <c r="EF309"/>
  <c r="EE309"/>
  <c r="EB309"/>
  <c r="EA309"/>
  <c r="DX309"/>
  <c r="DW309"/>
  <c r="DT309"/>
  <c r="DS309"/>
  <c r="EN308"/>
  <c r="EM308"/>
  <c r="EJ308"/>
  <c r="EI308"/>
  <c r="EF308"/>
  <c r="EE308"/>
  <c r="EB308"/>
  <c r="EA308"/>
  <c r="DX308"/>
  <c r="DW308"/>
  <c r="DT308"/>
  <c r="DS308"/>
  <c r="EN307"/>
  <c r="EM307"/>
  <c r="EJ307"/>
  <c r="EI307"/>
  <c r="EF307"/>
  <c r="EE307"/>
  <c r="EB307"/>
  <c r="EA307"/>
  <c r="DX307"/>
  <c r="DW307"/>
  <c r="DT307"/>
  <c r="DS307"/>
  <c r="EN306"/>
  <c r="EM306"/>
  <c r="EJ306"/>
  <c r="EI306"/>
  <c r="EF306"/>
  <c r="EE306"/>
  <c r="EB306"/>
  <c r="EA306"/>
  <c r="DX306"/>
  <c r="DW306"/>
  <c r="DT306"/>
  <c r="DS306"/>
  <c r="EN305"/>
  <c r="EM305"/>
  <c r="EJ305"/>
  <c r="EI305"/>
  <c r="EF305"/>
  <c r="EE305"/>
  <c r="EB305"/>
  <c r="EA305"/>
  <c r="DX305"/>
  <c r="DW305"/>
  <c r="DT305"/>
  <c r="DS305"/>
  <c r="EN304"/>
  <c r="EM304"/>
  <c r="EJ304"/>
  <c r="EI304"/>
  <c r="EF304"/>
  <c r="EE304"/>
  <c r="EB304"/>
  <c r="EA304"/>
  <c r="DX304"/>
  <c r="DW304"/>
  <c r="DT304"/>
  <c r="DS304"/>
  <c r="EN303"/>
  <c r="EM303"/>
  <c r="EJ303"/>
  <c r="EI303"/>
  <c r="EF303"/>
  <c r="EE303"/>
  <c r="EB303"/>
  <c r="EA303"/>
  <c r="DX303"/>
  <c r="DW303"/>
  <c r="DT303"/>
  <c r="DS303"/>
  <c r="EN302"/>
  <c r="EM302"/>
  <c r="EJ302"/>
  <c r="EI302"/>
  <c r="EF302"/>
  <c r="EE302"/>
  <c r="EB302"/>
  <c r="EA302"/>
  <c r="DX302"/>
  <c r="DW302"/>
  <c r="DT302"/>
  <c r="DS302"/>
  <c r="EN301"/>
  <c r="EM301"/>
  <c r="EJ301"/>
  <c r="EI301"/>
  <c r="EF301"/>
  <c r="EE301"/>
  <c r="EB301"/>
  <c r="EA301"/>
  <c r="DX301"/>
  <c r="DW301"/>
  <c r="DT301"/>
  <c r="DS301"/>
  <c r="EN300"/>
  <c r="EM300"/>
  <c r="EJ300"/>
  <c r="EI300"/>
  <c r="EF300"/>
  <c r="EE300"/>
  <c r="EB300"/>
  <c r="EA300"/>
  <c r="DX300"/>
  <c r="DW300"/>
  <c r="DT300"/>
  <c r="DS300"/>
  <c r="EN299"/>
  <c r="EM299"/>
  <c r="EJ299"/>
  <c r="EI299"/>
  <c r="EF299"/>
  <c r="EE299"/>
  <c r="EB299"/>
  <c r="EA299"/>
  <c r="DX299"/>
  <c r="DW299"/>
  <c r="DT299"/>
  <c r="DS299"/>
  <c r="DT298"/>
  <c r="DS298"/>
  <c r="DX298"/>
  <c r="DW298"/>
  <c r="EB298"/>
  <c r="EA298"/>
  <c r="EF298"/>
  <c r="EE298"/>
  <c r="EJ298"/>
  <c r="EI298"/>
  <c r="EN298"/>
  <c r="EM298"/>
  <c r="DP299"/>
  <c r="DP300" s="1"/>
  <c r="DP301" s="1"/>
  <c r="DP302" s="1"/>
  <c r="DP303" s="1"/>
  <c r="DP304" s="1"/>
  <c r="DP305" s="1"/>
  <c r="DP306" s="1"/>
  <c r="DP307" s="1"/>
  <c r="DP308" s="1"/>
  <c r="DP309" s="1"/>
  <c r="DP310" s="1"/>
  <c r="DP311" s="1"/>
  <c r="DP312" s="1"/>
  <c r="DP313" s="1"/>
  <c r="DP314" s="1"/>
  <c r="DP315" s="1"/>
  <c r="C14" i="3"/>
  <c r="O343" i="5"/>
  <c r="S343"/>
  <c r="S341" l="1"/>
  <c r="S340"/>
  <c r="S339"/>
  <c r="S338"/>
  <c r="S337"/>
  <c r="S336"/>
  <c r="S335"/>
  <c r="S334"/>
  <c r="S333"/>
  <c r="S332"/>
  <c r="S331"/>
  <c r="S330"/>
  <c r="S326"/>
  <c r="S325"/>
  <c r="S324"/>
  <c r="S323"/>
  <c r="S322"/>
  <c r="S321"/>
  <c r="S320"/>
  <c r="S319"/>
  <c r="S318"/>
  <c r="S317"/>
  <c r="S316"/>
  <c r="S315"/>
  <c r="S314"/>
  <c r="S313"/>
  <c r="S312"/>
  <c r="S311"/>
  <c r="S310"/>
  <c r="S308"/>
  <c r="S307"/>
  <c r="S306"/>
  <c r="S305"/>
  <c r="S304"/>
  <c r="S303"/>
  <c r="S302"/>
  <c r="S301"/>
  <c r="S300"/>
  <c r="S299"/>
  <c r="S298"/>
  <c r="S297"/>
  <c r="S296"/>
  <c r="S295"/>
  <c r="S294"/>
  <c r="S293"/>
  <c r="S292"/>
  <c r="S291"/>
  <c r="S290"/>
  <c r="S288"/>
  <c r="S287"/>
  <c r="S286"/>
  <c r="S285"/>
  <c r="S284"/>
  <c r="S283"/>
  <c r="S282"/>
  <c r="S281"/>
  <c r="S280"/>
  <c r="S278"/>
  <c r="S277"/>
  <c r="S276"/>
  <c r="S275"/>
  <c r="S274"/>
  <c r="S273"/>
  <c r="S272"/>
  <c r="S271"/>
  <c r="S270"/>
  <c r="S269"/>
  <c r="S268"/>
  <c r="S267"/>
  <c r="S266"/>
  <c r="S265"/>
  <c r="S264"/>
  <c r="S263"/>
  <c r="S262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4"/>
  <c r="S233"/>
  <c r="S232"/>
  <c r="S231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212"/>
  <c r="S211"/>
  <c r="S210"/>
  <c r="S209"/>
  <c r="S208"/>
  <c r="S207"/>
  <c r="S205"/>
  <c r="S204"/>
  <c r="S203"/>
  <c r="S200"/>
  <c r="S201"/>
  <c r="S198"/>
  <c r="S197"/>
  <c r="S196"/>
  <c r="S195"/>
  <c r="S194"/>
  <c r="S193"/>
  <c r="S192"/>
  <c r="S191"/>
  <c r="S190"/>
  <c r="S189"/>
  <c r="S188"/>
  <c r="S187"/>
  <c r="S186"/>
  <c r="S185"/>
  <c r="S184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3"/>
  <c r="S162"/>
  <c r="S160"/>
  <c r="S159"/>
  <c r="S158"/>
  <c r="S157"/>
  <c r="S156"/>
  <c r="S155"/>
  <c r="S154"/>
  <c r="S153"/>
  <c r="S152"/>
  <c r="S151"/>
  <c r="S150"/>
  <c r="S149"/>
  <c r="S146"/>
  <c r="S147"/>
  <c r="S144"/>
  <c r="S143"/>
  <c r="S142"/>
  <c r="S141"/>
  <c r="S140"/>
  <c r="S139"/>
  <c r="S138"/>
  <c r="S137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7"/>
  <c r="S106"/>
  <c r="S105"/>
  <c r="S104"/>
  <c r="S103"/>
  <c r="S102"/>
  <c r="S101"/>
  <c r="S100"/>
  <c r="S99"/>
  <c r="S98"/>
  <c r="S97"/>
  <c r="S96"/>
  <c r="S95"/>
  <c r="S94"/>
  <c r="S93"/>
  <c r="S92"/>
  <c r="S91"/>
  <c r="S89"/>
  <c r="S88"/>
  <c r="S87"/>
  <c r="S86"/>
  <c r="S85"/>
  <c r="S84"/>
  <c r="S83"/>
  <c r="S82"/>
  <c r="S81"/>
  <c r="S80"/>
  <c r="S79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7"/>
  <c r="S56"/>
  <c r="S55"/>
  <c r="S53"/>
  <c r="S52"/>
  <c r="S51"/>
  <c r="S50"/>
  <c r="S49"/>
  <c r="S48"/>
  <c r="S47"/>
  <c r="S46"/>
  <c r="S45"/>
  <c r="S44"/>
  <c r="S43"/>
  <c r="S42"/>
  <c r="S41"/>
  <c r="S39"/>
  <c r="S38"/>
  <c r="S37"/>
  <c r="S36"/>
  <c r="S35"/>
  <c r="S34"/>
  <c r="S33"/>
  <c r="S32"/>
  <c r="S31"/>
  <c r="S30"/>
  <c r="S29"/>
  <c r="S28"/>
  <c r="S27"/>
  <c r="S25"/>
  <c r="S24"/>
  <c r="S22"/>
  <c r="S23"/>
  <c r="S21"/>
  <c r="O346" l="1"/>
  <c r="O149"/>
  <c r="R149" s="1"/>
  <c r="O207"/>
  <c r="O341"/>
  <c r="R341" s="1"/>
  <c r="O340"/>
  <c r="R340" s="1"/>
  <c r="O339"/>
  <c r="R339" s="1"/>
  <c r="O338"/>
  <c r="R338" s="1"/>
  <c r="O337"/>
  <c r="R337" s="1"/>
  <c r="O336"/>
  <c r="R336" s="1"/>
  <c r="O335"/>
  <c r="R335" s="1"/>
  <c r="O334"/>
  <c r="R334" s="1"/>
  <c r="O333"/>
  <c r="R333" s="1"/>
  <c r="O332"/>
  <c r="R332" s="1"/>
  <c r="O331"/>
  <c r="R331" s="1"/>
  <c r="O330"/>
  <c r="R330" s="1"/>
  <c r="N342"/>
  <c r="S342" s="1"/>
  <c r="M342"/>
  <c r="L342"/>
  <c r="K342"/>
  <c r="O326"/>
  <c r="R326" s="1"/>
  <c r="O325"/>
  <c r="R325" s="1"/>
  <c r="O324"/>
  <c r="R324" s="1"/>
  <c r="O323"/>
  <c r="R323" s="1"/>
  <c r="O322"/>
  <c r="R322" s="1"/>
  <c r="O321"/>
  <c r="R321" s="1"/>
  <c r="O320"/>
  <c r="R320" s="1"/>
  <c r="O319"/>
  <c r="R319" s="1"/>
  <c r="O318"/>
  <c r="R318" s="1"/>
  <c r="O317"/>
  <c r="R317" s="1"/>
  <c r="O316"/>
  <c r="R316" s="1"/>
  <c r="O315"/>
  <c r="R315" s="1"/>
  <c r="O314"/>
  <c r="R314" s="1"/>
  <c r="O313"/>
  <c r="R313" s="1"/>
  <c r="O312"/>
  <c r="R312" s="1"/>
  <c r="O311"/>
  <c r="R311" s="1"/>
  <c r="O310"/>
  <c r="R310" s="1"/>
  <c r="N328"/>
  <c r="S328" s="1"/>
  <c r="M328"/>
  <c r="L328"/>
  <c r="K328"/>
  <c r="J328"/>
  <c r="I328"/>
  <c r="N327"/>
  <c r="N350" s="1"/>
  <c r="W369" s="1"/>
  <c r="M327"/>
  <c r="L327"/>
  <c r="K327"/>
  <c r="J327"/>
  <c r="I327"/>
  <c r="O308"/>
  <c r="R308" s="1"/>
  <c r="O307"/>
  <c r="R307" s="1"/>
  <c r="O306"/>
  <c r="R306" s="1"/>
  <c r="O305"/>
  <c r="R305" s="1"/>
  <c r="O304"/>
  <c r="R304" s="1"/>
  <c r="O303"/>
  <c r="R303" s="1"/>
  <c r="O302"/>
  <c r="R302" s="1"/>
  <c r="O301"/>
  <c r="R301" s="1"/>
  <c r="O300"/>
  <c r="R300" s="1"/>
  <c r="O299"/>
  <c r="R299" s="1"/>
  <c r="O298"/>
  <c r="R298" s="1"/>
  <c r="O297"/>
  <c r="R297" s="1"/>
  <c r="O296"/>
  <c r="R296" s="1"/>
  <c r="O295"/>
  <c r="R295" s="1"/>
  <c r="O294"/>
  <c r="R294" s="1"/>
  <c r="O293"/>
  <c r="R293" s="1"/>
  <c r="O292"/>
  <c r="R292" s="1"/>
  <c r="O291"/>
  <c r="R291" s="1"/>
  <c r="O290"/>
  <c r="R290" s="1"/>
  <c r="O288"/>
  <c r="R288" s="1"/>
  <c r="O287"/>
  <c r="R287" s="1"/>
  <c r="O286"/>
  <c r="R286" s="1"/>
  <c r="O285"/>
  <c r="R285" s="1"/>
  <c r="O284"/>
  <c r="R284" s="1"/>
  <c r="O283"/>
  <c r="R283" s="1"/>
  <c r="O282"/>
  <c r="R282" s="1"/>
  <c r="O281"/>
  <c r="R281" s="1"/>
  <c r="O280"/>
  <c r="R280" s="1"/>
  <c r="O278"/>
  <c r="R278" s="1"/>
  <c r="O277"/>
  <c r="R277" s="1"/>
  <c r="O276"/>
  <c r="R276" s="1"/>
  <c r="O275"/>
  <c r="R275" s="1"/>
  <c r="O274"/>
  <c r="R274" s="1"/>
  <c r="O273"/>
  <c r="R273" s="1"/>
  <c r="O272"/>
  <c r="R272" s="1"/>
  <c r="O271"/>
  <c r="R271" s="1"/>
  <c r="O270"/>
  <c r="R270" s="1"/>
  <c r="O269"/>
  <c r="R269" s="1"/>
  <c r="O268"/>
  <c r="R268" s="1"/>
  <c r="O267"/>
  <c r="R267" s="1"/>
  <c r="O266"/>
  <c r="R266" s="1"/>
  <c r="O265"/>
  <c r="R265" s="1"/>
  <c r="O264"/>
  <c r="R264" s="1"/>
  <c r="O263"/>
  <c r="R263" s="1"/>
  <c r="O262"/>
  <c r="R262" s="1"/>
  <c r="O258"/>
  <c r="R258" s="1"/>
  <c r="O257"/>
  <c r="R257" s="1"/>
  <c r="O256"/>
  <c r="R256" s="1"/>
  <c r="O255"/>
  <c r="R255" s="1"/>
  <c r="O254"/>
  <c r="R254" s="1"/>
  <c r="O253"/>
  <c r="R253" s="1"/>
  <c r="O252"/>
  <c r="R252" s="1"/>
  <c r="O251"/>
  <c r="R251" s="1"/>
  <c r="O250"/>
  <c r="R250" s="1"/>
  <c r="O249"/>
  <c r="R249" s="1"/>
  <c r="O248"/>
  <c r="R248" s="1"/>
  <c r="O247"/>
  <c r="R247" s="1"/>
  <c r="O246"/>
  <c r="R246" s="1"/>
  <c r="O245"/>
  <c r="R245" s="1"/>
  <c r="O244"/>
  <c r="R244" s="1"/>
  <c r="O243"/>
  <c r="R243" s="1"/>
  <c r="O242"/>
  <c r="R242" s="1"/>
  <c r="O241"/>
  <c r="R241" s="1"/>
  <c r="O240"/>
  <c r="R240" s="1"/>
  <c r="O239"/>
  <c r="R239" s="1"/>
  <c r="O238"/>
  <c r="R238" s="1"/>
  <c r="O237"/>
  <c r="R237" s="1"/>
  <c r="O236"/>
  <c r="R236" s="1"/>
  <c r="R207"/>
  <c r="O234"/>
  <c r="R234" s="1"/>
  <c r="O233"/>
  <c r="R233" s="1"/>
  <c r="O232"/>
  <c r="R232" s="1"/>
  <c r="O231"/>
  <c r="R231" s="1"/>
  <c r="O230"/>
  <c r="R230" s="1"/>
  <c r="O229"/>
  <c r="R229" s="1"/>
  <c r="O228"/>
  <c r="R228" s="1"/>
  <c r="O227"/>
  <c r="R227" s="1"/>
  <c r="O226"/>
  <c r="R226" s="1"/>
  <c r="O225"/>
  <c r="R225" s="1"/>
  <c r="O224"/>
  <c r="R224" s="1"/>
  <c r="O223"/>
  <c r="R223" s="1"/>
  <c r="O222"/>
  <c r="R222" s="1"/>
  <c r="O221"/>
  <c r="R221" s="1"/>
  <c r="O220"/>
  <c r="R220" s="1"/>
  <c r="O219"/>
  <c r="R219" s="1"/>
  <c r="O218"/>
  <c r="R218" s="1"/>
  <c r="O217"/>
  <c r="R217" s="1"/>
  <c r="O216"/>
  <c r="R216" s="1"/>
  <c r="O215"/>
  <c r="R215" s="1"/>
  <c r="O214"/>
  <c r="R214" s="1"/>
  <c r="O213"/>
  <c r="R213" s="1"/>
  <c r="O212"/>
  <c r="R212" s="1"/>
  <c r="O211"/>
  <c r="R211" s="1"/>
  <c r="O210"/>
  <c r="R210" s="1"/>
  <c r="O209"/>
  <c r="R209" s="1"/>
  <c r="O208"/>
  <c r="R208" s="1"/>
  <c r="O205"/>
  <c r="R205" s="1"/>
  <c r="O204"/>
  <c r="R204" s="1"/>
  <c r="O203"/>
  <c r="R203" s="1"/>
  <c r="O201"/>
  <c r="R201" s="1"/>
  <c r="O200"/>
  <c r="R200" s="1"/>
  <c r="O184"/>
  <c r="R184" s="1"/>
  <c r="O198"/>
  <c r="R198" s="1"/>
  <c r="O197"/>
  <c r="R197" s="1"/>
  <c r="O196"/>
  <c r="R196" s="1"/>
  <c r="O195"/>
  <c r="R195" s="1"/>
  <c r="O194"/>
  <c r="R194" s="1"/>
  <c r="O193"/>
  <c r="R193" s="1"/>
  <c r="O192"/>
  <c r="R192" s="1"/>
  <c r="O191"/>
  <c r="R191" s="1"/>
  <c r="O190"/>
  <c r="R190" s="1"/>
  <c r="O189"/>
  <c r="R189" s="1"/>
  <c r="O188"/>
  <c r="R188" s="1"/>
  <c r="O187"/>
  <c r="R187" s="1"/>
  <c r="O186"/>
  <c r="R186" s="1"/>
  <c r="O185"/>
  <c r="R185" s="1"/>
  <c r="O182"/>
  <c r="R182" s="1"/>
  <c r="O181"/>
  <c r="R181" s="1"/>
  <c r="O180"/>
  <c r="R180" s="1"/>
  <c r="O179"/>
  <c r="R179" s="1"/>
  <c r="O178"/>
  <c r="R178" s="1"/>
  <c r="O177"/>
  <c r="R177" s="1"/>
  <c r="O176"/>
  <c r="R176" s="1"/>
  <c r="O175"/>
  <c r="R175" s="1"/>
  <c r="O174"/>
  <c r="R174" s="1"/>
  <c r="O173"/>
  <c r="R173" s="1"/>
  <c r="O172"/>
  <c r="R172" s="1"/>
  <c r="O171"/>
  <c r="R171" s="1"/>
  <c r="O170"/>
  <c r="R170" s="1"/>
  <c r="O169"/>
  <c r="R169" s="1"/>
  <c r="O168"/>
  <c r="R168" s="1"/>
  <c r="O167"/>
  <c r="R167" s="1"/>
  <c r="O166"/>
  <c r="R166" s="1"/>
  <c r="O165"/>
  <c r="R165" s="1"/>
  <c r="O163"/>
  <c r="R163" s="1"/>
  <c r="O162"/>
  <c r="R162" s="1"/>
  <c r="O159"/>
  <c r="R159" s="1"/>
  <c r="O158"/>
  <c r="R158" s="1"/>
  <c r="O157"/>
  <c r="R157" s="1"/>
  <c r="O156"/>
  <c r="R156" s="1"/>
  <c r="O155"/>
  <c r="R155" s="1"/>
  <c r="O154"/>
  <c r="R154" s="1"/>
  <c r="O153"/>
  <c r="R153" s="1"/>
  <c r="O152"/>
  <c r="R152" s="1"/>
  <c r="O151"/>
  <c r="R151" s="1"/>
  <c r="O150"/>
  <c r="R150" s="1"/>
  <c r="O147"/>
  <c r="R147" s="1"/>
  <c r="O146"/>
  <c r="R146" s="1"/>
  <c r="O144"/>
  <c r="R144" s="1"/>
  <c r="O143"/>
  <c r="R143" s="1"/>
  <c r="O142"/>
  <c r="R142" s="1"/>
  <c r="O141"/>
  <c r="R141" s="1"/>
  <c r="O140"/>
  <c r="R140" s="1"/>
  <c r="O139"/>
  <c r="R139" s="1"/>
  <c r="O138"/>
  <c r="R138" s="1"/>
  <c r="O137"/>
  <c r="R137" s="1"/>
  <c r="O135"/>
  <c r="R135" s="1"/>
  <c r="O134"/>
  <c r="R134" s="1"/>
  <c r="O133"/>
  <c r="R133" s="1"/>
  <c r="O132"/>
  <c r="R132" s="1"/>
  <c r="O131"/>
  <c r="R131" s="1"/>
  <c r="O130"/>
  <c r="R130" s="1"/>
  <c r="O129"/>
  <c r="R129" s="1"/>
  <c r="O128"/>
  <c r="R128" s="1"/>
  <c r="O127"/>
  <c r="R127" s="1"/>
  <c r="O126"/>
  <c r="R126" s="1"/>
  <c r="O125"/>
  <c r="R125" s="1"/>
  <c r="O124"/>
  <c r="R124" s="1"/>
  <c r="O123"/>
  <c r="R123" s="1"/>
  <c r="O122"/>
  <c r="R122" s="1"/>
  <c r="O121"/>
  <c r="R121" s="1"/>
  <c r="O120"/>
  <c r="R120" s="1"/>
  <c r="O119"/>
  <c r="R119" s="1"/>
  <c r="O118"/>
  <c r="R118" s="1"/>
  <c r="O117"/>
  <c r="R117" s="1"/>
  <c r="O116"/>
  <c r="R116" s="1"/>
  <c r="O115"/>
  <c r="R115" s="1"/>
  <c r="O114"/>
  <c r="R114" s="1"/>
  <c r="O113"/>
  <c r="R113" s="1"/>
  <c r="O112"/>
  <c r="R112" s="1"/>
  <c r="O111"/>
  <c r="R111" s="1"/>
  <c r="O110"/>
  <c r="R110" s="1"/>
  <c r="O109"/>
  <c r="R109" s="1"/>
  <c r="O107"/>
  <c r="R107" s="1"/>
  <c r="O106"/>
  <c r="R106" s="1"/>
  <c r="O105"/>
  <c r="R105" s="1"/>
  <c r="O104"/>
  <c r="R104" s="1"/>
  <c r="O103"/>
  <c r="R103" s="1"/>
  <c r="O102"/>
  <c r="R102" s="1"/>
  <c r="O101"/>
  <c r="R101" s="1"/>
  <c r="O100"/>
  <c r="R100" s="1"/>
  <c r="O99"/>
  <c r="R99" s="1"/>
  <c r="O98"/>
  <c r="R98" s="1"/>
  <c r="O97"/>
  <c r="R97" s="1"/>
  <c r="O96"/>
  <c r="R96" s="1"/>
  <c r="O95"/>
  <c r="R95" s="1"/>
  <c r="O94"/>
  <c r="R94" s="1"/>
  <c r="O93"/>
  <c r="R93" s="1"/>
  <c r="O92"/>
  <c r="R92" s="1"/>
  <c r="O91"/>
  <c r="R91" s="1"/>
  <c r="O88"/>
  <c r="R88" s="1"/>
  <c r="O87"/>
  <c r="R87" s="1"/>
  <c r="O86"/>
  <c r="R86" s="1"/>
  <c r="O85"/>
  <c r="R85" s="1"/>
  <c r="O84"/>
  <c r="R84" s="1"/>
  <c r="O83"/>
  <c r="R83" s="1"/>
  <c r="O82"/>
  <c r="R82" s="1"/>
  <c r="O81"/>
  <c r="R81" s="1"/>
  <c r="O80"/>
  <c r="R80" s="1"/>
  <c r="O79"/>
  <c r="R79" s="1"/>
  <c r="O77"/>
  <c r="R77" s="1"/>
  <c r="O76"/>
  <c r="R76" s="1"/>
  <c r="O75"/>
  <c r="R75" s="1"/>
  <c r="O74"/>
  <c r="R74" s="1"/>
  <c r="O73"/>
  <c r="R73" s="1"/>
  <c r="O72"/>
  <c r="R72" s="1"/>
  <c r="O71"/>
  <c r="R71" s="1"/>
  <c r="O70"/>
  <c r="R70" s="1"/>
  <c r="O69"/>
  <c r="R69" s="1"/>
  <c r="O68"/>
  <c r="R68" s="1"/>
  <c r="O67"/>
  <c r="R67" s="1"/>
  <c r="O66"/>
  <c r="R66" s="1"/>
  <c r="O65"/>
  <c r="R65" s="1"/>
  <c r="O64"/>
  <c r="R64" s="1"/>
  <c r="O63"/>
  <c r="R63" s="1"/>
  <c r="O62"/>
  <c r="R62" s="1"/>
  <c r="O61"/>
  <c r="R61" s="1"/>
  <c r="O60"/>
  <c r="R60" s="1"/>
  <c r="O59"/>
  <c r="R59" s="1"/>
  <c r="O57"/>
  <c r="R57" s="1"/>
  <c r="O56"/>
  <c r="R56" s="1"/>
  <c r="O55"/>
  <c r="R55" s="1"/>
  <c r="O53"/>
  <c r="R53" s="1"/>
  <c r="O52"/>
  <c r="R52" s="1"/>
  <c r="O51"/>
  <c r="R51" s="1"/>
  <c r="O50"/>
  <c r="R50" s="1"/>
  <c r="O49"/>
  <c r="R49" s="1"/>
  <c r="O48"/>
  <c r="R48" s="1"/>
  <c r="O47"/>
  <c r="R47" s="1"/>
  <c r="O46"/>
  <c r="R46" s="1"/>
  <c r="O45"/>
  <c r="R45" s="1"/>
  <c r="O44"/>
  <c r="R44" s="1"/>
  <c r="O43"/>
  <c r="R43" s="1"/>
  <c r="O42"/>
  <c r="R42" s="1"/>
  <c r="O41"/>
  <c r="R41" s="1"/>
  <c r="O39"/>
  <c r="R39" s="1"/>
  <c r="O38"/>
  <c r="R38" s="1"/>
  <c r="O37"/>
  <c r="R37" s="1"/>
  <c r="O36"/>
  <c r="R36" s="1"/>
  <c r="O35"/>
  <c r="R35" s="1"/>
  <c r="O34"/>
  <c r="R34" s="1"/>
  <c r="O33"/>
  <c r="R33" s="1"/>
  <c r="O32"/>
  <c r="R32" s="1"/>
  <c r="O31"/>
  <c r="R31" s="1"/>
  <c r="O30"/>
  <c r="R30" s="1"/>
  <c r="O29"/>
  <c r="R29" s="1"/>
  <c r="O28"/>
  <c r="R28" s="1"/>
  <c r="O27"/>
  <c r="R27" s="1"/>
  <c r="X369" l="1"/>
  <c r="W371"/>
  <c r="X367" s="1"/>
  <c r="O327"/>
  <c r="R327" s="1"/>
  <c r="O328"/>
  <c r="R328" s="1"/>
  <c r="O342"/>
  <c r="R342" s="1"/>
  <c r="S327"/>
  <c r="X371" l="1"/>
  <c r="M197" i="4"/>
  <c r="M195"/>
  <c r="M193"/>
  <c r="M191"/>
  <c r="M185"/>
  <c r="M183"/>
  <c r="M181"/>
  <c r="M179"/>
  <c r="M161"/>
  <c r="M159"/>
  <c r="M157"/>
  <c r="M155"/>
  <c r="BU22"/>
  <c r="BU20"/>
  <c r="BU18"/>
  <c r="BA20"/>
  <c r="AY20"/>
  <c r="BE18"/>
  <c r="BC18"/>
  <c r="BA18"/>
  <c r="AY18"/>
  <c r="H155"/>
  <c r="H161" s="1"/>
  <c r="I159" s="1"/>
  <c r="F155"/>
  <c r="F161" s="1"/>
  <c r="G159" s="1"/>
  <c r="D155"/>
  <c r="D157"/>
  <c r="D161"/>
  <c r="E159" s="1"/>
  <c r="B155"/>
  <c r="B157"/>
  <c r="B161" s="1"/>
  <c r="AK12" i="3"/>
  <c r="AK14"/>
  <c r="AK10"/>
  <c r="AC14"/>
  <c r="AC12"/>
  <c r="AC10"/>
  <c r="AC16"/>
  <c r="AB16"/>
  <c r="AB10"/>
  <c r="BD18" i="4" l="1"/>
  <c r="AY24"/>
  <c r="AZ22" s="1"/>
  <c r="BA24"/>
  <c r="BB22" s="1"/>
  <c r="BC24"/>
  <c r="BE24"/>
  <c r="I155"/>
  <c r="I157"/>
  <c r="G155"/>
  <c r="G157"/>
  <c r="E155"/>
  <c r="E157"/>
  <c r="E161" s="1"/>
  <c r="C157"/>
  <c r="C159"/>
  <c r="C155"/>
  <c r="U111" i="2"/>
  <c r="CW267"/>
  <c r="DU312" s="1"/>
  <c r="DV312" s="1"/>
  <c r="CW245"/>
  <c r="DY312" s="1"/>
  <c r="DZ312" s="1"/>
  <c r="CW225"/>
  <c r="EC312" s="1"/>
  <c r="ED312" s="1"/>
  <c r="CW203"/>
  <c r="EG312" s="1"/>
  <c r="EH312" s="1"/>
  <c r="CW184"/>
  <c r="EK312" s="1"/>
  <c r="EL312" s="1"/>
  <c r="CW164"/>
  <c r="EO312" s="1"/>
  <c r="EP312" s="1"/>
  <c r="ER312" l="1"/>
  <c r="E117" s="1"/>
  <c r="BF22" i="4"/>
  <c r="BF20"/>
  <c r="BD22"/>
  <c r="BD20"/>
  <c r="BD24" s="1"/>
  <c r="BB20"/>
  <c r="BB18"/>
  <c r="BB24" s="1"/>
  <c r="BF18"/>
  <c r="BF24" s="1"/>
  <c r="AZ20"/>
  <c r="AZ18"/>
  <c r="AZ24" s="1"/>
  <c r="I161"/>
  <c r="G161"/>
  <c r="C161"/>
  <c r="CV267" i="2"/>
  <c r="CX267" s="1"/>
  <c r="CV245"/>
  <c r="CX245" s="1"/>
  <c r="CV225"/>
  <c r="CX225" s="1"/>
  <c r="CV203"/>
  <c r="CX203" s="1"/>
  <c r="CV184"/>
  <c r="CX184" s="1"/>
  <c r="CV164"/>
  <c r="CX164" s="1"/>
  <c r="AK16" i="3"/>
  <c r="BQ18" i="4"/>
  <c r="BQ24" s="1"/>
  <c r="BO18"/>
  <c r="BO24" s="1"/>
  <c r="BM18"/>
  <c r="BK24"/>
  <c r="BL22" s="1"/>
  <c r="BI22"/>
  <c r="BL20"/>
  <c r="BI18"/>
  <c r="BI24" s="1"/>
  <c r="BG18"/>
  <c r="AW18"/>
  <c r="AW24" s="1"/>
  <c r="K18"/>
  <c r="P10" i="3"/>
  <c r="B191" i="4"/>
  <c r="B197" s="1"/>
  <c r="H191"/>
  <c r="F191"/>
  <c r="H197"/>
  <c r="I193" s="1"/>
  <c r="B179"/>
  <c r="B183"/>
  <c r="B185" s="1"/>
  <c r="C183" s="1"/>
  <c r="B167"/>
  <c r="H66"/>
  <c r="H72" s="1"/>
  <c r="I68" s="1"/>
  <c r="H149"/>
  <c r="I145" s="1"/>
  <c r="B116"/>
  <c r="B30"/>
  <c r="B36" s="1"/>
  <c r="C34" s="1"/>
  <c r="B12"/>
  <c r="C10" s="1"/>
  <c r="T109" i="2"/>
  <c r="U109" s="1"/>
  <c r="Q107"/>
  <c r="Q106"/>
  <c r="O260" i="5"/>
  <c r="O259"/>
  <c r="R259" s="1"/>
  <c r="O160"/>
  <c r="R160" s="1"/>
  <c r="O89"/>
  <c r="R89" s="1"/>
  <c r="O25"/>
  <c r="R25" s="1"/>
  <c r="O24"/>
  <c r="R24" s="1"/>
  <c r="O23"/>
  <c r="O22"/>
  <c r="O21"/>
  <c r="F10" i="3"/>
  <c r="AU24" i="4"/>
  <c r="AV22" s="1"/>
  <c r="AS18"/>
  <c r="AQ18"/>
  <c r="AO18"/>
  <c r="AM18"/>
  <c r="AK24"/>
  <c r="AL22" s="1"/>
  <c r="AI24"/>
  <c r="AJ22" s="1"/>
  <c r="AE24"/>
  <c r="AF18" s="1"/>
  <c r="AG18"/>
  <c r="AG24" s="1"/>
  <c r="AC18"/>
  <c r="AA18"/>
  <c r="Y18"/>
  <c r="W18"/>
  <c r="U18"/>
  <c r="S18"/>
  <c r="Q18"/>
  <c r="O24"/>
  <c r="P20" s="1"/>
  <c r="M24"/>
  <c r="N22" s="1"/>
  <c r="P22"/>
  <c r="N20"/>
  <c r="P18"/>
  <c r="H109" i="2"/>
  <c r="B122" i="4"/>
  <c r="B128"/>
  <c r="B134" s="1"/>
  <c r="F197"/>
  <c r="G195" s="1"/>
  <c r="D197"/>
  <c r="E195" s="1"/>
  <c r="D185"/>
  <c r="E183" s="1"/>
  <c r="B173"/>
  <c r="F143"/>
  <c r="F149" s="1"/>
  <c r="G145" s="1"/>
  <c r="D143"/>
  <c r="B143"/>
  <c r="B149" s="1"/>
  <c r="D149"/>
  <c r="E147" s="1"/>
  <c r="B92"/>
  <c r="B98" s="1"/>
  <c r="C96" s="1"/>
  <c r="D79"/>
  <c r="D85" s="1"/>
  <c r="H85"/>
  <c r="I81" s="1"/>
  <c r="F85"/>
  <c r="G83" s="1"/>
  <c r="J66"/>
  <c r="J72" s="1"/>
  <c r="F66"/>
  <c r="F72" s="1"/>
  <c r="D66"/>
  <c r="D72" s="1"/>
  <c r="Q105" i="2" l="1"/>
  <c r="U105" s="1"/>
  <c r="U114" s="1"/>
  <c r="H117" s="1"/>
  <c r="I117" s="1"/>
  <c r="F117" s="1"/>
  <c r="J117" s="1"/>
  <c r="R356" i="5"/>
  <c r="R358" s="1"/>
  <c r="R22"/>
  <c r="R351" s="1"/>
  <c r="R354" s="1"/>
  <c r="I66" i="4"/>
  <c r="I70"/>
  <c r="I72" s="1"/>
  <c r="BL18"/>
  <c r="BL24" s="1"/>
  <c r="H119" i="2"/>
  <c r="H11"/>
  <c r="H15"/>
  <c r="H32"/>
  <c r="H36"/>
  <c r="H40"/>
  <c r="H57"/>
  <c r="H61"/>
  <c r="H65"/>
  <c r="H80"/>
  <c r="H82"/>
  <c r="H84"/>
  <c r="H86"/>
  <c r="H88"/>
  <c r="H90"/>
  <c r="H134"/>
  <c r="H136"/>
  <c r="H138"/>
  <c r="H140"/>
  <c r="H142"/>
  <c r="H144"/>
  <c r="H146"/>
  <c r="H149"/>
  <c r="H6"/>
  <c r="H8"/>
  <c r="H10"/>
  <c r="H12"/>
  <c r="H14"/>
  <c r="H16"/>
  <c r="H31"/>
  <c r="H33"/>
  <c r="H35"/>
  <c r="H37"/>
  <c r="H39"/>
  <c r="H41"/>
  <c r="H56"/>
  <c r="H58"/>
  <c r="H60"/>
  <c r="H62"/>
  <c r="H64"/>
  <c r="H66"/>
  <c r="H81"/>
  <c r="H83"/>
  <c r="H85"/>
  <c r="H87"/>
  <c r="H89"/>
  <c r="H133"/>
  <c r="H135"/>
  <c r="H137"/>
  <c r="H139"/>
  <c r="H141"/>
  <c r="H143"/>
  <c r="H145"/>
  <c r="H148"/>
  <c r="H150"/>
  <c r="BR22" i="4"/>
  <c r="BR20"/>
  <c r="BP22"/>
  <c r="BP20"/>
  <c r="BP18"/>
  <c r="BR18"/>
  <c r="BM24"/>
  <c r="BJ22"/>
  <c r="BJ20"/>
  <c r="BJ18"/>
  <c r="BG24"/>
  <c r="AX20"/>
  <c r="AX22"/>
  <c r="AX18"/>
  <c r="I143"/>
  <c r="I147"/>
  <c r="I191"/>
  <c r="I195"/>
  <c r="K24"/>
  <c r="E191"/>
  <c r="C193"/>
  <c r="C195"/>
  <c r="C191"/>
  <c r="E193"/>
  <c r="E197" s="1"/>
  <c r="B110"/>
  <c r="I83"/>
  <c r="AF20"/>
  <c r="C32"/>
  <c r="C30"/>
  <c r="P24"/>
  <c r="AJ18"/>
  <c r="C181"/>
  <c r="AF22"/>
  <c r="C8"/>
  <c r="C6"/>
  <c r="H104" i="2"/>
  <c r="H106"/>
  <c r="H108"/>
  <c r="H111"/>
  <c r="H113"/>
  <c r="H115"/>
  <c r="H118"/>
  <c r="H120"/>
  <c r="H103"/>
  <c r="H105"/>
  <c r="H107"/>
  <c r="H110"/>
  <c r="H112"/>
  <c r="H114"/>
  <c r="H116"/>
  <c r="AQ24" i="4"/>
  <c r="AS24"/>
  <c r="G143"/>
  <c r="G147"/>
  <c r="I79"/>
  <c r="G193"/>
  <c r="AF24"/>
  <c r="AV18"/>
  <c r="AV20"/>
  <c r="AO24"/>
  <c r="AM24"/>
  <c r="AH22"/>
  <c r="AH20"/>
  <c r="AH18"/>
  <c r="AL18"/>
  <c r="AL20"/>
  <c r="AJ20"/>
  <c r="U24"/>
  <c r="W24"/>
  <c r="Y24"/>
  <c r="AA24"/>
  <c r="AB18" s="1"/>
  <c r="AC24"/>
  <c r="S24"/>
  <c r="Q24"/>
  <c r="N18"/>
  <c r="E83"/>
  <c r="E81"/>
  <c r="C179"/>
  <c r="E181"/>
  <c r="G191"/>
  <c r="C118"/>
  <c r="C120"/>
  <c r="C116"/>
  <c r="E179"/>
  <c r="C169"/>
  <c r="C171"/>
  <c r="C167"/>
  <c r="E145"/>
  <c r="E143"/>
  <c r="C145"/>
  <c r="M145" s="1"/>
  <c r="C147"/>
  <c r="M147" s="1"/>
  <c r="C143"/>
  <c r="M143" s="1"/>
  <c r="C130"/>
  <c r="C132"/>
  <c r="C128"/>
  <c r="C94"/>
  <c r="C92"/>
  <c r="G81"/>
  <c r="G79"/>
  <c r="E79"/>
  <c r="B85"/>
  <c r="E70"/>
  <c r="E68"/>
  <c r="G70"/>
  <c r="G68"/>
  <c r="K70"/>
  <c r="K68"/>
  <c r="E66"/>
  <c r="G66"/>
  <c r="K66"/>
  <c r="B66"/>
  <c r="B54"/>
  <c r="B60" s="1"/>
  <c r="B42"/>
  <c r="B48" s="1"/>
  <c r="H63" i="2" l="1"/>
  <c r="H59"/>
  <c r="H55"/>
  <c r="H38"/>
  <c r="H34"/>
  <c r="H17"/>
  <c r="H13"/>
  <c r="H9"/>
  <c r="H7"/>
  <c r="R360" i="5"/>
  <c r="E8" i="7" s="1"/>
  <c r="B9" i="6"/>
  <c r="F8" i="7"/>
  <c r="F10" s="1"/>
  <c r="C185" i="4"/>
  <c r="BP24"/>
  <c r="I149"/>
  <c r="AX24"/>
  <c r="BR24"/>
  <c r="BN22"/>
  <c r="BN20"/>
  <c r="BN18"/>
  <c r="BJ24"/>
  <c r="BH22"/>
  <c r="BH20"/>
  <c r="BH18"/>
  <c r="G149"/>
  <c r="I197"/>
  <c r="L22"/>
  <c r="L20"/>
  <c r="L18"/>
  <c r="C197"/>
  <c r="I85"/>
  <c r="G85"/>
  <c r="C108"/>
  <c r="C106"/>
  <c r="C104"/>
  <c r="E149"/>
  <c r="C36"/>
  <c r="E85"/>
  <c r="AJ24"/>
  <c r="C98"/>
  <c r="AH24"/>
  <c r="C12"/>
  <c r="AR22"/>
  <c r="AR20"/>
  <c r="G197"/>
  <c r="AR18"/>
  <c r="AT22"/>
  <c r="AT20"/>
  <c r="AT18"/>
  <c r="AV24"/>
  <c r="AP22"/>
  <c r="AP20"/>
  <c r="AP18"/>
  <c r="AN22"/>
  <c r="AN20"/>
  <c r="AN18"/>
  <c r="AL24"/>
  <c r="AD22"/>
  <c r="AD20"/>
  <c r="Z22"/>
  <c r="Z20"/>
  <c r="V22"/>
  <c r="V20"/>
  <c r="AB20"/>
  <c r="AB22"/>
  <c r="X20"/>
  <c r="X22"/>
  <c r="Z18"/>
  <c r="AD18"/>
  <c r="V18"/>
  <c r="X18"/>
  <c r="T22"/>
  <c r="T20"/>
  <c r="T18"/>
  <c r="R22"/>
  <c r="R20"/>
  <c r="R18"/>
  <c r="N24"/>
  <c r="K72"/>
  <c r="G72"/>
  <c r="E185"/>
  <c r="C122"/>
  <c r="C173"/>
  <c r="C149"/>
  <c r="C134"/>
  <c r="C83"/>
  <c r="M83" s="1"/>
  <c r="C81"/>
  <c r="M81" s="1"/>
  <c r="C79"/>
  <c r="M79" s="1"/>
  <c r="E72"/>
  <c r="B72"/>
  <c r="C56"/>
  <c r="C58"/>
  <c r="C54"/>
  <c r="C46"/>
  <c r="C44"/>
  <c r="C42"/>
  <c r="D24"/>
  <c r="B24"/>
  <c r="D7" i="6" l="1"/>
  <c r="M149" i="4"/>
  <c r="D9" i="6"/>
  <c r="BN24" i="4"/>
  <c r="BH24"/>
  <c r="L24"/>
  <c r="C110"/>
  <c r="M85"/>
  <c r="AB24"/>
  <c r="AR24"/>
  <c r="D5" i="6"/>
  <c r="V24" i="4"/>
  <c r="AT24"/>
  <c r="AP24"/>
  <c r="AN24"/>
  <c r="X24"/>
  <c r="AD24"/>
  <c r="Z24"/>
  <c r="T24"/>
  <c r="R24"/>
  <c r="C85"/>
  <c r="C70"/>
  <c r="M70" s="1"/>
  <c r="C68"/>
  <c r="C66"/>
  <c r="M66" s="1"/>
  <c r="M72" s="1"/>
  <c r="C60"/>
  <c r="C48"/>
  <c r="C22"/>
  <c r="C20"/>
  <c r="C18"/>
  <c r="E22"/>
  <c r="E20"/>
  <c r="E18"/>
  <c r="L10" i="3"/>
  <c r="AH10"/>
  <c r="AF14"/>
  <c r="AF10"/>
  <c r="AD10"/>
  <c r="Z10"/>
  <c r="Z16" s="1"/>
  <c r="AA14" s="1"/>
  <c r="X10"/>
  <c r="V10"/>
  <c r="V16" s="1"/>
  <c r="W14" s="1"/>
  <c r="T10"/>
  <c r="T16" s="1"/>
  <c r="U14" s="1"/>
  <c r="N10"/>
  <c r="J10"/>
  <c r="H10"/>
  <c r="D10"/>
  <c r="D16" s="1"/>
  <c r="E14" s="1"/>
  <c r="B10"/>
  <c r="AH16"/>
  <c r="AI14" s="1"/>
  <c r="AD16"/>
  <c r="AE12" s="1"/>
  <c r="X16"/>
  <c r="Y12" s="1"/>
  <c r="R16"/>
  <c r="S12" s="1"/>
  <c r="P16"/>
  <c r="Q14" s="1"/>
  <c r="N16"/>
  <c r="O14" s="1"/>
  <c r="J16"/>
  <c r="K12" s="1"/>
  <c r="H16"/>
  <c r="I12" s="1"/>
  <c r="L16"/>
  <c r="M14" s="1"/>
  <c r="F16"/>
  <c r="G12" s="1"/>
  <c r="B16"/>
  <c r="I149" i="2"/>
  <c r="I146"/>
  <c r="I144"/>
  <c r="I133"/>
  <c r="DK267"/>
  <c r="DK245"/>
  <c r="DK225"/>
  <c r="DK203"/>
  <c r="DK184"/>
  <c r="DK164"/>
  <c r="DF267"/>
  <c r="DF245"/>
  <c r="DF225"/>
  <c r="DF203"/>
  <c r="DF184"/>
  <c r="DF164"/>
  <c r="DA267"/>
  <c r="DA245"/>
  <c r="DA225"/>
  <c r="DA203"/>
  <c r="DA184"/>
  <c r="DA164"/>
  <c r="CQ267"/>
  <c r="CQ245"/>
  <c r="CQ225"/>
  <c r="CQ203"/>
  <c r="CQ184"/>
  <c r="CQ164"/>
  <c r="CL267"/>
  <c r="CL245"/>
  <c r="CL225"/>
  <c r="CL203"/>
  <c r="CL184"/>
  <c r="CL164"/>
  <c r="CG267"/>
  <c r="CG245"/>
  <c r="CG225"/>
  <c r="CG203"/>
  <c r="CG184"/>
  <c r="CG164"/>
  <c r="CB267"/>
  <c r="CB245"/>
  <c r="CB225"/>
  <c r="CB203"/>
  <c r="CB184"/>
  <c r="CB164"/>
  <c r="BW267"/>
  <c r="BW245"/>
  <c r="BW225"/>
  <c r="BW203"/>
  <c r="BW184"/>
  <c r="BW164"/>
  <c r="BR267"/>
  <c r="BR245"/>
  <c r="BR225"/>
  <c r="BR203"/>
  <c r="BR184"/>
  <c r="BR164"/>
  <c r="BM267"/>
  <c r="BM245"/>
  <c r="BM225"/>
  <c r="BM203"/>
  <c r="BM184"/>
  <c r="BM164"/>
  <c r="BH267"/>
  <c r="BH245"/>
  <c r="BH225"/>
  <c r="BH203"/>
  <c r="BH184"/>
  <c r="BH164"/>
  <c r="BC267"/>
  <c r="BC245"/>
  <c r="BC225"/>
  <c r="BC203"/>
  <c r="BC184"/>
  <c r="BC164"/>
  <c r="AX267"/>
  <c r="AX245"/>
  <c r="AX225"/>
  <c r="AX203"/>
  <c r="AX184"/>
  <c r="AX164"/>
  <c r="AS267"/>
  <c r="AS245"/>
  <c r="AS225"/>
  <c r="AS203"/>
  <c r="AS184"/>
  <c r="AS164"/>
  <c r="AN267"/>
  <c r="AN245"/>
  <c r="AN225"/>
  <c r="AN203"/>
  <c r="AN184"/>
  <c r="AN164"/>
  <c r="AI267"/>
  <c r="AI245"/>
  <c r="AI225"/>
  <c r="AI203"/>
  <c r="AI184"/>
  <c r="AI164"/>
  <c r="AD267"/>
  <c r="AD245"/>
  <c r="AD225"/>
  <c r="AD203"/>
  <c r="AD184"/>
  <c r="AD164"/>
  <c r="G152"/>
  <c r="I134"/>
  <c r="I150"/>
  <c r="I148"/>
  <c r="I145"/>
  <c r="I143"/>
  <c r="I142"/>
  <c r="I141"/>
  <c r="I140"/>
  <c r="I139"/>
  <c r="I138"/>
  <c r="I137"/>
  <c r="I136"/>
  <c r="I135"/>
  <c r="A134"/>
  <c r="A135" s="1"/>
  <c r="A136" s="1"/>
  <c r="A137" s="1"/>
  <c r="A138" s="1"/>
  <c r="A139" s="1"/>
  <c r="A140" s="1"/>
  <c r="A141" s="1"/>
  <c r="A142" s="1"/>
  <c r="A143" s="1"/>
  <c r="A144" s="1"/>
  <c r="A145" s="1"/>
  <c r="A146" s="1"/>
  <c r="G103"/>
  <c r="G104"/>
  <c r="G105"/>
  <c r="G106"/>
  <c r="G107"/>
  <c r="G108"/>
  <c r="G109"/>
  <c r="G110"/>
  <c r="G111"/>
  <c r="G112"/>
  <c r="G113"/>
  <c r="G114"/>
  <c r="G115"/>
  <c r="G116"/>
  <c r="G118"/>
  <c r="G119"/>
  <c r="G120"/>
  <c r="A104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I107"/>
  <c r="B5" i="6" l="1"/>
  <c r="B11" s="1"/>
  <c r="AM14" i="3"/>
  <c r="AL14"/>
  <c r="G18" i="4"/>
  <c r="G22"/>
  <c r="D11" i="6"/>
  <c r="G20" i="4"/>
  <c r="BU24"/>
  <c r="I103" i="2"/>
  <c r="AF16" i="3"/>
  <c r="AG14" s="1"/>
  <c r="C72" i="4"/>
  <c r="E24"/>
  <c r="C24"/>
  <c r="M12" i="3"/>
  <c r="M10"/>
  <c r="AI12"/>
  <c r="AI10"/>
  <c r="AG12"/>
  <c r="AG10"/>
  <c r="AE10"/>
  <c r="AE14"/>
  <c r="AA12"/>
  <c r="AA10"/>
  <c r="Y10"/>
  <c r="Y14"/>
  <c r="W12"/>
  <c r="W10"/>
  <c r="U12"/>
  <c r="U10"/>
  <c r="S10"/>
  <c r="S14"/>
  <c r="Q12"/>
  <c r="Q10"/>
  <c r="O12"/>
  <c r="O10"/>
  <c r="K14"/>
  <c r="K10"/>
  <c r="K16" s="1"/>
  <c r="I10"/>
  <c r="I14"/>
  <c r="G14"/>
  <c r="G10"/>
  <c r="C10"/>
  <c r="C12"/>
  <c r="C7" i="6" s="1"/>
  <c r="E12" i="3"/>
  <c r="E10"/>
  <c r="I115" i="2"/>
  <c r="I90"/>
  <c r="I89"/>
  <c r="I87"/>
  <c r="I86"/>
  <c r="I85"/>
  <c r="I84"/>
  <c r="I83"/>
  <c r="I82"/>
  <c r="I81"/>
  <c r="A81"/>
  <c r="A82" s="1"/>
  <c r="A83" s="1"/>
  <c r="A84" s="1"/>
  <c r="A85" s="1"/>
  <c r="A86" s="1"/>
  <c r="A87" s="1"/>
  <c r="A88" s="1"/>
  <c r="A89" s="1"/>
  <c r="A90" s="1"/>
  <c r="I80"/>
  <c r="I66"/>
  <c r="I65"/>
  <c r="I64"/>
  <c r="I63"/>
  <c r="I62"/>
  <c r="I61"/>
  <c r="I60"/>
  <c r="I59"/>
  <c r="I58"/>
  <c r="I57"/>
  <c r="I56"/>
  <c r="A56"/>
  <c r="A57" s="1"/>
  <c r="A58" s="1"/>
  <c r="A59" s="1"/>
  <c r="A60" s="1"/>
  <c r="A61" s="1"/>
  <c r="A62" s="1"/>
  <c r="A63" s="1"/>
  <c r="A64" s="1"/>
  <c r="A65" s="1"/>
  <c r="A66" s="1"/>
  <c r="I55"/>
  <c r="I41"/>
  <c r="I40"/>
  <c r="I39"/>
  <c r="I38"/>
  <c r="I37"/>
  <c r="I36"/>
  <c r="I35"/>
  <c r="I34"/>
  <c r="I33"/>
  <c r="I32"/>
  <c r="I31"/>
  <c r="I120"/>
  <c r="I119"/>
  <c r="I118"/>
  <c r="I116"/>
  <c r="I114"/>
  <c r="I12"/>
  <c r="I111"/>
  <c r="I10"/>
  <c r="I108"/>
  <c r="I104"/>
  <c r="DL267"/>
  <c r="DL245"/>
  <c r="DL225"/>
  <c r="DL203"/>
  <c r="DL184"/>
  <c r="EK315" s="1"/>
  <c r="EL315" s="1"/>
  <c r="DL164"/>
  <c r="CM267"/>
  <c r="CM245"/>
  <c r="CM225"/>
  <c r="CM203"/>
  <c r="CN203" s="1"/>
  <c r="CM184"/>
  <c r="CM164"/>
  <c r="CH267"/>
  <c r="DU309" s="1"/>
  <c r="DV309" s="1"/>
  <c r="CH245"/>
  <c r="CH225"/>
  <c r="CH203"/>
  <c r="CH184"/>
  <c r="CH164"/>
  <c r="BX267"/>
  <c r="BX245"/>
  <c r="BX225"/>
  <c r="BX203"/>
  <c r="BX184"/>
  <c r="BX164"/>
  <c r="BI267"/>
  <c r="BI245"/>
  <c r="BI225"/>
  <c r="BI203"/>
  <c r="BI184"/>
  <c r="BI164"/>
  <c r="DG267"/>
  <c r="DG245"/>
  <c r="DG225"/>
  <c r="DG203"/>
  <c r="DG184"/>
  <c r="DG164"/>
  <c r="DB267"/>
  <c r="DB245"/>
  <c r="DB225"/>
  <c r="DB203"/>
  <c r="DB184"/>
  <c r="DB164"/>
  <c r="CC267"/>
  <c r="CC245"/>
  <c r="CC225"/>
  <c r="CC203"/>
  <c r="CD203" s="1"/>
  <c r="CC184"/>
  <c r="CC164"/>
  <c r="AY267"/>
  <c r="AY245"/>
  <c r="AY225"/>
  <c r="AY203"/>
  <c r="AY184"/>
  <c r="AY164"/>
  <c r="AO267"/>
  <c r="AO245"/>
  <c r="AO225"/>
  <c r="AO203"/>
  <c r="AO184"/>
  <c r="AO164"/>
  <c r="AJ267"/>
  <c r="AJ245"/>
  <c r="AJ225"/>
  <c r="AJ203"/>
  <c r="AJ184"/>
  <c r="AJ164"/>
  <c r="AE267"/>
  <c r="AE245"/>
  <c r="AE225"/>
  <c r="AE203"/>
  <c r="AE184"/>
  <c r="AE164"/>
  <c r="CR267"/>
  <c r="CR245"/>
  <c r="CR225"/>
  <c r="EC311" s="1"/>
  <c r="ED311" s="1"/>
  <c r="CR203"/>
  <c r="CR184"/>
  <c r="CR164"/>
  <c r="BS267"/>
  <c r="BS245"/>
  <c r="BS225"/>
  <c r="BS203"/>
  <c r="BS184"/>
  <c r="BS164"/>
  <c r="BN267"/>
  <c r="BN245"/>
  <c r="BN225"/>
  <c r="BN203"/>
  <c r="BN184"/>
  <c r="BN164"/>
  <c r="BD267"/>
  <c r="BD245"/>
  <c r="BD225"/>
  <c r="BD203"/>
  <c r="BD184"/>
  <c r="BD164"/>
  <c r="AT267"/>
  <c r="AT245"/>
  <c r="AT225"/>
  <c r="AT203"/>
  <c r="AT184"/>
  <c r="AT164"/>
  <c r="DM184"/>
  <c r="A32"/>
  <c r="A33" s="1"/>
  <c r="A34" s="1"/>
  <c r="A35" s="1"/>
  <c r="A36" s="1"/>
  <c r="A37" s="1"/>
  <c r="A38" s="1"/>
  <c r="A39" s="1"/>
  <c r="A40" s="1"/>
  <c r="A41" s="1"/>
  <c r="A7"/>
  <c r="A8" s="1"/>
  <c r="A9" s="1"/>
  <c r="A10" s="1"/>
  <c r="A11" s="1"/>
  <c r="A8" i="1"/>
  <c r="CI267" i="2" l="1"/>
  <c r="CS225"/>
  <c r="BE164"/>
  <c r="EO303"/>
  <c r="EP303" s="1"/>
  <c r="BE203"/>
  <c r="EG303"/>
  <c r="EH303" s="1"/>
  <c r="BE245"/>
  <c r="DY303"/>
  <c r="DZ303" s="1"/>
  <c r="BO164"/>
  <c r="EO305"/>
  <c r="EP305" s="1"/>
  <c r="BO203"/>
  <c r="EG305"/>
  <c r="EH305" s="1"/>
  <c r="BO245"/>
  <c r="DY305"/>
  <c r="DZ305" s="1"/>
  <c r="BT164"/>
  <c r="EO306"/>
  <c r="EP306" s="1"/>
  <c r="BT203"/>
  <c r="EG306"/>
  <c r="EH306" s="1"/>
  <c r="BT245"/>
  <c r="DY306"/>
  <c r="DZ306" s="1"/>
  <c r="CS164"/>
  <c r="EO311"/>
  <c r="EP311" s="1"/>
  <c r="CS203"/>
  <c r="EG311"/>
  <c r="EH311" s="1"/>
  <c r="CS245"/>
  <c r="DY311"/>
  <c r="DZ311" s="1"/>
  <c r="AZ164"/>
  <c r="EO302"/>
  <c r="EP302" s="1"/>
  <c r="AZ203"/>
  <c r="EG302"/>
  <c r="EH302" s="1"/>
  <c r="AZ245"/>
  <c r="DY302"/>
  <c r="DZ302" s="1"/>
  <c r="CD164"/>
  <c r="EO308"/>
  <c r="EP308" s="1"/>
  <c r="CD245"/>
  <c r="DY308"/>
  <c r="DZ308" s="1"/>
  <c r="DC164"/>
  <c r="EO313"/>
  <c r="EP313" s="1"/>
  <c r="DC203"/>
  <c r="EG313"/>
  <c r="EH313" s="1"/>
  <c r="DC245"/>
  <c r="DY313"/>
  <c r="DZ313" s="1"/>
  <c r="DH164"/>
  <c r="EO314"/>
  <c r="EP314" s="1"/>
  <c r="DH203"/>
  <c r="EG314"/>
  <c r="EH314" s="1"/>
  <c r="DH245"/>
  <c r="DY314"/>
  <c r="DZ314" s="1"/>
  <c r="BJ164"/>
  <c r="EO304"/>
  <c r="EP304" s="1"/>
  <c r="BJ203"/>
  <c r="EG304"/>
  <c r="EH304" s="1"/>
  <c r="BJ245"/>
  <c r="DY304"/>
  <c r="DZ304" s="1"/>
  <c r="BY164"/>
  <c r="EO307"/>
  <c r="EP307" s="1"/>
  <c r="BY203"/>
  <c r="EG307"/>
  <c r="EH307" s="1"/>
  <c r="BY245"/>
  <c r="DY307"/>
  <c r="DZ307" s="1"/>
  <c r="CI164"/>
  <c r="EO309"/>
  <c r="EP309" s="1"/>
  <c r="CI203"/>
  <c r="EG309"/>
  <c r="EH309" s="1"/>
  <c r="CI245"/>
  <c r="DY309"/>
  <c r="DZ309" s="1"/>
  <c r="CN164"/>
  <c r="EO310"/>
  <c r="EP310" s="1"/>
  <c r="CN245"/>
  <c r="DY310"/>
  <c r="DZ310" s="1"/>
  <c r="DM164"/>
  <c r="EO315"/>
  <c r="EP315" s="1"/>
  <c r="DM203"/>
  <c r="EG315"/>
  <c r="EH315" s="1"/>
  <c r="DM245"/>
  <c r="DY315"/>
  <c r="DZ315" s="1"/>
  <c r="BE184"/>
  <c r="EK303"/>
  <c r="EL303" s="1"/>
  <c r="BE225"/>
  <c r="EC303"/>
  <c r="ED303" s="1"/>
  <c r="BE267"/>
  <c r="DU303"/>
  <c r="DV303" s="1"/>
  <c r="ER303" s="1"/>
  <c r="E108" s="1"/>
  <c r="BO184"/>
  <c r="EK305"/>
  <c r="EL305" s="1"/>
  <c r="BO225"/>
  <c r="EC305"/>
  <c r="ED305" s="1"/>
  <c r="BO267"/>
  <c r="DU305"/>
  <c r="DV305" s="1"/>
  <c r="ER305" s="1"/>
  <c r="E110" s="1"/>
  <c r="BT184"/>
  <c r="EK306"/>
  <c r="EL306" s="1"/>
  <c r="BT225"/>
  <c r="EC306"/>
  <c r="ED306" s="1"/>
  <c r="BT267"/>
  <c r="DU306"/>
  <c r="DV306" s="1"/>
  <c r="ER306" s="1"/>
  <c r="E111" s="1"/>
  <c r="CS184"/>
  <c r="EK311"/>
  <c r="EL311" s="1"/>
  <c r="CS267"/>
  <c r="DU311"/>
  <c r="DV311" s="1"/>
  <c r="ER311" s="1"/>
  <c r="E116" s="1"/>
  <c r="AZ184"/>
  <c r="EK302"/>
  <c r="EL302" s="1"/>
  <c r="AZ225"/>
  <c r="EC302"/>
  <c r="ED302" s="1"/>
  <c r="AZ267"/>
  <c r="DU302"/>
  <c r="DV302" s="1"/>
  <c r="ER302" s="1"/>
  <c r="E107" s="1"/>
  <c r="CD184"/>
  <c r="EK308"/>
  <c r="EL308" s="1"/>
  <c r="CD225"/>
  <c r="EG308"/>
  <c r="EH308" s="1"/>
  <c r="EC308"/>
  <c r="ED308" s="1"/>
  <c r="CD267"/>
  <c r="E12" s="1"/>
  <c r="DU308"/>
  <c r="DV308" s="1"/>
  <c r="DC184"/>
  <c r="EK313"/>
  <c r="EL313" s="1"/>
  <c r="DC225"/>
  <c r="EC313"/>
  <c r="ED313" s="1"/>
  <c r="DC267"/>
  <c r="DU313"/>
  <c r="DV313" s="1"/>
  <c r="DH184"/>
  <c r="EK314"/>
  <c r="EL314" s="1"/>
  <c r="DH225"/>
  <c r="EC314"/>
  <c r="ED314" s="1"/>
  <c r="DH267"/>
  <c r="DU314"/>
  <c r="DV314" s="1"/>
  <c r="BJ184"/>
  <c r="EK304"/>
  <c r="EL304" s="1"/>
  <c r="BJ225"/>
  <c r="EC304"/>
  <c r="ED304" s="1"/>
  <c r="BJ267"/>
  <c r="DU304"/>
  <c r="DV304" s="1"/>
  <c r="BY184"/>
  <c r="EK307"/>
  <c r="EL307" s="1"/>
  <c r="BY225"/>
  <c r="EC307"/>
  <c r="ED307" s="1"/>
  <c r="BY267"/>
  <c r="DU307"/>
  <c r="DV307" s="1"/>
  <c r="CI184"/>
  <c r="EK309"/>
  <c r="EL309" s="1"/>
  <c r="CI225"/>
  <c r="EC309"/>
  <c r="ED309" s="1"/>
  <c r="CN184"/>
  <c r="EK310"/>
  <c r="EL310" s="1"/>
  <c r="CN225"/>
  <c r="EG310"/>
  <c r="EH310" s="1"/>
  <c r="EC310"/>
  <c r="ED310" s="1"/>
  <c r="CN267"/>
  <c r="DU310"/>
  <c r="DV310" s="1"/>
  <c r="DM225"/>
  <c r="EC315"/>
  <c r="ED315" s="1"/>
  <c r="DM267"/>
  <c r="DU315"/>
  <c r="DV315" s="1"/>
  <c r="ER315" s="1"/>
  <c r="E120" s="1"/>
  <c r="AU184"/>
  <c r="EK301"/>
  <c r="EL301" s="1"/>
  <c r="AF225"/>
  <c r="EC298"/>
  <c r="ED298" s="1"/>
  <c r="AF267"/>
  <c r="DU298"/>
  <c r="DV298" s="1"/>
  <c r="AK225"/>
  <c r="EC299"/>
  <c r="ED299" s="1"/>
  <c r="AK267"/>
  <c r="DU299"/>
  <c r="DV299" s="1"/>
  <c r="AP225"/>
  <c r="EC300"/>
  <c r="ED300" s="1"/>
  <c r="AP267"/>
  <c r="DU300"/>
  <c r="DV300" s="1"/>
  <c r="AU164"/>
  <c r="EO301"/>
  <c r="EP301" s="1"/>
  <c r="AU203"/>
  <c r="EG301"/>
  <c r="EH301" s="1"/>
  <c r="AU245"/>
  <c r="DY301"/>
  <c r="DZ301" s="1"/>
  <c r="AF164"/>
  <c r="EO298"/>
  <c r="EP298" s="1"/>
  <c r="AF203"/>
  <c r="EG298"/>
  <c r="EH298" s="1"/>
  <c r="AF245"/>
  <c r="DY298"/>
  <c r="DZ298" s="1"/>
  <c r="AK164"/>
  <c r="EO299"/>
  <c r="EP299" s="1"/>
  <c r="AK203"/>
  <c r="EG299"/>
  <c r="EH299" s="1"/>
  <c r="AK245"/>
  <c r="DY299"/>
  <c r="DZ299" s="1"/>
  <c r="AP164"/>
  <c r="EO300"/>
  <c r="EP300" s="1"/>
  <c r="AP203"/>
  <c r="EG300"/>
  <c r="EH300" s="1"/>
  <c r="AP245"/>
  <c r="DY300"/>
  <c r="DZ300" s="1"/>
  <c r="AU225"/>
  <c r="EC301"/>
  <c r="ED301" s="1"/>
  <c r="AU267"/>
  <c r="DU301"/>
  <c r="DV301" s="1"/>
  <c r="ER301" s="1"/>
  <c r="E106" s="1"/>
  <c r="AF184"/>
  <c r="EK298"/>
  <c r="EL298" s="1"/>
  <c r="AK184"/>
  <c r="EK299"/>
  <c r="EL299" s="1"/>
  <c r="AP184"/>
  <c r="EK300"/>
  <c r="EL300" s="1"/>
  <c r="AL10" i="3"/>
  <c r="AM10"/>
  <c r="G24" i="4"/>
  <c r="S16" i="3"/>
  <c r="Y16"/>
  <c r="AE16"/>
  <c r="AA16"/>
  <c r="AI16"/>
  <c r="G16"/>
  <c r="C9" i="6"/>
  <c r="C5"/>
  <c r="M16" i="3"/>
  <c r="AG16"/>
  <c r="W16"/>
  <c r="U16"/>
  <c r="Q16"/>
  <c r="O16"/>
  <c r="I16"/>
  <c r="E16"/>
  <c r="C16"/>
  <c r="I105" i="2"/>
  <c r="I106"/>
  <c r="E8"/>
  <c r="E9"/>
  <c r="E10"/>
  <c r="E11"/>
  <c r="E6"/>
  <c r="E34"/>
  <c r="E17"/>
  <c r="I7"/>
  <c r="I8"/>
  <c r="I9"/>
  <c r="I11"/>
  <c r="I13"/>
  <c r="I14"/>
  <c r="I15"/>
  <c r="I16"/>
  <c r="I17"/>
  <c r="I109"/>
  <c r="I110"/>
  <c r="I112"/>
  <c r="I113"/>
  <c r="I6"/>
  <c r="I88"/>
  <c r="A12"/>
  <c r="A13" s="1"/>
  <c r="A14" s="1"/>
  <c r="A15" s="1"/>
  <c r="A16" s="1"/>
  <c r="A17" s="1"/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E15" i="2" l="1"/>
  <c r="ER309"/>
  <c r="E114" s="1"/>
  <c r="E35"/>
  <c r="E14"/>
  <c r="E63" s="1"/>
  <c r="F63" s="1"/>
  <c r="J63" s="1"/>
  <c r="E13"/>
  <c r="E7"/>
  <c r="F7" s="1"/>
  <c r="J7" s="1"/>
  <c r="E31"/>
  <c r="F31" s="1"/>
  <c r="J31" s="1"/>
  <c r="E39"/>
  <c r="E88" s="1"/>
  <c r="E36"/>
  <c r="F36" s="1"/>
  <c r="J36" s="1"/>
  <c r="E16"/>
  <c r="F16" s="1"/>
  <c r="J16" s="1"/>
  <c r="ER307"/>
  <c r="E112" s="1"/>
  <c r="ER304"/>
  <c r="E109" s="1"/>
  <c r="ER314"/>
  <c r="E119" s="1"/>
  <c r="ER313"/>
  <c r="E118" s="1"/>
  <c r="ER308"/>
  <c r="E113" s="1"/>
  <c r="ER300"/>
  <c r="E105" s="1"/>
  <c r="E135" s="1"/>
  <c r="F135" s="1"/>
  <c r="J135" s="1"/>
  <c r="ER299"/>
  <c r="E104" s="1"/>
  <c r="ER298"/>
  <c r="E103" s="1"/>
  <c r="ER310"/>
  <c r="E115" s="1"/>
  <c r="C11" i="6"/>
  <c r="E66" i="2"/>
  <c r="F66" s="1"/>
  <c r="J66" s="1"/>
  <c r="F17"/>
  <c r="F15"/>
  <c r="J15" s="1"/>
  <c r="E64"/>
  <c r="F64" s="1"/>
  <c r="J64" s="1"/>
  <c r="F14"/>
  <c r="J14" s="1"/>
  <c r="F13"/>
  <c r="E62"/>
  <c r="F62" s="1"/>
  <c r="J62" s="1"/>
  <c r="F12"/>
  <c r="E61"/>
  <c r="F61" s="1"/>
  <c r="J61" s="1"/>
  <c r="E60"/>
  <c r="F60" s="1"/>
  <c r="J60" s="1"/>
  <c r="F11"/>
  <c r="J11" s="1"/>
  <c r="F10"/>
  <c r="J10" s="1"/>
  <c r="E59"/>
  <c r="F59" s="1"/>
  <c r="J59" s="1"/>
  <c r="E140"/>
  <c r="F140" s="1"/>
  <c r="J140" s="1"/>
  <c r="F35"/>
  <c r="J35" s="1"/>
  <c r="E84"/>
  <c r="F9"/>
  <c r="J9" s="1"/>
  <c r="E58"/>
  <c r="F58" s="1"/>
  <c r="J58" s="1"/>
  <c r="F34"/>
  <c r="J34" s="1"/>
  <c r="E83"/>
  <c r="F8"/>
  <c r="J8" s="1"/>
  <c r="E57"/>
  <c r="F57" s="1"/>
  <c r="J57" s="1"/>
  <c r="E55"/>
  <c r="F55" s="1"/>
  <c r="J55" s="1"/>
  <c r="F6"/>
  <c r="E80"/>
  <c r="E38"/>
  <c r="E32"/>
  <c r="E33"/>
  <c r="E41"/>
  <c r="E37"/>
  <c r="E56" l="1"/>
  <c r="F56" s="1"/>
  <c r="J56" s="1"/>
  <c r="F39"/>
  <c r="J39" s="1"/>
  <c r="E65"/>
  <c r="F65" s="1"/>
  <c r="J65" s="1"/>
  <c r="E40"/>
  <c r="F40" s="1"/>
  <c r="J40" s="1"/>
  <c r="E85"/>
  <c r="F110"/>
  <c r="J110" s="1"/>
  <c r="F41"/>
  <c r="J41" s="1"/>
  <c r="E90"/>
  <c r="F90" s="1"/>
  <c r="J90" s="1"/>
  <c r="J70"/>
  <c r="J68"/>
  <c r="E148"/>
  <c r="F148" s="1"/>
  <c r="J148" s="1"/>
  <c r="F118"/>
  <c r="J118" s="1"/>
  <c r="F88"/>
  <c r="J88" s="1"/>
  <c r="F38"/>
  <c r="J38" s="1"/>
  <c r="E87"/>
  <c r="F37"/>
  <c r="J37" s="1"/>
  <c r="E86"/>
  <c r="F86" s="1"/>
  <c r="J86" s="1"/>
  <c r="F85"/>
  <c r="J85" s="1"/>
  <c r="E141"/>
  <c r="F141" s="1"/>
  <c r="J141" s="1"/>
  <c r="F111"/>
  <c r="J111" s="1"/>
  <c r="F84"/>
  <c r="J84" s="1"/>
  <c r="J71"/>
  <c r="F83"/>
  <c r="J83" s="1"/>
  <c r="E138"/>
  <c r="F138" s="1"/>
  <c r="J138" s="1"/>
  <c r="F108"/>
  <c r="J108" s="1"/>
  <c r="F33"/>
  <c r="J33" s="1"/>
  <c r="E82"/>
  <c r="F82" s="1"/>
  <c r="J82" s="1"/>
  <c r="J69"/>
  <c r="F105"/>
  <c r="J105" s="1"/>
  <c r="E134"/>
  <c r="F134" s="1"/>
  <c r="J134" s="1"/>
  <c r="F104"/>
  <c r="J104" s="1"/>
  <c r="F32"/>
  <c r="J32" s="1"/>
  <c r="E81"/>
  <c r="F81" s="1"/>
  <c r="J81" s="1"/>
  <c r="F80"/>
  <c r="J80" s="1"/>
  <c r="J6"/>
  <c r="J12"/>
  <c r="J17"/>
  <c r="J13"/>
  <c r="E89" l="1"/>
  <c r="F89" s="1"/>
  <c r="J89" s="1"/>
  <c r="E150"/>
  <c r="F150" s="1"/>
  <c r="J150" s="1"/>
  <c r="F120"/>
  <c r="J120" s="1"/>
  <c r="E149"/>
  <c r="F149" s="1"/>
  <c r="J149" s="1"/>
  <c r="F119"/>
  <c r="J119" s="1"/>
  <c r="E145"/>
  <c r="F145" s="1"/>
  <c r="J145" s="1"/>
  <c r="F115"/>
  <c r="J115" s="1"/>
  <c r="F87"/>
  <c r="J87" s="1"/>
  <c r="J95" s="1"/>
  <c r="E146"/>
  <c r="F146" s="1"/>
  <c r="J146" s="1"/>
  <c r="F116"/>
  <c r="J116" s="1"/>
  <c r="E143"/>
  <c r="F143" s="1"/>
  <c r="J143" s="1"/>
  <c r="F113"/>
  <c r="J113" s="1"/>
  <c r="J45"/>
  <c r="E142"/>
  <c r="F142" s="1"/>
  <c r="J142" s="1"/>
  <c r="F112"/>
  <c r="J112" s="1"/>
  <c r="E139"/>
  <c r="F139" s="1"/>
  <c r="J139" s="1"/>
  <c r="F109"/>
  <c r="J109" s="1"/>
  <c r="E137"/>
  <c r="F137" s="1"/>
  <c r="J137" s="1"/>
  <c r="F107"/>
  <c r="J107" s="1"/>
  <c r="E136"/>
  <c r="F136" s="1"/>
  <c r="J136" s="1"/>
  <c r="F106"/>
  <c r="J106" s="1"/>
  <c r="J46"/>
  <c r="J21"/>
  <c r="J22"/>
  <c r="E133"/>
  <c r="F133" s="1"/>
  <c r="J133" s="1"/>
  <c r="F103"/>
  <c r="J103" s="1"/>
  <c r="J20"/>
  <c r="J19"/>
  <c r="J44"/>
  <c r="J43"/>
  <c r="J94" l="1"/>
  <c r="J93"/>
  <c r="E144"/>
  <c r="F144" s="1"/>
  <c r="J144" s="1"/>
  <c r="J153" s="1"/>
  <c r="F114"/>
  <c r="J114" s="1"/>
  <c r="H124" s="1"/>
  <c r="J92"/>
  <c r="J122"/>
  <c r="J155"/>
  <c r="J154" l="1"/>
  <c r="J123"/>
  <c r="J152"/>
  <c r="J124"/>
</calcChain>
</file>

<file path=xl/comments1.xml><?xml version="1.0" encoding="utf-8"?>
<comments xmlns="http://schemas.openxmlformats.org/spreadsheetml/2006/main">
  <authors>
    <author>Dave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Dave:</t>
        </r>
        <r>
          <rPr>
            <sz val="9"/>
            <color indexed="81"/>
            <rFont val="Tahoma"/>
            <family val="2"/>
          </rPr>
          <t xml:space="preserve">
Does not include system restoration bonds or transition bonds. These are paid by untouchable revenue flow trhoughs. </t>
        </r>
      </text>
    </comment>
  </commentList>
</comments>
</file>

<file path=xl/comments2.xml><?xml version="1.0" encoding="utf-8"?>
<comments xmlns="http://schemas.openxmlformats.org/spreadsheetml/2006/main">
  <authors>
    <author>Dave</author>
  </authors>
  <commentList>
    <comment ref="BI18" authorId="0">
      <text>
        <r>
          <rPr>
            <b/>
            <sz val="9"/>
            <color indexed="81"/>
            <rFont val="Tahoma"/>
            <family val="2"/>
          </rPr>
          <t>Dave:</t>
        </r>
        <r>
          <rPr>
            <sz val="9"/>
            <color indexed="81"/>
            <rFont val="Tahoma"/>
            <family val="2"/>
          </rPr>
          <t xml:space="preserve">
Includes $147 variable rate notes listed as long-term debt on p. 256.1.</t>
        </r>
      </text>
    </comment>
    <comment ref="B179" authorId="0">
      <text>
        <r>
          <rPr>
            <b/>
            <sz val="9"/>
            <color indexed="81"/>
            <rFont val="Tahoma"/>
            <family val="2"/>
          </rPr>
          <t>Dave:</t>
        </r>
        <r>
          <rPr>
            <sz val="9"/>
            <color indexed="81"/>
            <rFont val="Tahoma"/>
            <family val="2"/>
          </rPr>
          <t xml:space="preserve">
Includes $147 variable rate notes listed as long-term debt on p. 256.1.</t>
        </r>
      </text>
    </comment>
  </commentList>
</comments>
</file>

<file path=xl/sharedStrings.xml><?xml version="1.0" encoding="utf-8"?>
<sst xmlns="http://schemas.openxmlformats.org/spreadsheetml/2006/main" count="1236" uniqueCount="318">
  <si>
    <t>Consolidated Edison</t>
  </si>
  <si>
    <t>Eversource Energy</t>
  </si>
  <si>
    <t>Dominion Resources</t>
  </si>
  <si>
    <t>Duke Energy</t>
  </si>
  <si>
    <t>Exelon Corporation</t>
  </si>
  <si>
    <t>FirstEnergy Corp.</t>
  </si>
  <si>
    <t>Nextera Energy, Inc.</t>
  </si>
  <si>
    <t>PPL Corporation</t>
  </si>
  <si>
    <t>Pepco Holdings, Inc.</t>
  </si>
  <si>
    <t>Public Service Enterprise Group, Inc.</t>
  </si>
  <si>
    <t>SCANA Corporation</t>
  </si>
  <si>
    <t>Southern Company</t>
  </si>
  <si>
    <t>TECO Energy, Inc.</t>
  </si>
  <si>
    <t>ALLETE, Inc.</t>
  </si>
  <si>
    <t>Ameren Corp.</t>
  </si>
  <si>
    <t>American Electric Power Company, Inc.</t>
  </si>
  <si>
    <t>CMS Energy Corporaton</t>
  </si>
  <si>
    <t>CenterPoint Energy, Inc.</t>
  </si>
  <si>
    <t>Cleco Corporation</t>
  </si>
  <si>
    <t>DTE Energy Company</t>
  </si>
  <si>
    <t>Empire District Electric Company</t>
  </si>
  <si>
    <t>Entergy Corporation</t>
  </si>
  <si>
    <t>Great Plains Energy Incorporated</t>
  </si>
  <si>
    <t>ITC Holdings Corp.</t>
  </si>
  <si>
    <t>MGE Energy, Inc.</t>
  </si>
  <si>
    <t>OGE Energy Corp.</t>
  </si>
  <si>
    <t>Otter Tail Power Corporation</t>
  </si>
  <si>
    <t>Vectren Corp.</t>
  </si>
  <si>
    <t>WEC Energy Group, Inc.</t>
  </si>
  <si>
    <t>Westar Energy, Inc.</t>
  </si>
  <si>
    <t>Avista Corporation</t>
  </si>
  <si>
    <t>Black Hills Corporation</t>
  </si>
  <si>
    <t>Edison International</t>
  </si>
  <si>
    <t>El Paso Electric Company</t>
  </si>
  <si>
    <t>Hawaiian Electric Industries, Inc.</t>
  </si>
  <si>
    <t>IDACORP, Inc.</t>
  </si>
  <si>
    <t>NorthWestern Corporation</t>
  </si>
  <si>
    <t>PG&amp;E Corporation</t>
  </si>
  <si>
    <t>PNM Resources</t>
  </si>
  <si>
    <t>Pinnicle West Capital Corporation</t>
  </si>
  <si>
    <t>Portland General Electric Company</t>
  </si>
  <si>
    <t>Sempra Energy</t>
  </si>
  <si>
    <t>Xcel Energy, Inc.</t>
  </si>
  <si>
    <t>Alliant Energy Corp.</t>
  </si>
  <si>
    <t>Dividend Cut?</t>
  </si>
  <si>
    <t>S&amp;P Corporate Rating</t>
  </si>
  <si>
    <t>Moody's Long-term Rating</t>
  </si>
  <si>
    <t>No</t>
  </si>
  <si>
    <t>Company</t>
  </si>
  <si>
    <t>SYM</t>
  </si>
  <si>
    <t>ALE</t>
  </si>
  <si>
    <t>LNT</t>
  </si>
  <si>
    <t>AEE</t>
  </si>
  <si>
    <t>AEP</t>
  </si>
  <si>
    <t>AVA</t>
  </si>
  <si>
    <t>CNP</t>
  </si>
  <si>
    <t>CMS</t>
  </si>
  <si>
    <t>BKH</t>
  </si>
  <si>
    <t>CNL</t>
  </si>
  <si>
    <t>ED</t>
  </si>
  <si>
    <t>D</t>
  </si>
  <si>
    <t>DTE</t>
  </si>
  <si>
    <t>DUK</t>
  </si>
  <si>
    <t>EIX</t>
  </si>
  <si>
    <t>EE</t>
  </si>
  <si>
    <t>EDE</t>
  </si>
  <si>
    <t>ETR</t>
  </si>
  <si>
    <t>ES</t>
  </si>
  <si>
    <t>EXC</t>
  </si>
  <si>
    <t>FE</t>
  </si>
  <si>
    <t>GXP</t>
  </si>
  <si>
    <t>HE</t>
  </si>
  <si>
    <t>IDA</t>
  </si>
  <si>
    <t>ITC</t>
  </si>
  <si>
    <t>MGEE</t>
  </si>
  <si>
    <t>NEE</t>
  </si>
  <si>
    <t>NEW</t>
  </si>
  <si>
    <t>OGE</t>
  </si>
  <si>
    <t>OTTR</t>
  </si>
  <si>
    <t>POM</t>
  </si>
  <si>
    <t>PCG</t>
  </si>
  <si>
    <t>PNW</t>
  </si>
  <si>
    <t>PNM</t>
  </si>
  <si>
    <t>POR</t>
  </si>
  <si>
    <t>PPL</t>
  </si>
  <si>
    <t>PEG</t>
  </si>
  <si>
    <t>SCG</t>
  </si>
  <si>
    <t>SRE</t>
  </si>
  <si>
    <t>SO</t>
  </si>
  <si>
    <t>TE</t>
  </si>
  <si>
    <t>VVC</t>
  </si>
  <si>
    <t>WEC</t>
  </si>
  <si>
    <t>WR</t>
  </si>
  <si>
    <t>XEL</t>
  </si>
  <si>
    <t>BBB+</t>
  </si>
  <si>
    <t>A-</t>
  </si>
  <si>
    <t>BBB</t>
  </si>
  <si>
    <t>BBB-</t>
  </si>
  <si>
    <t>Merger Activity</t>
  </si>
  <si>
    <t>Algonquin purchase announced 2-10-16</t>
  </si>
  <si>
    <t>A3</t>
  </si>
  <si>
    <t>Baa1</t>
  </si>
  <si>
    <t>Baa2</t>
  </si>
  <si>
    <t>Baa3</t>
  </si>
  <si>
    <t>N.R.</t>
  </si>
  <si>
    <t>Number</t>
  </si>
  <si>
    <t>Dividend Yield</t>
  </si>
  <si>
    <t>Long-term Growth</t>
  </si>
  <si>
    <t>Adjusted Dividend Yield</t>
  </si>
  <si>
    <t>Combined Growth</t>
  </si>
  <si>
    <t>DCF Cost Rate</t>
  </si>
  <si>
    <t>Date</t>
  </si>
  <si>
    <t>High</t>
  </si>
  <si>
    <t>Low</t>
  </si>
  <si>
    <t>Allete</t>
  </si>
  <si>
    <t>Alliant</t>
  </si>
  <si>
    <t>CenterPoint</t>
  </si>
  <si>
    <t>Consolidated Ed.</t>
  </si>
  <si>
    <t>DTE Energy</t>
  </si>
  <si>
    <t>Duke</t>
  </si>
  <si>
    <t>Edison Internatioal</t>
  </si>
  <si>
    <t>NextEra</t>
  </si>
  <si>
    <t>Northwestern Corp.</t>
  </si>
  <si>
    <t>OGE Energy</t>
  </si>
  <si>
    <t>Pinnicle West</t>
  </si>
  <si>
    <t>Portland Gen. El.</t>
  </si>
  <si>
    <t>PPL Corp.</t>
  </si>
  <si>
    <t>Vectren</t>
  </si>
  <si>
    <t>WEC Energy</t>
  </si>
  <si>
    <t>Xcel Energy</t>
  </si>
  <si>
    <t>Month End Indicated Dividend</t>
  </si>
  <si>
    <t>Monthly Dividend Yield</t>
  </si>
  <si>
    <t>NWE</t>
  </si>
  <si>
    <t xml:space="preserve">Median:  </t>
  </si>
  <si>
    <t xml:space="preserve">Mean:  </t>
  </si>
  <si>
    <t>Zack's Growth</t>
  </si>
  <si>
    <t>Yahoo (IBES) Growth</t>
  </si>
  <si>
    <t xml:space="preserve">Maxmimum:  </t>
  </si>
  <si>
    <t xml:space="preserve">Minimum:  </t>
  </si>
  <si>
    <t>Corporate Rating</t>
  </si>
  <si>
    <t>A-/A3</t>
  </si>
  <si>
    <t xml:space="preserve">Maximum:  </t>
  </si>
  <si>
    <t>Average Growth Rate</t>
  </si>
  <si>
    <t>Long-Term Debt</t>
  </si>
  <si>
    <t>Preferred Equity</t>
  </si>
  <si>
    <t>Common Equity</t>
  </si>
  <si>
    <t>Total</t>
  </si>
  <si>
    <t>Amount</t>
  </si>
  <si>
    <t>Ratio</t>
  </si>
  <si>
    <t>Average Ratio</t>
  </si>
  <si>
    <t>Maximum Ratio</t>
  </si>
  <si>
    <t>Minimum Ratio</t>
  </si>
  <si>
    <t>Holding Company</t>
  </si>
  <si>
    <t>Interstate Power &amp; Light Co.</t>
  </si>
  <si>
    <t>Wisconsin Power &amp; Light Co.</t>
  </si>
  <si>
    <t>Consolidated Edison Co. of NY</t>
  </si>
  <si>
    <t>DTE Electric Company</t>
  </si>
  <si>
    <t>Duke Energy Carolinas</t>
  </si>
  <si>
    <t>Duke Energy Progress, LLC</t>
  </si>
  <si>
    <t>Duke Energy Florida, LLC</t>
  </si>
  <si>
    <t>Duke Energy Ohio, Inc.</t>
  </si>
  <si>
    <t>Duke Energy Indiana, LLC</t>
  </si>
  <si>
    <t>Connecticut Light &amp; Power Company</t>
  </si>
  <si>
    <t>NSTAR Electric Company</t>
  </si>
  <si>
    <t>Public Service Co. of New Hampshire</t>
  </si>
  <si>
    <t>Western Mass. Electric Co.</t>
  </si>
  <si>
    <t>Florida Power and Light Company</t>
  </si>
  <si>
    <t>Arizona Public Service Company</t>
  </si>
  <si>
    <t>Portland General Electric Company (Not a utility holding company)</t>
  </si>
  <si>
    <t>PPL Electric Utilities Corp.</t>
  </si>
  <si>
    <t>LG&amp;E &amp; KU Energy LLC</t>
  </si>
  <si>
    <t>Louisville Gas &amp; Electric Company</t>
  </si>
  <si>
    <t>Kentucky Utilities Company</t>
  </si>
  <si>
    <t>Southern Indiana Gas &amp; Electric Company</t>
  </si>
  <si>
    <t>Wisconsin Electric Power Company</t>
  </si>
  <si>
    <t>Wisconsin Public Service Company</t>
  </si>
  <si>
    <t>Northern States Power -- MN</t>
  </si>
  <si>
    <t>Northern States Power -- Wisconsin</t>
  </si>
  <si>
    <t>Public Service Co. of Colorado</t>
  </si>
  <si>
    <t>Southwestern Public Service Co.</t>
  </si>
  <si>
    <t>Source:  2015 FERC Form 1</t>
  </si>
  <si>
    <t>Source:  2015 10-K Parent</t>
  </si>
  <si>
    <t>NorthWestern Corporation (Not a utility holding company)</t>
  </si>
  <si>
    <t>Oklahoma Gas &amp; Electric Company</t>
  </si>
  <si>
    <t>Purchase completed 4-13-16</t>
  </si>
  <si>
    <t>PEPCO merger completed</t>
  </si>
  <si>
    <t>Pinnicle West Capital Corp.</t>
  </si>
  <si>
    <t>Portland General Electric Co.</t>
  </si>
  <si>
    <t>Long-term GDP Growth</t>
  </si>
  <si>
    <t>Net Position</t>
  </si>
  <si>
    <t>Long-term Debt</t>
  </si>
  <si>
    <t>Average</t>
  </si>
  <si>
    <t>2001 Series B</t>
  </si>
  <si>
    <t>2001 series C1</t>
  </si>
  <si>
    <t>2002 Series A</t>
  </si>
  <si>
    <t>2002 Series C2</t>
  </si>
  <si>
    <t>2004 Series C3</t>
  </si>
  <si>
    <t>2005 Series A1</t>
  </si>
  <si>
    <t>2005 Series A2</t>
  </si>
  <si>
    <t>2006 Series C4</t>
  </si>
  <si>
    <t>2007 Series A1</t>
  </si>
  <si>
    <t>2007 Series A2</t>
  </si>
  <si>
    <t>2008 Series A1</t>
  </si>
  <si>
    <t>2008 Series A2</t>
  </si>
  <si>
    <t>2009 Series A</t>
  </si>
  <si>
    <t>2009 Series B</t>
  </si>
  <si>
    <t>2010 Series A</t>
  </si>
  <si>
    <t>2010 Series B</t>
  </si>
  <si>
    <t>2010 Series C</t>
  </si>
  <si>
    <t>2010 Series D</t>
  </si>
  <si>
    <t>2011 Series A</t>
  </si>
  <si>
    <t>2012 Series A</t>
  </si>
  <si>
    <t>2012 Series B</t>
  </si>
  <si>
    <t>2012 Series C</t>
  </si>
  <si>
    <t>2013 Series A</t>
  </si>
  <si>
    <t>2013 Series B</t>
  </si>
  <si>
    <t>2013 Series C</t>
  </si>
  <si>
    <t>2014 Series A</t>
  </si>
  <si>
    <t>2014 Series B</t>
  </si>
  <si>
    <t>2014 Series C</t>
  </si>
  <si>
    <t>2014 Series D</t>
  </si>
  <si>
    <t>2014 Series E</t>
  </si>
  <si>
    <t>2015 Series A</t>
  </si>
  <si>
    <t>Sept. 30</t>
  </si>
  <si>
    <t>Nov. 30</t>
  </si>
  <si>
    <t>July 31</t>
  </si>
  <si>
    <t>August 31</t>
  </si>
  <si>
    <t>Oct. 31</t>
  </si>
  <si>
    <t>Dec. 30</t>
  </si>
  <si>
    <t>Feb. 28</t>
  </si>
  <si>
    <t>Mar. 31</t>
  </si>
  <si>
    <t>Apr. 30</t>
  </si>
  <si>
    <t>May 31</t>
  </si>
  <si>
    <t>Jan. 31 2015</t>
  </si>
  <si>
    <t>13- Month Average Balance</t>
  </si>
  <si>
    <t>Cost</t>
  </si>
  <si>
    <t>Nominal GDP (Billions $)</t>
  </si>
  <si>
    <t xml:space="preserve">   Real GDP</t>
  </si>
  <si>
    <t xml:space="preserve">   GDP Price Index</t>
  </si>
  <si>
    <t>Compound Growth</t>
  </si>
  <si>
    <t>Minnesota Power is Operating Division of ALLETE</t>
  </si>
  <si>
    <t>CenterPoint Energy Huston Electric, LLC</t>
  </si>
  <si>
    <t>Source:  Alliant 2015 10-K</t>
  </si>
  <si>
    <t>CPE Huston Electric 2015 10-K</t>
  </si>
  <si>
    <t>ALLETTE 2015 10-K</t>
  </si>
  <si>
    <t>Source:  SIG&amp;E 2015 FERC -1</t>
  </si>
  <si>
    <t>Source: WEP &amp; WPS 2015 FERC -1</t>
  </si>
  <si>
    <t>Source:  DTE Energy 2015 10-K</t>
  </si>
  <si>
    <t>Source: 2015 10-K's</t>
  </si>
  <si>
    <t>2046</t>
  </si>
  <si>
    <t>The Southern Company</t>
  </si>
  <si>
    <t>Alabama Power Company</t>
  </si>
  <si>
    <t>Georgia Power Company</t>
  </si>
  <si>
    <t>Gulf Power Company</t>
  </si>
  <si>
    <t>Mississippi Power Company</t>
  </si>
  <si>
    <t>-----</t>
  </si>
  <si>
    <t>Announced purchase of Questar on 2-1-2016</t>
  </si>
  <si>
    <t xml:space="preserve">Zone of Reasonableness:  </t>
  </si>
  <si>
    <t>Weighted Average Cost</t>
  </si>
  <si>
    <t>Coupon Rate</t>
  </si>
  <si>
    <t>Principal Outstanding June 30, 2014</t>
  </si>
  <si>
    <t>Principal Outstanding June 30, 2015</t>
  </si>
  <si>
    <t>Rev. Certificates</t>
  </si>
  <si>
    <t>13- Month Interest Expense</t>
  </si>
  <si>
    <t>Year-End Interest Expense</t>
  </si>
  <si>
    <t>Effective Interest Rate</t>
  </si>
  <si>
    <t>Duke to purchase Piedmont Gas 10-26-2015; 2% price decline.  Piedmont 37% price increase.</t>
  </si>
  <si>
    <t>Electric Holding Companies Year-End 2015</t>
  </si>
  <si>
    <t>Electric Operating Companies Year-End 2015</t>
  </si>
  <si>
    <t>TABLE 1-- CAPITAL STRUCTURE COMPARISON</t>
  </si>
  <si>
    <t>LADWP FISCAL YEAR-END 2015 CAPITAL STRUCTURE</t>
  </si>
  <si>
    <t>LADWP Fiscal Year-End 2015</t>
  </si>
  <si>
    <t>Price</t>
  </si>
  <si>
    <t>Indicated</t>
  </si>
  <si>
    <t>Dividend</t>
  </si>
  <si>
    <t>Annual</t>
  </si>
  <si>
    <t>Yield</t>
  </si>
  <si>
    <t>September 2015</t>
  </si>
  <si>
    <t>October 2015</t>
  </si>
  <si>
    <t>November 2015</t>
  </si>
  <si>
    <t>December 2015</t>
  </si>
  <si>
    <t>January 2016</t>
  </si>
  <si>
    <t>February 2016</t>
  </si>
  <si>
    <t>Monthly Average High/Low Price</t>
  </si>
  <si>
    <t>Announced purchase of Hawaiian Electric Industries 12-3-14.  NEE price down less than 1%.  Purchase terminated 7-18-16 due to PUC rejection.</t>
  </si>
  <si>
    <t>Emera purchase announced 9-4-15.</t>
  </si>
  <si>
    <t>Merger completed.</t>
  </si>
  <si>
    <t>Announced looking at strategic alternatives 11-30-15; 9.2% price increase.  Fortis purchase announced 2-9-16 no significant impact on price.</t>
  </si>
  <si>
    <t>TABLE -- 2  PROPOSED RATE OF RETURN</t>
  </si>
  <si>
    <t>Note: Parts may not total due to rounding.</t>
  </si>
  <si>
    <t xml:space="preserve">Total Average Outstanding Balance Interest:  </t>
  </si>
  <si>
    <t xml:space="preserve">Net Annual (Premium)Discount Amortization:  </t>
  </si>
  <si>
    <t>Unamortized net  debt premium/(discount)</t>
  </si>
  <si>
    <t xml:space="preserve">Average Long-term Debt Principal Outstanding:  </t>
  </si>
  <si>
    <t xml:space="preserve">Average Net Unamortized Debt Premium/(Discount):  </t>
  </si>
  <si>
    <t xml:space="preserve">Total Net Interest:  </t>
  </si>
  <si>
    <t xml:space="preserve">Total:  </t>
  </si>
  <si>
    <t xml:space="preserve">Long-Term Debt Cost:  </t>
  </si>
  <si>
    <t xml:space="preserve">Year-end Outstanding Long-term Debt:  </t>
  </si>
  <si>
    <t xml:space="preserve">Interest Subsidy From Federal Government:  </t>
  </si>
  <si>
    <t>Average Nominal GDP Growth</t>
  </si>
  <si>
    <t>Sources:</t>
  </si>
  <si>
    <r>
      <t xml:space="preserve">Value Line </t>
    </r>
    <r>
      <rPr>
        <b/>
        <sz val="10"/>
        <color theme="1"/>
        <rFont val="Arial"/>
        <family val="2"/>
      </rPr>
      <t>Electrics</t>
    </r>
  </si>
  <si>
    <r>
      <t xml:space="preserve">Energy Information Administration </t>
    </r>
    <r>
      <rPr>
        <sz val="10"/>
        <color theme="1"/>
        <rFont val="Arial"/>
        <family val="2"/>
      </rPr>
      <t>(1)</t>
    </r>
  </si>
  <si>
    <r>
      <t xml:space="preserve">OASDI Trustee's Report </t>
    </r>
    <r>
      <rPr>
        <sz val="10"/>
        <color theme="1"/>
        <rFont val="Arial"/>
        <family val="2"/>
      </rPr>
      <t>(2)</t>
    </r>
  </si>
  <si>
    <r>
      <t xml:space="preserve">IHS Global </t>
    </r>
    <r>
      <rPr>
        <sz val="10"/>
        <color theme="1"/>
        <rFont val="Arial"/>
        <family val="2"/>
      </rPr>
      <t>(3)</t>
    </r>
  </si>
  <si>
    <r>
      <t>(1)</t>
    </r>
    <r>
      <rPr>
        <i/>
        <sz val="10"/>
        <color theme="1"/>
        <rFont val="Arial"/>
        <family val="2"/>
      </rPr>
      <t xml:space="preserve"> Annual Energy Outlook 2015</t>
    </r>
    <r>
      <rPr>
        <sz val="10"/>
        <color theme="1"/>
        <rFont val="Arial"/>
        <family val="2"/>
      </rPr>
      <t>, U.S. Energy Information Administration, Table B4. Macroeconomic indicators.</t>
    </r>
  </si>
  <si>
    <r>
      <t>(2)</t>
    </r>
    <r>
      <rPr>
        <i/>
        <sz val="10"/>
        <color theme="1"/>
        <rFont val="Arial"/>
        <family val="2"/>
      </rPr>
      <t xml:space="preserve"> 2015 Annual Report of the Board of Trustees of the Federal OASDI Trust Fund,</t>
    </r>
    <r>
      <rPr>
        <sz val="10"/>
        <color theme="1"/>
        <rFont val="Arial"/>
        <family val="2"/>
      </rPr>
      <t xml:space="preserve"> G6.--Selected Economic Variables.</t>
    </r>
  </si>
  <si>
    <r>
      <t xml:space="preserve">(3) </t>
    </r>
    <r>
      <rPr>
        <i/>
        <sz val="10"/>
        <color theme="1"/>
        <rFont val="Arial"/>
        <family val="2"/>
      </rPr>
      <t>US Economy -- The 30-Year Focus, First-quarter 2016,</t>
    </r>
    <r>
      <rPr>
        <sz val="10"/>
        <color theme="1"/>
        <rFont val="Arial"/>
        <family val="2"/>
      </rPr>
      <t xml:space="preserve"> IHS Economics, Table 3, Composition of Gross National Product.</t>
    </r>
  </si>
  <si>
    <t>LONG-TERM NOMINAL GDP GROWTH</t>
  </si>
  <si>
    <t>FERC 2-STEP DCF CALCULATION</t>
  </si>
  <si>
    <t>DIVIDEND YIELD CALCULATION</t>
  </si>
  <si>
    <t xml:space="preserve">Source:  </t>
  </si>
  <si>
    <r>
      <t xml:space="preserve">Price data from </t>
    </r>
    <r>
      <rPr>
        <i/>
        <sz val="9"/>
        <color theme="1"/>
        <rFont val="Arial"/>
        <family val="2"/>
      </rPr>
      <t>Yahoo Finance!</t>
    </r>
    <r>
      <rPr>
        <sz val="9"/>
        <color theme="1"/>
        <rFont val="Arial"/>
        <family val="2"/>
      </rPr>
      <t xml:space="preserve"> Web site; indicated dividend data from individual company web sites.</t>
    </r>
  </si>
  <si>
    <r>
      <t xml:space="preserve">COMPANIES IDENTIFIED AS ELECTRIC UTILITIES BY </t>
    </r>
    <r>
      <rPr>
        <b/>
        <i/>
        <sz val="11"/>
        <color theme="1"/>
        <rFont val="Calibri"/>
        <family val="2"/>
        <scheme val="minor"/>
      </rPr>
      <t>VALUE LINE</t>
    </r>
  </si>
  <si>
    <t>AGL purchase announded 8-24-15.  Price declined 4.85%. Merger completed 7-1-16.</t>
  </si>
  <si>
    <t>Exhibit DWP-504</t>
  </si>
  <si>
    <t>Page 1 of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</si>
</sst>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43" formatCode="_(* #,##0.00_);_(* \(#,##0.00\);_(* &quot;-&quot;??_);_(@_)"/>
    <numFmt numFmtId="164" formatCode="&quot;$&quot;#,##0.0"/>
    <numFmt numFmtId="165" formatCode="&quot;$&quot;#,##0"/>
    <numFmt numFmtId="166" formatCode="0.0%"/>
    <numFmt numFmtId="167" formatCode="0.000%"/>
    <numFmt numFmtId="168" formatCode="_(* #,##0_);_(* \(#,##0\);_(* &quot;-&quot;??_);_(@_)"/>
    <numFmt numFmtId="169" formatCode="0.0000%"/>
  </numFmts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u/>
      <sz val="9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b/>
      <strike/>
      <u/>
      <sz val="11"/>
      <color rgb="FFFF0000"/>
      <name val="Calibri"/>
      <family val="2"/>
      <scheme val="minor"/>
    </font>
    <font>
      <strike/>
      <u/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sz val="9"/>
      <name val="Arial"/>
      <family val="2"/>
    </font>
    <font>
      <b/>
      <u/>
      <sz val="9"/>
      <color theme="1"/>
      <name val="Times New Roman"/>
      <family val="1"/>
    </font>
    <font>
      <u val="double"/>
      <sz val="9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trike/>
      <sz val="10"/>
      <color rgb="FFC00000"/>
      <name val="Arial"/>
      <family val="2"/>
    </font>
    <font>
      <strike/>
      <sz val="10"/>
      <color rgb="FFFF000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0" borderId="0"/>
    <xf numFmtId="43" fontId="3" fillId="0" borderId="0" applyFont="0" applyFill="0" applyBorder="0" applyAlignment="0" applyProtection="0"/>
  </cellStyleXfs>
  <cellXfs count="2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0" fontId="0" fillId="0" borderId="0" xfId="0" applyNumberFormat="1" applyAlignment="1">
      <alignment horizontal="center"/>
    </xf>
    <xf numFmtId="14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164" fontId="5" fillId="0" borderId="0" xfId="0" applyNumberFormat="1" applyFont="1"/>
    <xf numFmtId="166" fontId="0" fillId="0" borderId="0" xfId="0" applyNumberFormat="1"/>
    <xf numFmtId="166" fontId="5" fillId="0" borderId="0" xfId="0" applyNumberFormat="1" applyFont="1"/>
    <xf numFmtId="166" fontId="0" fillId="0" borderId="0" xfId="0" applyNumberFormat="1" applyAlignment="1">
      <alignment horizontal="center"/>
    </xf>
    <xf numFmtId="166" fontId="0" fillId="0" borderId="0" xfId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10" fontId="7" fillId="0" borderId="0" xfId="0" applyNumberFormat="1" applyFont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5" fillId="0" borderId="0" xfId="1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8" fillId="0" borderId="0" xfId="0" applyFont="1"/>
    <xf numFmtId="0" fontId="9" fillId="0" borderId="0" xfId="0" applyFont="1" applyAlignment="1">
      <alignment horizontal="center"/>
    </xf>
    <xf numFmtId="166" fontId="8" fillId="0" borderId="0" xfId="1" applyNumberFormat="1" applyFont="1" applyAlignment="1">
      <alignment horizontal="center"/>
    </xf>
    <xf numFmtId="166" fontId="11" fillId="0" borderId="0" xfId="1" applyNumberFormat="1" applyFont="1" applyAlignment="1">
      <alignment horizontal="center"/>
    </xf>
    <xf numFmtId="3" fontId="0" fillId="0" borderId="0" xfId="0" applyNumberFormat="1"/>
    <xf numFmtId="167" fontId="0" fillId="0" borderId="0" xfId="1" applyNumberFormat="1" applyFont="1"/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2" fillId="0" borderId="0" xfId="0" applyNumberFormat="1" applyFont="1"/>
    <xf numFmtId="166" fontId="2" fillId="0" borderId="0" xfId="0" applyNumberFormat="1" applyFont="1"/>
    <xf numFmtId="164" fontId="17" fillId="0" borderId="0" xfId="0" applyNumberFormat="1" applyFont="1"/>
    <xf numFmtId="166" fontId="17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5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0" fontId="8" fillId="0" borderId="0" xfId="1" applyNumberFormat="1" applyFont="1" applyAlignment="1">
      <alignment horizontal="center"/>
    </xf>
    <xf numFmtId="10" fontId="9" fillId="0" borderId="0" xfId="1" applyNumberFormat="1" applyFont="1" applyAlignment="1">
      <alignment horizontal="center"/>
    </xf>
    <xf numFmtId="0" fontId="0" fillId="0" borderId="1" xfId="0" applyBorder="1" applyAlignment="1">
      <alignment horizontal="center"/>
    </xf>
    <xf numFmtId="168" fontId="0" fillId="0" borderId="0" xfId="2" applyNumberFormat="1" applyFont="1"/>
    <xf numFmtId="168" fontId="0" fillId="0" borderId="1" xfId="2" applyNumberFormat="1" applyFont="1" applyBorder="1"/>
    <xf numFmtId="3" fontId="0" fillId="0" borderId="1" xfId="0" applyNumberFormat="1" applyBorder="1"/>
    <xf numFmtId="3" fontId="0" fillId="0" borderId="1" xfId="0" applyNumberFormat="1" applyBorder="1" applyAlignment="1">
      <alignment horizontal="center"/>
    </xf>
    <xf numFmtId="169" fontId="0" fillId="0" borderId="0" xfId="1" applyNumberFormat="1" applyFont="1" applyAlignment="1">
      <alignment horizontal="center"/>
    </xf>
    <xf numFmtId="169" fontId="0" fillId="0" borderId="1" xfId="1" applyNumberFormat="1" applyFont="1" applyBorder="1" applyAlignment="1">
      <alignment horizontal="center"/>
    </xf>
    <xf numFmtId="167" fontId="0" fillId="0" borderId="0" xfId="1" applyNumberFormat="1" applyFont="1" applyAlignment="1">
      <alignment horizontal="center"/>
    </xf>
    <xf numFmtId="167" fontId="0" fillId="0" borderId="1" xfId="1" applyNumberFormat="1" applyFont="1" applyBorder="1" applyAlignment="1">
      <alignment horizontal="center"/>
    </xf>
    <xf numFmtId="167" fontId="0" fillId="0" borderId="1" xfId="1" applyNumberFormat="1" applyFont="1" applyBorder="1"/>
    <xf numFmtId="0" fontId="0" fillId="0" borderId="3" xfId="0" applyBorder="1"/>
    <xf numFmtId="3" fontId="0" fillId="0" borderId="3" xfId="0" applyNumberFormat="1" applyBorder="1"/>
    <xf numFmtId="3" fontId="0" fillId="0" borderId="3" xfId="0" applyNumberFormat="1" applyBorder="1" applyAlignment="1">
      <alignment horizontal="center"/>
    </xf>
    <xf numFmtId="167" fontId="0" fillId="0" borderId="3" xfId="1" applyNumberFormat="1" applyFont="1" applyBorder="1"/>
    <xf numFmtId="0" fontId="0" fillId="0" borderId="0" xfId="0" applyBorder="1" applyAlignment="1">
      <alignment horizontal="center"/>
    </xf>
    <xf numFmtId="167" fontId="0" fillId="0" borderId="0" xfId="1" applyNumberFormat="1" applyFont="1" applyBorder="1" applyAlignment="1">
      <alignment horizontal="center"/>
    </xf>
    <xf numFmtId="3" fontId="0" fillId="0" borderId="1" xfId="0" applyNumberFormat="1" applyFont="1" applyBorder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8" fontId="0" fillId="0" borderId="0" xfId="2" applyNumberFormat="1" applyFont="1" applyFill="1"/>
    <xf numFmtId="168" fontId="0" fillId="0" borderId="1" xfId="2" applyNumberFormat="1" applyFont="1" applyFill="1" applyBorder="1"/>
    <xf numFmtId="169" fontId="0" fillId="0" borderId="0" xfId="1" applyNumberFormat="1" applyFont="1" applyFill="1" applyAlignment="1">
      <alignment horizontal="center"/>
    </xf>
    <xf numFmtId="169" fontId="0" fillId="0" borderId="1" xfId="1" applyNumberFormat="1" applyFont="1" applyFill="1" applyBorder="1" applyAlignment="1">
      <alignment horizontal="center"/>
    </xf>
    <xf numFmtId="0" fontId="0" fillId="0" borderId="0" xfId="0" applyBorder="1"/>
    <xf numFmtId="0" fontId="0" fillId="0" borderId="3" xfId="0" applyFont="1" applyBorder="1"/>
    <xf numFmtId="3" fontId="0" fillId="0" borderId="3" xfId="0" applyNumberFormat="1" applyFont="1" applyBorder="1"/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Border="1"/>
    <xf numFmtId="168" fontId="0" fillId="0" borderId="0" xfId="2" applyNumberFormat="1" applyFont="1" applyBorder="1"/>
    <xf numFmtId="167" fontId="0" fillId="0" borderId="0" xfId="1" applyNumberFormat="1" applyFont="1" applyBorder="1"/>
    <xf numFmtId="3" fontId="0" fillId="0" borderId="0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16" fontId="0" fillId="0" borderId="1" xfId="0" quotePrefix="1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1" xfId="0" applyNumberFormat="1" applyBorder="1"/>
    <xf numFmtId="3" fontId="0" fillId="0" borderId="0" xfId="2" applyNumberFormat="1" applyFont="1" applyBorder="1"/>
    <xf numFmtId="165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167" fontId="0" fillId="0" borderId="3" xfId="1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165" fontId="11" fillId="0" borderId="0" xfId="0" applyNumberFormat="1" applyFont="1" applyAlignment="1">
      <alignment horizontal="center"/>
    </xf>
    <xf numFmtId="0" fontId="9" fillId="0" borderId="0" xfId="0" applyFont="1"/>
    <xf numFmtId="165" fontId="21" fillId="0" borderId="0" xfId="0" applyNumberFormat="1" applyFont="1" applyAlignment="1">
      <alignment horizontal="center"/>
    </xf>
    <xf numFmtId="166" fontId="21" fillId="0" borderId="0" xfId="0" applyNumberFormat="1" applyFont="1" applyAlignment="1">
      <alignment horizontal="center"/>
    </xf>
    <xf numFmtId="37" fontId="19" fillId="0" borderId="3" xfId="2" applyNumberFormat="1" applyFont="1" applyFill="1" applyBorder="1"/>
    <xf numFmtId="0" fontId="0" fillId="0" borderId="1" xfId="0" applyFill="1" applyBorder="1" applyAlignment="1">
      <alignment horizontal="center" wrapText="1"/>
    </xf>
    <xf numFmtId="3" fontId="0" fillId="0" borderId="4" xfId="0" applyNumberFormat="1" applyBorder="1"/>
    <xf numFmtId="169" fontId="0" fillId="0" borderId="0" xfId="0" applyNumberFormat="1" applyAlignment="1">
      <alignment horizontal="center"/>
    </xf>
    <xf numFmtId="37" fontId="0" fillId="0" borderId="0" xfId="0" applyNumberFormat="1"/>
    <xf numFmtId="0" fontId="9" fillId="0" borderId="1" xfId="0" applyFont="1" applyBorder="1" applyAlignment="1">
      <alignment horizontal="center" wrapText="1"/>
    </xf>
    <xf numFmtId="0" fontId="8" fillId="0" borderId="1" xfId="0" applyFont="1" applyBorder="1"/>
    <xf numFmtId="0" fontId="9" fillId="0" borderId="6" xfId="0" applyFont="1" applyBorder="1" applyAlignment="1">
      <alignment horizontal="center" wrapText="1"/>
    </xf>
    <xf numFmtId="0" fontId="8" fillId="0" borderId="5" xfId="0" applyFont="1" applyBorder="1"/>
    <xf numFmtId="166" fontId="8" fillId="0" borderId="5" xfId="1" applyNumberFormat="1" applyFont="1" applyBorder="1" applyAlignment="1">
      <alignment horizontal="center"/>
    </xf>
    <xf numFmtId="166" fontId="11" fillId="0" borderId="5" xfId="1" applyNumberFormat="1" applyFont="1" applyBorder="1" applyAlignment="1">
      <alignment horizontal="center"/>
    </xf>
    <xf numFmtId="10" fontId="8" fillId="0" borderId="0" xfId="0" applyNumberFormat="1" applyFont="1"/>
    <xf numFmtId="0" fontId="1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166" fontId="11" fillId="0" borderId="1" xfId="0" applyNumberFormat="1" applyFont="1" applyBorder="1" applyAlignment="1">
      <alignment horizontal="center"/>
    </xf>
    <xf numFmtId="10" fontId="8" fillId="0" borderId="1" xfId="1" applyNumberFormat="1" applyFont="1" applyBorder="1" applyAlignment="1">
      <alignment horizontal="center"/>
    </xf>
    <xf numFmtId="10" fontId="11" fillId="0" borderId="1" xfId="1" applyNumberFormat="1" applyFont="1" applyBorder="1" applyAlignment="1">
      <alignment horizontal="center"/>
    </xf>
    <xf numFmtId="10" fontId="20" fillId="0" borderId="0" xfId="0" applyNumberFormat="1" applyFont="1" applyAlignment="1">
      <alignment horizontal="center"/>
    </xf>
    <xf numFmtId="17" fontId="6" fillId="0" borderId="0" xfId="0" quotePrefix="1" applyNumberFormat="1" applyFont="1" applyBorder="1" applyAlignment="1"/>
    <xf numFmtId="3" fontId="0" fillId="0" borderId="0" xfId="0" applyNumberFormat="1" applyFill="1" applyBorder="1"/>
    <xf numFmtId="167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5" fontId="0" fillId="0" borderId="0" xfId="0" applyNumberFormat="1"/>
    <xf numFmtId="5" fontId="0" fillId="0" borderId="1" xfId="0" applyNumberFormat="1" applyBorder="1"/>
    <xf numFmtId="167" fontId="8" fillId="0" borderId="0" xfId="1" applyNumberFormat="1" applyFont="1" applyAlignment="1">
      <alignment horizontal="center"/>
    </xf>
    <xf numFmtId="167" fontId="11" fillId="0" borderId="0" xfId="1" applyNumberFormat="1" applyFont="1" applyAlignment="1">
      <alignment horizontal="center"/>
    </xf>
    <xf numFmtId="167" fontId="21" fillId="0" borderId="0" xfId="0" applyNumberFormat="1" applyFont="1" applyAlignment="1">
      <alignment horizontal="center"/>
    </xf>
    <xf numFmtId="167" fontId="9" fillId="0" borderId="0" xfId="1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167" fontId="8" fillId="0" borderId="0" xfId="0" applyNumberFormat="1" applyFont="1"/>
    <xf numFmtId="0" fontId="23" fillId="0" borderId="1" xfId="0" applyFont="1" applyBorder="1" applyAlignment="1">
      <alignment horizontal="center"/>
    </xf>
    <xf numFmtId="0" fontId="24" fillId="0" borderId="1" xfId="0" applyFont="1" applyBorder="1"/>
    <xf numFmtId="0" fontId="23" fillId="0" borderId="1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5" fillId="0" borderId="0" xfId="0" applyFont="1" applyAlignment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26" fillId="0" borderId="0" xfId="0" applyFont="1"/>
    <xf numFmtId="0" fontId="25" fillId="0" borderId="0" xfId="0" applyFont="1" applyAlignment="1">
      <alignment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10" fontId="25" fillId="0" borderId="0" xfId="0" applyNumberFormat="1" applyFont="1" applyAlignment="1">
      <alignment horizontal="center"/>
    </xf>
    <xf numFmtId="0" fontId="23" fillId="0" borderId="1" xfId="0" applyFont="1" applyBorder="1"/>
    <xf numFmtId="0" fontId="23" fillId="0" borderId="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10" fontId="25" fillId="0" borderId="0" xfId="0" applyNumberFormat="1" applyFont="1" applyBorder="1" applyAlignment="1">
      <alignment horizontal="center" wrapText="1"/>
    </xf>
    <xf numFmtId="10" fontId="25" fillId="0" borderId="0" xfId="0" applyNumberFormat="1" applyFont="1" applyFill="1" applyBorder="1" applyAlignment="1">
      <alignment horizontal="center" wrapText="1"/>
    </xf>
    <xf numFmtId="10" fontId="28" fillId="0" borderId="0" xfId="0" applyNumberFormat="1" applyFont="1" applyBorder="1" applyAlignment="1">
      <alignment horizontal="center" wrapText="1"/>
    </xf>
    <xf numFmtId="10" fontId="28" fillId="0" borderId="0" xfId="0" applyNumberFormat="1" applyFont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10" fontId="25" fillId="0" borderId="1" xfId="0" applyNumberFormat="1" applyFont="1" applyBorder="1" applyAlignment="1">
      <alignment horizontal="center" wrapText="1"/>
    </xf>
    <xf numFmtId="10" fontId="25" fillId="0" borderId="1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10" fontId="23" fillId="0" borderId="0" xfId="0" applyNumberFormat="1" applyFont="1" applyAlignment="1">
      <alignment horizontal="center"/>
    </xf>
    <xf numFmtId="0" fontId="23" fillId="0" borderId="0" xfId="0" quotePrefix="1" applyFont="1" applyAlignment="1">
      <alignment horizontal="center"/>
    </xf>
    <xf numFmtId="0" fontId="23" fillId="0" borderId="0" xfId="0" applyFont="1"/>
    <xf numFmtId="3" fontId="25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/>
    </xf>
    <xf numFmtId="168" fontId="25" fillId="0" borderId="0" xfId="2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25" fillId="0" borderId="0" xfId="0" quotePrefix="1" applyFont="1" applyAlignment="1">
      <alignment horizontal="left"/>
    </xf>
    <xf numFmtId="0" fontId="25" fillId="0" borderId="0" xfId="0" quotePrefix="1" applyFont="1" applyAlignment="1">
      <alignment wrapText="1"/>
    </xf>
    <xf numFmtId="0" fontId="25" fillId="0" borderId="0" xfId="0" quotePrefix="1" applyFont="1" applyAlignment="1"/>
    <xf numFmtId="0" fontId="23" fillId="0" borderId="1" xfId="0" quotePrefix="1" applyFont="1" applyBorder="1" applyAlignment="1">
      <alignment horizontal="center"/>
    </xf>
    <xf numFmtId="3" fontId="25" fillId="0" borderId="1" xfId="2" applyNumberFormat="1" applyFont="1" applyBorder="1" applyAlignment="1">
      <alignment horizontal="center"/>
    </xf>
    <xf numFmtId="3" fontId="25" fillId="0" borderId="1" xfId="0" applyNumberFormat="1" applyFont="1" applyBorder="1" applyAlignment="1">
      <alignment horizontal="center"/>
    </xf>
    <xf numFmtId="0" fontId="30" fillId="0" borderId="0" xfId="0" applyFont="1"/>
    <xf numFmtId="17" fontId="31" fillId="0" borderId="0" xfId="0" quotePrefix="1" applyNumberFormat="1" applyFont="1" applyBorder="1" applyAlignment="1"/>
    <xf numFmtId="0" fontId="31" fillId="0" borderId="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1" xfId="0" applyFont="1" applyBorder="1"/>
    <xf numFmtId="0" fontId="31" fillId="0" borderId="1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0" fillId="0" borderId="0" xfId="0" applyFont="1" applyAlignment="1">
      <alignment horizontal="center"/>
    </xf>
    <xf numFmtId="2" fontId="30" fillId="0" borderId="0" xfId="0" applyNumberFormat="1" applyFont="1" applyAlignment="1">
      <alignment horizontal="center"/>
    </xf>
    <xf numFmtId="10" fontId="30" fillId="0" borderId="0" xfId="0" applyNumberFormat="1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8" fillId="0" borderId="1" xfId="0" applyFont="1" applyBorder="1"/>
    <xf numFmtId="0" fontId="28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/>
    </xf>
    <xf numFmtId="0" fontId="27" fillId="0" borderId="1" xfId="0" applyFont="1" applyBorder="1"/>
    <xf numFmtId="0" fontId="27" fillId="0" borderId="1" xfId="0" applyFont="1" applyBorder="1" applyAlignment="1">
      <alignment horizontal="center"/>
    </xf>
    <xf numFmtId="2" fontId="30" fillId="0" borderId="9" xfId="0" applyNumberFormat="1" applyFont="1" applyBorder="1" applyAlignment="1">
      <alignment horizontal="center"/>
    </xf>
    <xf numFmtId="2" fontId="30" fillId="0" borderId="5" xfId="0" applyNumberFormat="1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10" fontId="30" fillId="0" borderId="8" xfId="0" applyNumberFormat="1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3" fillId="0" borderId="1" xfId="0" applyFont="1" applyBorder="1" applyAlignment="1">
      <alignment horizontal="center"/>
    </xf>
    <xf numFmtId="10" fontId="25" fillId="0" borderId="0" xfId="1" applyNumberFormat="1" applyFont="1" applyAlignment="1">
      <alignment horizontal="center"/>
    </xf>
    <xf numFmtId="10" fontId="25" fillId="0" borderId="1" xfId="1" applyNumberFormat="1" applyFont="1" applyBorder="1" applyAlignment="1">
      <alignment horizontal="center"/>
    </xf>
    <xf numFmtId="10" fontId="23" fillId="0" borderId="0" xfId="0" applyNumberFormat="1" applyFont="1" applyAlignment="1">
      <alignment horizontal="center"/>
    </xf>
    <xf numFmtId="0" fontId="25" fillId="0" borderId="0" xfId="0" quotePrefix="1" applyFont="1" applyAlignment="1">
      <alignment horizontal="left"/>
    </xf>
    <xf numFmtId="0" fontId="31" fillId="0" borderId="0" xfId="0" applyFont="1" applyAlignment="1">
      <alignment horizontal="center"/>
    </xf>
    <xf numFmtId="17" fontId="31" fillId="0" borderId="5" xfId="0" quotePrefix="1" applyNumberFormat="1" applyFont="1" applyBorder="1" applyAlignment="1">
      <alignment horizontal="center"/>
    </xf>
    <xf numFmtId="17" fontId="31" fillId="0" borderId="0" xfId="0" quotePrefix="1" applyNumberFormat="1" applyFont="1" applyBorder="1" applyAlignment="1">
      <alignment horizontal="center"/>
    </xf>
    <xf numFmtId="17" fontId="31" fillId="0" borderId="8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5">
    <cellStyle name="Comma" xfId="2" builtinId="3"/>
    <cellStyle name="Comma 2 4" xfId="4"/>
    <cellStyle name="Normal" xfId="0" builtinId="0"/>
    <cellStyle name="Normal 2 4" xfId="3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50"/>
  <sheetViews>
    <sheetView tabSelected="1" workbookViewId="0">
      <selection activeCell="A4" sqref="A4:G50"/>
    </sheetView>
  </sheetViews>
  <sheetFormatPr defaultRowHeight="15"/>
  <cols>
    <col min="1" max="1" width="9" customWidth="1"/>
    <col min="2" max="2" width="35.5703125" customWidth="1"/>
    <col min="3" max="3" width="7.140625" customWidth="1"/>
    <col min="4" max="4" width="10.85546875" customWidth="1"/>
    <col min="5" max="5" width="9.7109375" customWidth="1"/>
    <col min="6" max="6" width="9.85546875" customWidth="1"/>
    <col min="7" max="7" width="46.85546875" customWidth="1"/>
  </cols>
  <sheetData>
    <row r="4" spans="1:7">
      <c r="B4" s="229" t="s">
        <v>314</v>
      </c>
      <c r="C4" s="229"/>
      <c r="D4" s="229"/>
      <c r="E4" s="229"/>
      <c r="F4" s="229"/>
      <c r="G4" s="229"/>
    </row>
    <row r="6" spans="1:7" ht="51.75">
      <c r="A6" s="159" t="s">
        <v>105</v>
      </c>
      <c r="B6" s="160" t="s">
        <v>302</v>
      </c>
      <c r="C6" s="159" t="s">
        <v>49</v>
      </c>
      <c r="D6" s="161" t="s">
        <v>45</v>
      </c>
      <c r="E6" s="161" t="s">
        <v>46</v>
      </c>
      <c r="F6" s="161" t="s">
        <v>44</v>
      </c>
      <c r="G6" s="159" t="s">
        <v>98</v>
      </c>
    </row>
    <row r="7" spans="1:7">
      <c r="A7" s="162">
        <v>1</v>
      </c>
      <c r="B7" s="193" t="s">
        <v>13</v>
      </c>
      <c r="C7" s="162" t="s">
        <v>50</v>
      </c>
      <c r="D7" s="162" t="s">
        <v>94</v>
      </c>
      <c r="E7" s="162" t="s">
        <v>100</v>
      </c>
      <c r="F7" s="162" t="s">
        <v>47</v>
      </c>
      <c r="G7" s="163"/>
    </row>
    <row r="8" spans="1:7">
      <c r="A8" s="162">
        <f t="shared" ref="A8:A50" si="0">+A7+1</f>
        <v>2</v>
      </c>
      <c r="B8" s="193" t="s">
        <v>43</v>
      </c>
      <c r="C8" s="162" t="s">
        <v>51</v>
      </c>
      <c r="D8" s="162" t="s">
        <v>95</v>
      </c>
      <c r="E8" s="162" t="s">
        <v>100</v>
      </c>
      <c r="F8" s="162" t="s">
        <v>47</v>
      </c>
      <c r="G8" s="163"/>
    </row>
    <row r="9" spans="1:7">
      <c r="A9" s="162">
        <f t="shared" si="0"/>
        <v>3</v>
      </c>
      <c r="B9" s="163" t="s">
        <v>14</v>
      </c>
      <c r="C9" s="162" t="s">
        <v>52</v>
      </c>
      <c r="D9" s="162" t="s">
        <v>94</v>
      </c>
      <c r="E9" s="162" t="s">
        <v>101</v>
      </c>
      <c r="F9" s="162" t="s">
        <v>47</v>
      </c>
      <c r="G9" s="163"/>
    </row>
    <row r="10" spans="1:7">
      <c r="A10" s="162">
        <f t="shared" si="0"/>
        <v>4</v>
      </c>
      <c r="B10" s="163" t="s">
        <v>15</v>
      </c>
      <c r="C10" s="162" t="s">
        <v>53</v>
      </c>
      <c r="D10" s="162" t="s">
        <v>96</v>
      </c>
      <c r="E10" s="162" t="s">
        <v>101</v>
      </c>
      <c r="F10" s="162" t="s">
        <v>47</v>
      </c>
      <c r="G10" s="163"/>
    </row>
    <row r="11" spans="1:7">
      <c r="A11" s="186">
        <f t="shared" si="0"/>
        <v>5</v>
      </c>
      <c r="B11" s="187" t="s">
        <v>30</v>
      </c>
      <c r="C11" s="186" t="s">
        <v>54</v>
      </c>
      <c r="D11" s="186" t="s">
        <v>96</v>
      </c>
      <c r="E11" s="186" t="s">
        <v>101</v>
      </c>
      <c r="F11" s="186" t="s">
        <v>47</v>
      </c>
      <c r="G11" s="187"/>
    </row>
    <row r="12" spans="1:7">
      <c r="A12" s="162">
        <f t="shared" si="0"/>
        <v>6</v>
      </c>
      <c r="B12" s="163" t="s">
        <v>31</v>
      </c>
      <c r="C12" s="162" t="s">
        <v>57</v>
      </c>
      <c r="D12" s="162" t="s">
        <v>96</v>
      </c>
      <c r="E12" s="162" t="s">
        <v>101</v>
      </c>
      <c r="F12" s="162" t="s">
        <v>47</v>
      </c>
      <c r="G12" s="163"/>
    </row>
    <row r="13" spans="1:7">
      <c r="A13" s="162">
        <f t="shared" si="0"/>
        <v>7</v>
      </c>
      <c r="B13" s="193" t="s">
        <v>17</v>
      </c>
      <c r="C13" s="164" t="s">
        <v>55</v>
      </c>
      <c r="D13" s="164" t="s">
        <v>95</v>
      </c>
      <c r="E13" s="164" t="s">
        <v>101</v>
      </c>
      <c r="F13" s="164" t="s">
        <v>47</v>
      </c>
      <c r="G13" s="163"/>
    </row>
    <row r="14" spans="1:7">
      <c r="A14" s="162">
        <f t="shared" si="0"/>
        <v>8</v>
      </c>
      <c r="B14" s="165" t="s">
        <v>18</v>
      </c>
      <c r="C14" s="166" t="s">
        <v>58</v>
      </c>
      <c r="D14" s="166" t="s">
        <v>94</v>
      </c>
      <c r="E14" s="166" t="s">
        <v>101</v>
      </c>
      <c r="F14" s="166" t="s">
        <v>47</v>
      </c>
      <c r="G14" s="163" t="s">
        <v>184</v>
      </c>
    </row>
    <row r="15" spans="1:7">
      <c r="A15" s="162">
        <f t="shared" si="0"/>
        <v>9</v>
      </c>
      <c r="B15" s="163" t="s">
        <v>16</v>
      </c>
      <c r="C15" s="162" t="s">
        <v>56</v>
      </c>
      <c r="D15" s="162" t="s">
        <v>94</v>
      </c>
      <c r="E15" s="162" t="s">
        <v>102</v>
      </c>
      <c r="F15" s="162" t="s">
        <v>47</v>
      </c>
      <c r="G15" s="163"/>
    </row>
    <row r="16" spans="1:7">
      <c r="A16" s="186">
        <f t="shared" si="0"/>
        <v>10</v>
      </c>
      <c r="B16" s="179" t="s">
        <v>0</v>
      </c>
      <c r="C16" s="186" t="s">
        <v>59</v>
      </c>
      <c r="D16" s="186" t="s">
        <v>95</v>
      </c>
      <c r="E16" s="186" t="s">
        <v>100</v>
      </c>
      <c r="F16" s="186" t="s">
        <v>47</v>
      </c>
      <c r="G16" s="187"/>
    </row>
    <row r="17" spans="1:7">
      <c r="A17" s="162">
        <f t="shared" si="0"/>
        <v>11</v>
      </c>
      <c r="B17" s="163" t="s">
        <v>2</v>
      </c>
      <c r="C17" s="162" t="s">
        <v>60</v>
      </c>
      <c r="D17" s="162" t="s">
        <v>94</v>
      </c>
      <c r="E17" s="162" t="s">
        <v>102</v>
      </c>
      <c r="F17" s="162" t="s">
        <v>47</v>
      </c>
      <c r="G17" s="167" t="s">
        <v>256</v>
      </c>
    </row>
    <row r="18" spans="1:7">
      <c r="A18" s="162">
        <f t="shared" si="0"/>
        <v>12</v>
      </c>
      <c r="B18" s="193" t="s">
        <v>19</v>
      </c>
      <c r="C18" s="162" t="s">
        <v>61</v>
      </c>
      <c r="D18" s="162" t="s">
        <v>94</v>
      </c>
      <c r="E18" s="162" t="s">
        <v>100</v>
      </c>
      <c r="F18" s="162" t="s">
        <v>47</v>
      </c>
      <c r="G18" s="163"/>
    </row>
    <row r="19" spans="1:7" ht="26.25">
      <c r="A19" s="168">
        <f t="shared" si="0"/>
        <v>13</v>
      </c>
      <c r="B19" s="217" t="s">
        <v>3</v>
      </c>
      <c r="C19" s="168" t="s">
        <v>62</v>
      </c>
      <c r="D19" s="168" t="s">
        <v>95</v>
      </c>
      <c r="E19" s="168" t="s">
        <v>101</v>
      </c>
      <c r="F19" s="168" t="s">
        <v>47</v>
      </c>
      <c r="G19" s="169" t="s">
        <v>266</v>
      </c>
    </row>
    <row r="20" spans="1:7">
      <c r="A20" s="162">
        <f t="shared" si="0"/>
        <v>14</v>
      </c>
      <c r="B20" s="193" t="s">
        <v>32</v>
      </c>
      <c r="C20" s="162" t="s">
        <v>63</v>
      </c>
      <c r="D20" s="162" t="s">
        <v>94</v>
      </c>
      <c r="E20" s="162" t="s">
        <v>100</v>
      </c>
      <c r="F20" s="162" t="s">
        <v>47</v>
      </c>
      <c r="G20" s="163"/>
    </row>
    <row r="21" spans="1:7">
      <c r="A21" s="186">
        <f t="shared" si="0"/>
        <v>15</v>
      </c>
      <c r="B21" s="187" t="s">
        <v>33</v>
      </c>
      <c r="C21" s="186" t="s">
        <v>64</v>
      </c>
      <c r="D21" s="186" t="s">
        <v>96</v>
      </c>
      <c r="E21" s="186" t="s">
        <v>101</v>
      </c>
      <c r="F21" s="186" t="s">
        <v>47</v>
      </c>
      <c r="G21" s="187"/>
    </row>
    <row r="22" spans="1:7">
      <c r="A22" s="162">
        <f t="shared" si="0"/>
        <v>16</v>
      </c>
      <c r="B22" s="165" t="s">
        <v>20</v>
      </c>
      <c r="C22" s="166" t="s">
        <v>65</v>
      </c>
      <c r="D22" s="166" t="s">
        <v>96</v>
      </c>
      <c r="E22" s="166" t="s">
        <v>101</v>
      </c>
      <c r="F22" s="166" t="s">
        <v>47</v>
      </c>
      <c r="G22" s="163" t="s">
        <v>99</v>
      </c>
    </row>
    <row r="23" spans="1:7">
      <c r="A23" s="162">
        <f t="shared" si="0"/>
        <v>17</v>
      </c>
      <c r="B23" s="170" t="s">
        <v>21</v>
      </c>
      <c r="C23" s="164" t="s">
        <v>66</v>
      </c>
      <c r="D23" s="164" t="s">
        <v>96</v>
      </c>
      <c r="E23" s="164" t="s">
        <v>103</v>
      </c>
      <c r="F23" s="164" t="s">
        <v>47</v>
      </c>
      <c r="G23" s="163"/>
    </row>
    <row r="24" spans="1:7">
      <c r="A24" s="162">
        <f t="shared" si="0"/>
        <v>18</v>
      </c>
      <c r="B24" s="193" t="s">
        <v>1</v>
      </c>
      <c r="C24" s="162" t="s">
        <v>67</v>
      </c>
      <c r="D24" s="162" t="s">
        <v>95</v>
      </c>
      <c r="E24" s="162" t="s">
        <v>101</v>
      </c>
      <c r="F24" s="162" t="s">
        <v>47</v>
      </c>
      <c r="G24" s="163"/>
    </row>
    <row r="25" spans="1:7">
      <c r="A25" s="162">
        <f t="shared" si="0"/>
        <v>19</v>
      </c>
      <c r="B25" s="163" t="s">
        <v>4</v>
      </c>
      <c r="C25" s="162" t="s">
        <v>68</v>
      </c>
      <c r="D25" s="162" t="s">
        <v>96</v>
      </c>
      <c r="E25" s="162" t="s">
        <v>102</v>
      </c>
      <c r="F25" s="162" t="s">
        <v>47</v>
      </c>
      <c r="G25" s="163" t="s">
        <v>185</v>
      </c>
    </row>
    <row r="26" spans="1:7">
      <c r="A26" s="186">
        <f t="shared" si="0"/>
        <v>20</v>
      </c>
      <c r="B26" s="187" t="s">
        <v>5</v>
      </c>
      <c r="C26" s="186" t="s">
        <v>69</v>
      </c>
      <c r="D26" s="186" t="s">
        <v>97</v>
      </c>
      <c r="E26" s="186" t="s">
        <v>103</v>
      </c>
      <c r="F26" s="186" t="s">
        <v>47</v>
      </c>
      <c r="G26" s="187"/>
    </row>
    <row r="27" spans="1:7">
      <c r="A27" s="162">
        <f t="shared" si="0"/>
        <v>21</v>
      </c>
      <c r="B27" s="163" t="s">
        <v>22</v>
      </c>
      <c r="C27" s="162" t="s">
        <v>70</v>
      </c>
      <c r="D27" s="162" t="s">
        <v>94</v>
      </c>
      <c r="E27" s="162" t="s">
        <v>102</v>
      </c>
      <c r="F27" s="162" t="s">
        <v>47</v>
      </c>
      <c r="G27" s="171"/>
    </row>
    <row r="28" spans="1:7">
      <c r="A28" s="162">
        <f t="shared" si="0"/>
        <v>22</v>
      </c>
      <c r="B28" s="163" t="s">
        <v>34</v>
      </c>
      <c r="C28" s="162" t="s">
        <v>71</v>
      </c>
      <c r="D28" s="162" t="s">
        <v>97</v>
      </c>
      <c r="E28" s="162" t="s">
        <v>104</v>
      </c>
      <c r="F28" s="162" t="s">
        <v>47</v>
      </c>
      <c r="G28" s="163"/>
    </row>
    <row r="29" spans="1:7">
      <c r="A29" s="162">
        <f t="shared" si="0"/>
        <v>23</v>
      </c>
      <c r="B29" s="163" t="s">
        <v>35</v>
      </c>
      <c r="C29" s="162" t="s">
        <v>72</v>
      </c>
      <c r="D29" s="162" t="s">
        <v>96</v>
      </c>
      <c r="E29" s="162" t="s">
        <v>101</v>
      </c>
      <c r="F29" s="162" t="s">
        <v>47</v>
      </c>
      <c r="G29" s="163"/>
    </row>
    <row r="30" spans="1:7" ht="45" customHeight="1">
      <c r="A30" s="168">
        <f t="shared" si="0"/>
        <v>24</v>
      </c>
      <c r="B30" s="172" t="s">
        <v>23</v>
      </c>
      <c r="C30" s="173" t="s">
        <v>73</v>
      </c>
      <c r="D30" s="173" t="s">
        <v>95</v>
      </c>
      <c r="E30" s="173" t="s">
        <v>102</v>
      </c>
      <c r="F30" s="173" t="s">
        <v>47</v>
      </c>
      <c r="G30" s="171" t="s">
        <v>287</v>
      </c>
    </row>
    <row r="31" spans="1:7">
      <c r="A31" s="186">
        <f t="shared" si="0"/>
        <v>25</v>
      </c>
      <c r="B31" s="187" t="s">
        <v>24</v>
      </c>
      <c r="C31" s="186" t="s">
        <v>74</v>
      </c>
      <c r="D31" s="186" t="s">
        <v>104</v>
      </c>
      <c r="E31" s="186" t="s">
        <v>104</v>
      </c>
      <c r="F31" s="186" t="s">
        <v>47</v>
      </c>
      <c r="G31" s="187"/>
    </row>
    <row r="32" spans="1:7" ht="45" customHeight="1">
      <c r="A32" s="168">
        <f t="shared" si="0"/>
        <v>26</v>
      </c>
      <c r="B32" s="217" t="s">
        <v>6</v>
      </c>
      <c r="C32" s="168" t="s">
        <v>75</v>
      </c>
      <c r="D32" s="168" t="s">
        <v>95</v>
      </c>
      <c r="E32" s="168" t="s">
        <v>101</v>
      </c>
      <c r="F32" s="168" t="s">
        <v>47</v>
      </c>
      <c r="G32" s="169" t="s">
        <v>284</v>
      </c>
    </row>
    <row r="33" spans="1:7">
      <c r="A33" s="162">
        <f t="shared" si="0"/>
        <v>27</v>
      </c>
      <c r="B33" s="193" t="s">
        <v>36</v>
      </c>
      <c r="C33" s="162" t="s">
        <v>132</v>
      </c>
      <c r="D33" s="162" t="s">
        <v>96</v>
      </c>
      <c r="E33" s="162" t="s">
        <v>100</v>
      </c>
      <c r="F33" s="162" t="s">
        <v>47</v>
      </c>
      <c r="G33" s="163"/>
    </row>
    <row r="34" spans="1:7">
      <c r="A34" s="162">
        <f t="shared" si="0"/>
        <v>28</v>
      </c>
      <c r="B34" s="193" t="s">
        <v>25</v>
      </c>
      <c r="C34" s="162" t="s">
        <v>77</v>
      </c>
      <c r="D34" s="162" t="s">
        <v>95</v>
      </c>
      <c r="E34" s="162" t="s">
        <v>100</v>
      </c>
      <c r="F34" s="162" t="s">
        <v>47</v>
      </c>
      <c r="G34" s="163"/>
    </row>
    <row r="35" spans="1:7">
      <c r="A35" s="162">
        <f t="shared" si="0"/>
        <v>29</v>
      </c>
      <c r="B35" s="163" t="s">
        <v>26</v>
      </c>
      <c r="C35" s="162" t="s">
        <v>78</v>
      </c>
      <c r="D35" s="162" t="s">
        <v>96</v>
      </c>
      <c r="E35" s="162" t="s">
        <v>102</v>
      </c>
      <c r="F35" s="162" t="s">
        <v>47</v>
      </c>
      <c r="G35" s="163"/>
    </row>
    <row r="36" spans="1:7">
      <c r="A36" s="186">
        <f t="shared" si="0"/>
        <v>30</v>
      </c>
      <c r="B36" s="218" t="s">
        <v>8</v>
      </c>
      <c r="C36" s="219" t="s">
        <v>79</v>
      </c>
      <c r="D36" s="219" t="s">
        <v>94</v>
      </c>
      <c r="E36" s="219" t="s">
        <v>103</v>
      </c>
      <c r="F36" s="219" t="s">
        <v>47</v>
      </c>
      <c r="G36" s="220" t="s">
        <v>286</v>
      </c>
    </row>
    <row r="37" spans="1:7">
      <c r="A37" s="162">
        <f t="shared" si="0"/>
        <v>31</v>
      </c>
      <c r="B37" s="163" t="s">
        <v>37</v>
      </c>
      <c r="C37" s="162" t="s">
        <v>80</v>
      </c>
      <c r="D37" s="162" t="s">
        <v>96</v>
      </c>
      <c r="E37" s="162" t="s">
        <v>101</v>
      </c>
      <c r="F37" s="162" t="s">
        <v>47</v>
      </c>
      <c r="G37" s="163"/>
    </row>
    <row r="38" spans="1:7">
      <c r="A38" s="162">
        <f t="shared" si="0"/>
        <v>32</v>
      </c>
      <c r="B38" s="193" t="s">
        <v>39</v>
      </c>
      <c r="C38" s="162" t="s">
        <v>81</v>
      </c>
      <c r="D38" s="162" t="s">
        <v>95</v>
      </c>
      <c r="E38" s="162" t="s">
        <v>100</v>
      </c>
      <c r="F38" s="162" t="s">
        <v>47</v>
      </c>
      <c r="G38" s="163"/>
    </row>
    <row r="39" spans="1:7">
      <c r="A39" s="162">
        <f t="shared" si="0"/>
        <v>33</v>
      </c>
      <c r="B39" s="163" t="s">
        <v>38</v>
      </c>
      <c r="C39" s="162" t="s">
        <v>82</v>
      </c>
      <c r="D39" s="162" t="s">
        <v>94</v>
      </c>
      <c r="E39" s="162" t="s">
        <v>103</v>
      </c>
      <c r="F39" s="162" t="s">
        <v>47</v>
      </c>
      <c r="G39" s="163"/>
    </row>
    <row r="40" spans="1:7">
      <c r="A40" s="162">
        <f t="shared" si="0"/>
        <v>34</v>
      </c>
      <c r="B40" s="193" t="s">
        <v>40</v>
      </c>
      <c r="C40" s="162" t="s">
        <v>83</v>
      </c>
      <c r="D40" s="162" t="s">
        <v>96</v>
      </c>
      <c r="E40" s="162" t="s">
        <v>100</v>
      </c>
      <c r="F40" s="162" t="s">
        <v>47</v>
      </c>
      <c r="G40" s="163"/>
    </row>
    <row r="41" spans="1:7">
      <c r="A41" s="186">
        <f t="shared" si="0"/>
        <v>35</v>
      </c>
      <c r="B41" s="179" t="s">
        <v>7</v>
      </c>
      <c r="C41" s="186" t="s">
        <v>84</v>
      </c>
      <c r="D41" s="186" t="s">
        <v>95</v>
      </c>
      <c r="E41" s="186" t="s">
        <v>102</v>
      </c>
      <c r="F41" s="186" t="s">
        <v>47</v>
      </c>
      <c r="G41" s="187"/>
    </row>
    <row r="42" spans="1:7">
      <c r="A42" s="162">
        <f t="shared" si="0"/>
        <v>36</v>
      </c>
      <c r="B42" s="163" t="s">
        <v>9</v>
      </c>
      <c r="C42" s="162" t="s">
        <v>85</v>
      </c>
      <c r="D42" s="162" t="s">
        <v>94</v>
      </c>
      <c r="E42" s="162" t="s">
        <v>102</v>
      </c>
      <c r="F42" s="162" t="s">
        <v>47</v>
      </c>
      <c r="G42" s="163"/>
    </row>
    <row r="43" spans="1:7">
      <c r="A43" s="162">
        <f t="shared" si="0"/>
        <v>37</v>
      </c>
      <c r="B43" s="163" t="s">
        <v>10</v>
      </c>
      <c r="C43" s="162" t="s">
        <v>86</v>
      </c>
      <c r="D43" s="162" t="s">
        <v>94</v>
      </c>
      <c r="E43" s="162" t="s">
        <v>103</v>
      </c>
      <c r="F43" s="162" t="s">
        <v>47</v>
      </c>
      <c r="G43" s="163"/>
    </row>
    <row r="44" spans="1:7">
      <c r="A44" s="162">
        <f t="shared" si="0"/>
        <v>38</v>
      </c>
      <c r="B44" s="163" t="s">
        <v>41</v>
      </c>
      <c r="C44" s="162" t="s">
        <v>87</v>
      </c>
      <c r="D44" s="162" t="s">
        <v>94</v>
      </c>
      <c r="E44" s="162" t="s">
        <v>101</v>
      </c>
      <c r="F44" s="162" t="s">
        <v>47</v>
      </c>
      <c r="G44" s="163"/>
    </row>
    <row r="45" spans="1:7" ht="26.25">
      <c r="A45" s="168">
        <f t="shared" si="0"/>
        <v>39</v>
      </c>
      <c r="B45" s="217" t="s">
        <v>11</v>
      </c>
      <c r="C45" s="168" t="s">
        <v>88</v>
      </c>
      <c r="D45" s="168" t="s">
        <v>95</v>
      </c>
      <c r="E45" s="168" t="s">
        <v>101</v>
      </c>
      <c r="F45" s="168" t="s">
        <v>47</v>
      </c>
      <c r="G45" s="169" t="s">
        <v>315</v>
      </c>
    </row>
    <row r="46" spans="1:7">
      <c r="A46" s="186">
        <f t="shared" si="0"/>
        <v>40</v>
      </c>
      <c r="B46" s="221" t="s">
        <v>12</v>
      </c>
      <c r="C46" s="222" t="s">
        <v>89</v>
      </c>
      <c r="D46" s="222" t="s">
        <v>94</v>
      </c>
      <c r="E46" s="222" t="s">
        <v>101</v>
      </c>
      <c r="F46" s="222" t="s">
        <v>47</v>
      </c>
      <c r="G46" s="187" t="s">
        <v>285</v>
      </c>
    </row>
    <row r="47" spans="1:7">
      <c r="A47" s="162">
        <f t="shared" si="0"/>
        <v>41</v>
      </c>
      <c r="B47" s="193" t="s">
        <v>27</v>
      </c>
      <c r="C47" s="162" t="s">
        <v>90</v>
      </c>
      <c r="D47" s="162" t="s">
        <v>95</v>
      </c>
      <c r="E47" s="162" t="s">
        <v>104</v>
      </c>
      <c r="F47" s="162" t="s">
        <v>47</v>
      </c>
      <c r="G47" s="163"/>
    </row>
    <row r="48" spans="1:7">
      <c r="A48" s="162">
        <f t="shared" si="0"/>
        <v>42</v>
      </c>
      <c r="B48" s="193" t="s">
        <v>28</v>
      </c>
      <c r="C48" s="162" t="s">
        <v>91</v>
      </c>
      <c r="D48" s="162" t="s">
        <v>95</v>
      </c>
      <c r="E48" s="162" t="s">
        <v>100</v>
      </c>
      <c r="F48" s="162" t="s">
        <v>47</v>
      </c>
      <c r="G48" s="163"/>
    </row>
    <row r="49" spans="1:7">
      <c r="A49" s="162">
        <f t="shared" si="0"/>
        <v>43</v>
      </c>
      <c r="B49" s="163" t="s">
        <v>29</v>
      </c>
      <c r="C49" s="162" t="s">
        <v>92</v>
      </c>
      <c r="D49" s="162" t="s">
        <v>94</v>
      </c>
      <c r="E49" s="162" t="s">
        <v>101</v>
      </c>
      <c r="F49" s="162" t="s">
        <v>47</v>
      </c>
      <c r="G49" s="176"/>
    </row>
    <row r="50" spans="1:7">
      <c r="A50" s="186">
        <f t="shared" si="0"/>
        <v>44</v>
      </c>
      <c r="B50" s="179" t="s">
        <v>42</v>
      </c>
      <c r="C50" s="186" t="s">
        <v>93</v>
      </c>
      <c r="D50" s="186" t="s">
        <v>95</v>
      </c>
      <c r="E50" s="186" t="s">
        <v>100</v>
      </c>
      <c r="F50" s="186" t="s">
        <v>47</v>
      </c>
      <c r="G50" s="187"/>
    </row>
  </sheetData>
  <mergeCells count="1">
    <mergeCell ref="B4:G4"/>
  </mergeCells>
  <printOptions horizontalCentered="1" verticalCentered="1"/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N565"/>
  <sheetViews>
    <sheetView topLeftCell="A100" workbookViewId="0">
      <selection activeCell="J153" sqref="J153"/>
    </sheetView>
  </sheetViews>
  <sheetFormatPr defaultRowHeight="15"/>
  <cols>
    <col min="1" max="1" width="8.140625" customWidth="1"/>
    <col min="2" max="2" width="25.42578125" customWidth="1"/>
    <col min="3" max="3" width="6.140625" customWidth="1"/>
    <col min="4" max="4" width="10.5703125" customWidth="1"/>
    <col min="5" max="5" width="9.140625" customWidth="1"/>
    <col min="6" max="6" width="9.5703125" customWidth="1"/>
    <col min="7" max="7" width="8.85546875" customWidth="1"/>
    <col min="8" max="8" width="8" customWidth="1"/>
    <col min="9" max="9" width="10.28515625" customWidth="1"/>
    <col min="10" max="10" width="7.42578125" customWidth="1"/>
    <col min="16" max="16" width="16.5703125" customWidth="1"/>
    <col min="27" max="27" width="11.28515625" customWidth="1"/>
    <col min="28" max="28" width="9.85546875" bestFit="1" customWidth="1"/>
    <col min="120" max="120" width="7" customWidth="1"/>
    <col min="121" max="121" width="23" customWidth="1"/>
    <col min="122" max="122" width="7.5703125" customWidth="1"/>
    <col min="123" max="125" width="7.7109375" customWidth="1"/>
    <col min="126" max="126" width="7.28515625" customWidth="1"/>
    <col min="127" max="127" width="8.140625" customWidth="1"/>
    <col min="128" max="128" width="7.85546875" customWidth="1"/>
    <col min="129" max="129" width="8.28515625" customWidth="1"/>
    <col min="130" max="130" width="7.5703125" customWidth="1"/>
    <col min="131" max="131" width="8.140625" customWidth="1"/>
    <col min="132" max="132" width="7.5703125" customWidth="1"/>
    <col min="133" max="133" width="8.5703125" customWidth="1"/>
    <col min="134" max="138" width="7.85546875" customWidth="1"/>
    <col min="139" max="142" width="8.28515625" customWidth="1"/>
    <col min="143" max="146" width="8.140625" customWidth="1"/>
    <col min="147" max="147" width="2.7109375" customWidth="1"/>
  </cols>
  <sheetData>
    <row r="5" spans="1:10" ht="45">
      <c r="A5" s="4" t="s">
        <v>105</v>
      </c>
      <c r="B5" s="4" t="s">
        <v>48</v>
      </c>
      <c r="C5" s="4" t="s">
        <v>49</v>
      </c>
      <c r="D5" s="5" t="s">
        <v>45</v>
      </c>
      <c r="E5" s="5" t="s">
        <v>106</v>
      </c>
      <c r="F5" s="6" t="s">
        <v>108</v>
      </c>
      <c r="G5" s="6" t="s">
        <v>136</v>
      </c>
      <c r="H5" s="6" t="s">
        <v>107</v>
      </c>
      <c r="I5" s="6" t="s">
        <v>109</v>
      </c>
      <c r="J5" s="6" t="s">
        <v>110</v>
      </c>
    </row>
    <row r="6" spans="1:10">
      <c r="A6" s="1">
        <v>1</v>
      </c>
      <c r="B6" t="s">
        <v>43</v>
      </c>
      <c r="C6" s="1" t="s">
        <v>51</v>
      </c>
      <c r="D6" s="1" t="s">
        <v>95</v>
      </c>
      <c r="E6" s="9">
        <f>AVERAGE(AK164:AK267)</f>
        <v>3.7757993152345522E-2</v>
      </c>
      <c r="F6" s="9">
        <f>E6*(1+0.5*I6)</f>
        <v>3.8728854644329007E-2</v>
      </c>
      <c r="G6" s="9">
        <v>5.5500000000000001E-2</v>
      </c>
      <c r="H6" s="62">
        <f t="shared" ref="H6:H17" si="0">$U$114</f>
        <v>4.3276444947631866E-2</v>
      </c>
      <c r="I6" s="9">
        <f>G6*2/3+H6/3</f>
        <v>5.1425481649210618E-2</v>
      </c>
      <c r="J6" s="9">
        <f t="shared" ref="J6:J17" si="1">F6+I6</f>
        <v>9.0154336293539625E-2</v>
      </c>
    </row>
    <row r="7" spans="1:10">
      <c r="A7" s="1">
        <f t="shared" ref="A7:A17" si="2">+A6+1</f>
        <v>2</v>
      </c>
      <c r="B7" t="s">
        <v>17</v>
      </c>
      <c r="C7" s="1" t="s">
        <v>55</v>
      </c>
      <c r="D7" s="1" t="s">
        <v>95</v>
      </c>
      <c r="E7" s="9">
        <f>AVERAGE(AP164:AP267)</f>
        <v>5.6072765128524084E-2</v>
      </c>
      <c r="F7" s="9">
        <f t="shared" ref="F7:F17" si="3">E7*(1+0.5*I7)</f>
        <v>5.6551967137553123E-2</v>
      </c>
      <c r="G7" s="9">
        <v>4.0000000000000001E-3</v>
      </c>
      <c r="H7" s="62">
        <f t="shared" si="0"/>
        <v>4.3276444947631866E-2</v>
      </c>
      <c r="I7" s="9">
        <f t="shared" ref="I7:I17" si="4">G7*2/3+H7/3</f>
        <v>1.7092148315877288E-2</v>
      </c>
      <c r="J7" s="9">
        <f t="shared" si="1"/>
        <v>7.3644115453430414E-2</v>
      </c>
    </row>
    <row r="8" spans="1:10">
      <c r="A8" s="1">
        <f t="shared" si="2"/>
        <v>3</v>
      </c>
      <c r="B8" t="s">
        <v>0</v>
      </c>
      <c r="C8" s="1" t="s">
        <v>59</v>
      </c>
      <c r="D8" s="1" t="s">
        <v>95</v>
      </c>
      <c r="E8" s="9">
        <f>AVERAGE(AU164:AU267)</f>
        <v>3.9936059368107624E-2</v>
      </c>
      <c r="F8" s="9">
        <f t="shared" si="3"/>
        <v>4.0616812397672224E-2</v>
      </c>
      <c r="G8" s="9">
        <v>2.9499999999999998E-2</v>
      </c>
      <c r="H8" s="62">
        <f t="shared" si="0"/>
        <v>4.3276444947631866E-2</v>
      </c>
      <c r="I8" s="9">
        <f t="shared" si="4"/>
        <v>3.4092148315877285E-2</v>
      </c>
      <c r="J8" s="9">
        <f t="shared" si="1"/>
        <v>7.4708960713549516E-2</v>
      </c>
    </row>
    <row r="9" spans="1:10">
      <c r="A9" s="1">
        <f t="shared" si="2"/>
        <v>4</v>
      </c>
      <c r="B9" t="s">
        <v>3</v>
      </c>
      <c r="C9" s="1" t="s">
        <v>62</v>
      </c>
      <c r="D9" s="1" t="s">
        <v>95</v>
      </c>
      <c r="E9" s="9">
        <f>AVERAGE(BE164:BE267)</f>
        <v>4.6088801539862244E-2</v>
      </c>
      <c r="F9" s="9">
        <f t="shared" si="3"/>
        <v>4.6912842003377808E-2</v>
      </c>
      <c r="G9" s="9">
        <v>3.2000000000000001E-2</v>
      </c>
      <c r="H9" s="62">
        <f t="shared" si="0"/>
        <v>4.3276444947631866E-2</v>
      </c>
      <c r="I9" s="9">
        <f t="shared" si="4"/>
        <v>3.5758814982543956E-2</v>
      </c>
      <c r="J9" s="9">
        <f t="shared" si="1"/>
        <v>8.2671656985921771E-2</v>
      </c>
    </row>
    <row r="10" spans="1:10">
      <c r="A10" s="1">
        <f t="shared" si="2"/>
        <v>5</v>
      </c>
      <c r="B10" t="s">
        <v>1</v>
      </c>
      <c r="C10" s="1" t="s">
        <v>67</v>
      </c>
      <c r="D10" s="1" t="s">
        <v>95</v>
      </c>
      <c r="E10" s="9">
        <f>AVERAGE(BO164:BO267)</f>
        <v>3.3082652016690188E-2</v>
      </c>
      <c r="F10" s="9">
        <f t="shared" si="3"/>
        <v>3.4045778690642695E-2</v>
      </c>
      <c r="G10" s="9">
        <v>6.5699999999999995E-2</v>
      </c>
      <c r="H10" s="62">
        <f t="shared" si="0"/>
        <v>4.3276444947631866E-2</v>
      </c>
      <c r="I10" s="9">
        <f t="shared" si="4"/>
        <v>5.8225481649210618E-2</v>
      </c>
      <c r="J10" s="9">
        <f t="shared" si="1"/>
        <v>9.2271260339853306E-2</v>
      </c>
    </row>
    <row r="11" spans="1:10">
      <c r="A11" s="1">
        <f t="shared" si="2"/>
        <v>6</v>
      </c>
      <c r="B11" t="s">
        <v>6</v>
      </c>
      <c r="C11" s="1" t="s">
        <v>75</v>
      </c>
      <c r="D11" s="1" t="s">
        <v>95</v>
      </c>
      <c r="E11" s="9">
        <f>AVERAGE(BT164:BT267)</f>
        <v>3.0480963452020105E-2</v>
      </c>
      <c r="F11" s="9">
        <f t="shared" si="3"/>
        <v>3.1402892932995322E-2</v>
      </c>
      <c r="G11" s="9">
        <v>6.9099999999999995E-2</v>
      </c>
      <c r="H11" s="62">
        <f t="shared" si="0"/>
        <v>4.3276444947631866E-2</v>
      </c>
      <c r="I11" s="9">
        <f t="shared" si="4"/>
        <v>6.0492148315877285E-2</v>
      </c>
      <c r="J11" s="9">
        <f t="shared" si="1"/>
        <v>9.18950412488726E-2</v>
      </c>
    </row>
    <row r="12" spans="1:10">
      <c r="A12" s="1">
        <f t="shared" si="2"/>
        <v>7</v>
      </c>
      <c r="B12" t="s">
        <v>25</v>
      </c>
      <c r="C12" s="1" t="s">
        <v>77</v>
      </c>
      <c r="D12" s="1" t="s">
        <v>95</v>
      </c>
      <c r="E12" s="9">
        <f>AVERAGE(CD164:CD267)</f>
        <v>4.0963893861190717E-2</v>
      </c>
      <c r="F12" s="9">
        <f t="shared" si="3"/>
        <v>4.1555661309707406E-2</v>
      </c>
      <c r="G12" s="9">
        <v>2.1700000000000001E-2</v>
      </c>
      <c r="H12" s="62">
        <f t="shared" si="0"/>
        <v>4.3276444947631866E-2</v>
      </c>
      <c r="I12" s="9">
        <f t="shared" si="4"/>
        <v>2.8892148315877289E-2</v>
      </c>
      <c r="J12" s="9">
        <f t="shared" si="1"/>
        <v>7.0447809625584695E-2</v>
      </c>
    </row>
    <row r="13" spans="1:10">
      <c r="A13" s="1">
        <f t="shared" si="2"/>
        <v>8</v>
      </c>
      <c r="B13" t="s">
        <v>39</v>
      </c>
      <c r="C13" s="1" t="s">
        <v>81</v>
      </c>
      <c r="D13" s="1" t="s">
        <v>95</v>
      </c>
      <c r="E13" s="9">
        <f>AVERAGE(CI164:CI267)</f>
        <v>3.8680848393955407E-2</v>
      </c>
      <c r="F13" s="9">
        <f t="shared" si="3"/>
        <v>3.9598077326797126E-2</v>
      </c>
      <c r="G13" s="9">
        <v>4.9500000000000002E-2</v>
      </c>
      <c r="H13" s="62">
        <f t="shared" si="0"/>
        <v>4.3276444947631866E-2</v>
      </c>
      <c r="I13" s="9">
        <f t="shared" si="4"/>
        <v>4.7425481649210621E-2</v>
      </c>
      <c r="J13" s="9">
        <f t="shared" si="1"/>
        <v>8.7023558976007748E-2</v>
      </c>
    </row>
    <row r="14" spans="1:10">
      <c r="A14" s="1">
        <f t="shared" si="2"/>
        <v>9</v>
      </c>
      <c r="B14" t="s">
        <v>7</v>
      </c>
      <c r="C14" s="1" t="s">
        <v>84</v>
      </c>
      <c r="D14" s="1" t="s">
        <v>95</v>
      </c>
      <c r="E14" s="9">
        <f>AVERAGE(CS164:CS267)</f>
        <v>4.5102646374109025E-2</v>
      </c>
      <c r="F14" s="9">
        <f t="shared" si="3"/>
        <v>4.5991743152585661E-2</v>
      </c>
      <c r="G14" s="9">
        <v>3.7499999999999999E-2</v>
      </c>
      <c r="H14" s="62">
        <f t="shared" si="0"/>
        <v>4.3276444947631866E-2</v>
      </c>
      <c r="I14" s="9">
        <f t="shared" si="4"/>
        <v>3.9425481649210621E-2</v>
      </c>
      <c r="J14" s="9">
        <f t="shared" si="1"/>
        <v>8.5417224801796282E-2</v>
      </c>
    </row>
    <row r="15" spans="1:10">
      <c r="A15" s="1">
        <f t="shared" si="2"/>
        <v>10</v>
      </c>
      <c r="B15" t="s">
        <v>27</v>
      </c>
      <c r="C15" s="1" t="s">
        <v>90</v>
      </c>
      <c r="D15" s="1" t="s">
        <v>95</v>
      </c>
      <c r="E15" s="9">
        <f>AVERAGE(DC164:DC267)</f>
        <v>3.7079774110444684E-2</v>
      </c>
      <c r="F15" s="9">
        <f t="shared" si="3"/>
        <v>3.7965217146112312E-2</v>
      </c>
      <c r="G15" s="9">
        <v>0.05</v>
      </c>
      <c r="H15" s="62">
        <f t="shared" si="0"/>
        <v>4.3276444947631866E-2</v>
      </c>
      <c r="I15" s="9">
        <f t="shared" si="4"/>
        <v>4.7758814982543953E-2</v>
      </c>
      <c r="J15" s="9">
        <f t="shared" si="1"/>
        <v>8.5724032128656258E-2</v>
      </c>
    </row>
    <row r="16" spans="1:10">
      <c r="A16" s="1">
        <f t="shared" si="2"/>
        <v>11</v>
      </c>
      <c r="B16" t="s">
        <v>28</v>
      </c>
      <c r="C16" s="1" t="s">
        <v>91</v>
      </c>
      <c r="D16" s="1" t="s">
        <v>95</v>
      </c>
      <c r="E16" s="9">
        <f>AVERAGE(DH164:DH267)</f>
        <v>3.6120697868361355E-2</v>
      </c>
      <c r="F16" s="9">
        <f t="shared" si="3"/>
        <v>3.7136149685938473E-2</v>
      </c>
      <c r="G16" s="9">
        <v>6.2700000000000006E-2</v>
      </c>
      <c r="H16" s="62">
        <f t="shared" si="0"/>
        <v>4.3276444947631866E-2</v>
      </c>
      <c r="I16" s="9">
        <f t="shared" si="4"/>
        <v>5.6225481649210624E-2</v>
      </c>
      <c r="J16" s="9">
        <f t="shared" si="1"/>
        <v>9.3361631335149103E-2</v>
      </c>
    </row>
    <row r="17" spans="1:11">
      <c r="A17" s="1">
        <f t="shared" si="2"/>
        <v>12</v>
      </c>
      <c r="B17" t="s">
        <v>42</v>
      </c>
      <c r="C17" s="1" t="s">
        <v>93</v>
      </c>
      <c r="D17" s="1" t="s">
        <v>95</v>
      </c>
      <c r="E17" s="9">
        <f>AVERAGE(DM164:DM267)</f>
        <v>3.5986642863581463E-2</v>
      </c>
      <c r="F17" s="9">
        <f t="shared" si="3"/>
        <v>3.6826789696569884E-2</v>
      </c>
      <c r="G17" s="9">
        <v>4.8399999999999999E-2</v>
      </c>
      <c r="H17" s="62">
        <f t="shared" si="0"/>
        <v>4.3276444947631866E-2</v>
      </c>
      <c r="I17" s="9">
        <f t="shared" si="4"/>
        <v>4.6692148315877285E-2</v>
      </c>
      <c r="J17" s="9">
        <f t="shared" si="1"/>
        <v>8.3518938012447169E-2</v>
      </c>
    </row>
    <row r="18" spans="1:11">
      <c r="E18" s="1"/>
      <c r="F18" s="1"/>
      <c r="G18" s="1"/>
      <c r="H18" s="1"/>
      <c r="I18" s="1"/>
      <c r="J18" s="1"/>
      <c r="K18" s="1"/>
    </row>
    <row r="19" spans="1:11">
      <c r="I19" s="15" t="s">
        <v>133</v>
      </c>
      <c r="J19" s="9">
        <f>MEDIAN(J6:J17)</f>
        <v>8.557062846522627E-2</v>
      </c>
    </row>
    <row r="20" spans="1:11">
      <c r="I20" s="15" t="s">
        <v>134</v>
      </c>
      <c r="J20" s="9">
        <f>AVERAGE(J6:J17)</f>
        <v>8.4236547159567396E-2</v>
      </c>
    </row>
    <row r="21" spans="1:11">
      <c r="I21" s="15" t="s">
        <v>141</v>
      </c>
      <c r="J21" s="9">
        <f>MAX(J6:J17)</f>
        <v>9.3361631335149103E-2</v>
      </c>
    </row>
    <row r="22" spans="1:11">
      <c r="I22" s="15" t="s">
        <v>138</v>
      </c>
      <c r="J22" s="9">
        <f>MIN(J6:J17)</f>
        <v>7.0447809625584695E-2</v>
      </c>
    </row>
    <row r="23" spans="1:11">
      <c r="I23" s="15"/>
      <c r="J23" s="9"/>
    </row>
    <row r="30" spans="1:11" ht="45">
      <c r="A30" s="7" t="s">
        <v>105</v>
      </c>
      <c r="B30" s="8" t="s">
        <v>48</v>
      </c>
      <c r="C30" s="7" t="s">
        <v>49</v>
      </c>
      <c r="D30" s="5" t="s">
        <v>46</v>
      </c>
      <c r="E30" s="5" t="s">
        <v>106</v>
      </c>
      <c r="F30" s="6" t="s">
        <v>108</v>
      </c>
      <c r="G30" s="6" t="s">
        <v>136</v>
      </c>
      <c r="H30" s="6" t="s">
        <v>107</v>
      </c>
      <c r="I30" s="6" t="s">
        <v>109</v>
      </c>
      <c r="J30" s="6" t="s">
        <v>110</v>
      </c>
    </row>
    <row r="31" spans="1:11">
      <c r="A31" s="1">
        <v>1</v>
      </c>
      <c r="B31" t="s">
        <v>13</v>
      </c>
      <c r="C31" s="1" t="s">
        <v>50</v>
      </c>
      <c r="D31" s="1" t="s">
        <v>100</v>
      </c>
      <c r="E31" s="9">
        <f>AVERAGE(AF164:AF267)</f>
        <v>4.0242437666186424E-2</v>
      </c>
      <c r="F31" s="9">
        <f>E31*(1+0.5*I31)</f>
        <v>4.1203403233659404E-2</v>
      </c>
      <c r="G31" s="9">
        <v>0.05</v>
      </c>
      <c r="H31" s="9">
        <f t="shared" ref="H31:H41" si="5">$U$114</f>
        <v>4.3276444947631866E-2</v>
      </c>
      <c r="I31" s="9">
        <f>G31*2/3+H31/3</f>
        <v>4.7758814982543953E-2</v>
      </c>
      <c r="J31" s="9">
        <f t="shared" ref="J31:J41" si="6">F31+I31</f>
        <v>8.8962218216203356E-2</v>
      </c>
    </row>
    <row r="32" spans="1:11">
      <c r="A32" s="1">
        <f t="shared" ref="A32:A41" si="7">+A31+1</f>
        <v>2</v>
      </c>
      <c r="B32" t="s">
        <v>43</v>
      </c>
      <c r="C32" s="1" t="s">
        <v>51</v>
      </c>
      <c r="D32" s="1" t="s">
        <v>100</v>
      </c>
      <c r="E32" s="9">
        <f>E6</f>
        <v>3.7757993152345522E-2</v>
      </c>
      <c r="F32" s="9">
        <f t="shared" ref="F32:F41" si="8">E32*(1+0.5*I32)</f>
        <v>3.8728854644329007E-2</v>
      </c>
      <c r="G32" s="9">
        <v>5.5500000000000001E-2</v>
      </c>
      <c r="H32" s="9">
        <f t="shared" si="5"/>
        <v>4.3276444947631866E-2</v>
      </c>
      <c r="I32" s="9">
        <f t="shared" ref="I32:I41" si="9">G32*2/3+H32/3</f>
        <v>5.1425481649210618E-2</v>
      </c>
      <c r="J32" s="9">
        <f t="shared" si="6"/>
        <v>9.0154336293539625E-2</v>
      </c>
    </row>
    <row r="33" spans="1:11">
      <c r="A33" s="1">
        <f t="shared" si="7"/>
        <v>3</v>
      </c>
      <c r="B33" t="s">
        <v>0</v>
      </c>
      <c r="C33" s="1" t="s">
        <v>59</v>
      </c>
      <c r="D33" s="1" t="s">
        <v>100</v>
      </c>
      <c r="E33" s="9">
        <f>E8</f>
        <v>3.9936059368107624E-2</v>
      </c>
      <c r="F33" s="9">
        <f t="shared" si="8"/>
        <v>4.0616812397672224E-2</v>
      </c>
      <c r="G33" s="9">
        <v>2.9499999999999998E-2</v>
      </c>
      <c r="H33" s="9">
        <f t="shared" si="5"/>
        <v>4.3276444947631866E-2</v>
      </c>
      <c r="I33" s="9">
        <f t="shared" si="9"/>
        <v>3.4092148315877285E-2</v>
      </c>
      <c r="J33" s="9">
        <f t="shared" si="6"/>
        <v>7.4708960713549516E-2</v>
      </c>
    </row>
    <row r="34" spans="1:11">
      <c r="A34" s="1">
        <f t="shared" si="7"/>
        <v>4</v>
      </c>
      <c r="B34" t="s">
        <v>19</v>
      </c>
      <c r="C34" s="1" t="s">
        <v>61</v>
      </c>
      <c r="D34" s="1" t="s">
        <v>100</v>
      </c>
      <c r="E34" s="9">
        <f>AVERAGE(AZ164:AZ267)</f>
        <v>3.6015187725119836E-2</v>
      </c>
      <c r="F34" s="9">
        <f t="shared" si="8"/>
        <v>3.6881211599970154E-2</v>
      </c>
      <c r="G34" s="9">
        <v>5.0500000000000003E-2</v>
      </c>
      <c r="H34" s="9">
        <f t="shared" si="5"/>
        <v>4.3276444947631866E-2</v>
      </c>
      <c r="I34" s="9">
        <f t="shared" si="9"/>
        <v>4.8092148315877291E-2</v>
      </c>
      <c r="J34" s="9">
        <f t="shared" si="6"/>
        <v>8.4973359915847452E-2</v>
      </c>
    </row>
    <row r="35" spans="1:11">
      <c r="A35" s="1">
        <f t="shared" si="7"/>
        <v>5</v>
      </c>
      <c r="B35" s="16" t="s">
        <v>32</v>
      </c>
      <c r="C35" s="17" t="s">
        <v>63</v>
      </c>
      <c r="D35" s="17" t="s">
        <v>100</v>
      </c>
      <c r="E35" s="18">
        <f>AVERAGE(BJ164:BJ267)</f>
        <v>2.9334090312727341E-2</v>
      </c>
      <c r="F35" s="18">
        <f t="shared" si="8"/>
        <v>2.9486023519842728E-2</v>
      </c>
      <c r="G35" s="18">
        <v>-6.1000000000000004E-3</v>
      </c>
      <c r="H35" s="18">
        <f t="shared" si="5"/>
        <v>4.3276444947631866E-2</v>
      </c>
      <c r="I35" s="18">
        <f t="shared" si="9"/>
        <v>1.0358814982543953E-2</v>
      </c>
      <c r="J35" s="18">
        <f t="shared" si="6"/>
        <v>3.9844838502386681E-2</v>
      </c>
    </row>
    <row r="36" spans="1:11">
      <c r="A36" s="1">
        <f t="shared" si="7"/>
        <v>6</v>
      </c>
      <c r="B36" t="s">
        <v>36</v>
      </c>
      <c r="C36" s="1" t="s">
        <v>76</v>
      </c>
      <c r="D36" s="1" t="s">
        <v>100</v>
      </c>
      <c r="E36" s="9">
        <f>AVERAGE(BY164:BY267)</f>
        <v>3.5653621278975402E-2</v>
      </c>
      <c r="F36" s="9">
        <f t="shared" si="8"/>
        <v>3.672011881175203E-2</v>
      </c>
      <c r="G36" s="9">
        <v>6.8099999999999994E-2</v>
      </c>
      <c r="H36" s="9">
        <f t="shared" si="5"/>
        <v>4.3276444947631866E-2</v>
      </c>
      <c r="I36" s="9">
        <f t="shared" si="9"/>
        <v>5.9825481649210616E-2</v>
      </c>
      <c r="J36" s="9">
        <f t="shared" si="6"/>
        <v>9.6545600460962638E-2</v>
      </c>
    </row>
    <row r="37" spans="1:11">
      <c r="A37" s="1">
        <f t="shared" si="7"/>
        <v>7</v>
      </c>
      <c r="B37" t="s">
        <v>25</v>
      </c>
      <c r="C37" s="1" t="s">
        <v>77</v>
      </c>
      <c r="D37" s="1" t="s">
        <v>100</v>
      </c>
      <c r="E37" s="9">
        <f>E12</f>
        <v>4.0963893861190717E-2</v>
      </c>
      <c r="F37" s="9">
        <f t="shared" si="8"/>
        <v>4.1555661309707406E-2</v>
      </c>
      <c r="G37" s="9">
        <v>2.1700000000000001E-2</v>
      </c>
      <c r="H37" s="9">
        <f t="shared" si="5"/>
        <v>4.3276444947631866E-2</v>
      </c>
      <c r="I37" s="9">
        <f t="shared" si="9"/>
        <v>2.8892148315877289E-2</v>
      </c>
      <c r="J37" s="9">
        <f t="shared" si="6"/>
        <v>7.0447809625584695E-2</v>
      </c>
    </row>
    <row r="38" spans="1:11">
      <c r="A38" s="1">
        <f t="shared" si="7"/>
        <v>8</v>
      </c>
      <c r="B38" t="s">
        <v>39</v>
      </c>
      <c r="C38" s="1" t="s">
        <v>81</v>
      </c>
      <c r="D38" s="1" t="s">
        <v>100</v>
      </c>
      <c r="E38" s="9">
        <f>E13</f>
        <v>3.8680848393955407E-2</v>
      </c>
      <c r="F38" s="9">
        <f t="shared" si="8"/>
        <v>3.9598077326797126E-2</v>
      </c>
      <c r="G38" s="9">
        <v>4.9500000000000002E-2</v>
      </c>
      <c r="H38" s="9">
        <f t="shared" si="5"/>
        <v>4.3276444947631866E-2</v>
      </c>
      <c r="I38" s="9">
        <f t="shared" si="9"/>
        <v>4.7425481649210621E-2</v>
      </c>
      <c r="J38" s="9">
        <f t="shared" si="6"/>
        <v>8.7023558976007748E-2</v>
      </c>
    </row>
    <row r="39" spans="1:11">
      <c r="A39" s="1">
        <f t="shared" si="7"/>
        <v>9</v>
      </c>
      <c r="B39" t="s">
        <v>40</v>
      </c>
      <c r="C39" s="1" t="s">
        <v>83</v>
      </c>
      <c r="D39" s="1" t="s">
        <v>100</v>
      </c>
      <c r="E39" s="9">
        <f>AVERAGE(CN164:CN267)</f>
        <v>3.2540958553764404E-2</v>
      </c>
      <c r="F39" s="9">
        <f t="shared" si="8"/>
        <v>3.3223648583420418E-2</v>
      </c>
      <c r="G39" s="9">
        <v>4.1300000000000003E-2</v>
      </c>
      <c r="H39" s="9">
        <f t="shared" si="5"/>
        <v>4.3276444947631866E-2</v>
      </c>
      <c r="I39" s="9">
        <f t="shared" si="9"/>
        <v>4.195881498254396E-2</v>
      </c>
      <c r="J39" s="9">
        <f t="shared" si="6"/>
        <v>7.5182463565964378E-2</v>
      </c>
    </row>
    <row r="40" spans="1:11">
      <c r="A40" s="1">
        <f t="shared" si="7"/>
        <v>10</v>
      </c>
      <c r="B40" t="s">
        <v>28</v>
      </c>
      <c r="C40" s="1" t="s">
        <v>91</v>
      </c>
      <c r="D40" s="1" t="s">
        <v>100</v>
      </c>
      <c r="E40" s="9">
        <f>E16</f>
        <v>3.6120697868361355E-2</v>
      </c>
      <c r="F40" s="9">
        <f t="shared" si="8"/>
        <v>3.7136149685938473E-2</v>
      </c>
      <c r="G40" s="9">
        <v>6.2700000000000006E-2</v>
      </c>
      <c r="H40" s="9">
        <f t="shared" si="5"/>
        <v>4.3276444947631866E-2</v>
      </c>
      <c r="I40" s="9">
        <f t="shared" si="9"/>
        <v>5.6225481649210624E-2</v>
      </c>
      <c r="J40" s="9">
        <f t="shared" si="6"/>
        <v>9.3361631335149103E-2</v>
      </c>
    </row>
    <row r="41" spans="1:11">
      <c r="A41" s="1">
        <f t="shared" si="7"/>
        <v>11</v>
      </c>
      <c r="B41" t="s">
        <v>42</v>
      </c>
      <c r="C41" s="1" t="s">
        <v>93</v>
      </c>
      <c r="D41" s="1" t="s">
        <v>100</v>
      </c>
      <c r="E41" s="9">
        <f>E17</f>
        <v>3.5986642863581463E-2</v>
      </c>
      <c r="F41" s="9">
        <f t="shared" si="8"/>
        <v>3.6826789696569884E-2</v>
      </c>
      <c r="G41" s="9">
        <v>4.8399999999999999E-2</v>
      </c>
      <c r="H41" s="9">
        <f t="shared" si="5"/>
        <v>4.3276444947631866E-2</v>
      </c>
      <c r="I41" s="9">
        <f t="shared" si="9"/>
        <v>4.6692148315877285E-2</v>
      </c>
      <c r="J41" s="9">
        <f t="shared" si="6"/>
        <v>8.3518938012447169E-2</v>
      </c>
    </row>
    <row r="42" spans="1:11">
      <c r="H42" s="1"/>
      <c r="I42" s="1"/>
      <c r="J42" s="1"/>
      <c r="K42" s="1"/>
    </row>
    <row r="43" spans="1:11">
      <c r="I43" s="15" t="s">
        <v>133</v>
      </c>
      <c r="J43" s="9">
        <f>MEDIAN(J31:J34,J36:J41)</f>
        <v>8.59984594459276E-2</v>
      </c>
    </row>
    <row r="44" spans="1:11">
      <c r="I44" s="15" t="s">
        <v>134</v>
      </c>
      <c r="J44" s="9">
        <f>AVERAGE(J31:J34,J36:J41)</f>
        <v>8.4487887711525572E-2</v>
      </c>
    </row>
    <row r="45" spans="1:11">
      <c r="I45" s="15" t="s">
        <v>141</v>
      </c>
      <c r="J45" s="9">
        <f>MAX(J31:J34,J36:J41)</f>
        <v>9.6545600460962638E-2</v>
      </c>
    </row>
    <row r="46" spans="1:11">
      <c r="I46" s="15" t="s">
        <v>138</v>
      </c>
      <c r="J46" s="9">
        <f>MIN(J31:J34,J36:J41)</f>
        <v>7.0447809625584695E-2</v>
      </c>
    </row>
    <row r="47" spans="1:11">
      <c r="I47" s="15"/>
      <c r="J47" s="9"/>
    </row>
    <row r="54" spans="1:10" ht="45">
      <c r="A54" s="4" t="s">
        <v>105</v>
      </c>
      <c r="B54" s="4" t="s">
        <v>48</v>
      </c>
      <c r="C54" s="4" t="s">
        <v>49</v>
      </c>
      <c r="D54" s="5" t="s">
        <v>45</v>
      </c>
      <c r="E54" s="5" t="s">
        <v>106</v>
      </c>
      <c r="F54" s="6" t="s">
        <v>108</v>
      </c>
      <c r="G54" s="6" t="s">
        <v>135</v>
      </c>
      <c r="H54" s="6" t="s">
        <v>107</v>
      </c>
      <c r="I54" s="6" t="s">
        <v>109</v>
      </c>
      <c r="J54" s="6" t="s">
        <v>110</v>
      </c>
    </row>
    <row r="55" spans="1:10">
      <c r="A55" s="1">
        <v>1</v>
      </c>
      <c r="B55" t="s">
        <v>43</v>
      </c>
      <c r="C55" s="1" t="s">
        <v>51</v>
      </c>
      <c r="D55" s="1" t="s">
        <v>95</v>
      </c>
      <c r="E55" s="9">
        <f>E6</f>
        <v>3.7757993152345522E-2</v>
      </c>
      <c r="F55" s="9">
        <f>E55*(1+0.5*I55)</f>
        <v>3.8709975647752831E-2</v>
      </c>
      <c r="G55" s="9">
        <v>5.3999999999999999E-2</v>
      </c>
      <c r="H55" s="62">
        <f t="shared" ref="H55:H66" si="10">$U$114</f>
        <v>4.3276444947631866E-2</v>
      </c>
      <c r="I55" s="9">
        <f>G55*2/3+H55/3</f>
        <v>5.0425481649210617E-2</v>
      </c>
      <c r="J55" s="9">
        <f t="shared" ref="J55:J66" si="11">F55+I55</f>
        <v>8.9135457296963455E-2</v>
      </c>
    </row>
    <row r="56" spans="1:10">
      <c r="A56" s="1">
        <f t="shared" ref="A56:A66" si="12">+A55+1</f>
        <v>2</v>
      </c>
      <c r="B56" t="s">
        <v>17</v>
      </c>
      <c r="C56" s="1" t="s">
        <v>55</v>
      </c>
      <c r="D56" s="1" t="s">
        <v>95</v>
      </c>
      <c r="E56" s="9">
        <f t="shared" ref="E56:E66" si="13">E7</f>
        <v>5.6072765128524084E-2</v>
      </c>
      <c r="F56" s="9">
        <f t="shared" ref="F56:F66" si="14">E56*(1+0.5*I56)</f>
        <v>5.6981858336871812E-2</v>
      </c>
      <c r="G56" s="9">
        <v>2.7E-2</v>
      </c>
      <c r="H56" s="62">
        <f t="shared" si="10"/>
        <v>4.3276444947631866E-2</v>
      </c>
      <c r="I56" s="9">
        <f t="shared" ref="I56:I66" si="15">G56*2/3+H56/3</f>
        <v>3.2425481649210622E-2</v>
      </c>
      <c r="J56" s="9">
        <f t="shared" si="11"/>
        <v>8.940733998608244E-2</v>
      </c>
    </row>
    <row r="57" spans="1:10">
      <c r="A57" s="1">
        <f t="shared" si="12"/>
        <v>3</v>
      </c>
      <c r="B57" t="s">
        <v>0</v>
      </c>
      <c r="C57" s="1" t="s">
        <v>59</v>
      </c>
      <c r="D57" s="1" t="s">
        <v>95</v>
      </c>
      <c r="E57" s="9">
        <f t="shared" si="13"/>
        <v>3.9936059368107624E-2</v>
      </c>
      <c r="F57" s="9">
        <f t="shared" si="14"/>
        <v>4.0636780427356287E-2</v>
      </c>
      <c r="G57" s="9">
        <v>3.1E-2</v>
      </c>
      <c r="H57" s="62">
        <f t="shared" si="10"/>
        <v>4.3276444947631866E-2</v>
      </c>
      <c r="I57" s="9">
        <f t="shared" si="15"/>
        <v>3.5092148315877286E-2</v>
      </c>
      <c r="J57" s="9">
        <f t="shared" si="11"/>
        <v>7.5728928743233573E-2</v>
      </c>
    </row>
    <row r="58" spans="1:10">
      <c r="A58" s="1">
        <f t="shared" si="12"/>
        <v>4</v>
      </c>
      <c r="B58" t="s">
        <v>3</v>
      </c>
      <c r="C58" s="1" t="s">
        <v>62</v>
      </c>
      <c r="D58" s="1" t="s">
        <v>95</v>
      </c>
      <c r="E58" s="9">
        <f t="shared" si="13"/>
        <v>4.6088801539862244E-2</v>
      </c>
      <c r="F58" s="9">
        <f t="shared" si="14"/>
        <v>4.7035745474150771E-2</v>
      </c>
      <c r="G58" s="9">
        <v>0.04</v>
      </c>
      <c r="H58" s="62">
        <f t="shared" si="10"/>
        <v>4.3276444947631866E-2</v>
      </c>
      <c r="I58" s="9">
        <f t="shared" si="15"/>
        <v>4.1092148315877292E-2</v>
      </c>
      <c r="J58" s="9">
        <f t="shared" si="11"/>
        <v>8.8127893790028056E-2</v>
      </c>
    </row>
    <row r="59" spans="1:10">
      <c r="A59" s="1">
        <f t="shared" si="12"/>
        <v>5</v>
      </c>
      <c r="B59" t="s">
        <v>1</v>
      </c>
      <c r="C59" s="1" t="s">
        <v>67</v>
      </c>
      <c r="D59" s="1" t="s">
        <v>95</v>
      </c>
      <c r="E59" s="9">
        <f t="shared" si="13"/>
        <v>3.3082652016690188E-2</v>
      </c>
      <c r="F59" s="9">
        <f t="shared" si="14"/>
        <v>3.4038059405172134E-2</v>
      </c>
      <c r="G59" s="9">
        <v>6.5000000000000002E-2</v>
      </c>
      <c r="H59" s="62">
        <f t="shared" si="10"/>
        <v>4.3276444947631866E-2</v>
      </c>
      <c r="I59" s="9">
        <f t="shared" si="15"/>
        <v>5.7758814982543955E-2</v>
      </c>
      <c r="J59" s="9">
        <f t="shared" si="11"/>
        <v>9.1796874387716082E-2</v>
      </c>
    </row>
    <row r="60" spans="1:10">
      <c r="A60" s="1">
        <f t="shared" si="12"/>
        <v>6</v>
      </c>
      <c r="B60" t="s">
        <v>6</v>
      </c>
      <c r="C60" s="1" t="s">
        <v>75</v>
      </c>
      <c r="D60" s="1" t="s">
        <v>95</v>
      </c>
      <c r="E60" s="9">
        <f t="shared" si="13"/>
        <v>3.0480963452020105E-2</v>
      </c>
      <c r="F60" s="9">
        <f t="shared" si="14"/>
        <v>3.1412037222030932E-2</v>
      </c>
      <c r="G60" s="9">
        <v>7.0000000000000007E-2</v>
      </c>
      <c r="H60" s="62">
        <f t="shared" si="10"/>
        <v>4.3276444947631866E-2</v>
      </c>
      <c r="I60" s="9">
        <f t="shared" si="15"/>
        <v>6.1092148315877289E-2</v>
      </c>
      <c r="J60" s="9">
        <f t="shared" si="11"/>
        <v>9.2504185537908221E-2</v>
      </c>
    </row>
    <row r="61" spans="1:10">
      <c r="A61" s="1">
        <f t="shared" si="12"/>
        <v>7</v>
      </c>
      <c r="B61" t="s">
        <v>25</v>
      </c>
      <c r="C61" s="1" t="s">
        <v>77</v>
      </c>
      <c r="D61" s="1" t="s">
        <v>95</v>
      </c>
      <c r="E61" s="9">
        <f t="shared" si="13"/>
        <v>4.0963893861190717E-2</v>
      </c>
      <c r="F61" s="9">
        <f t="shared" si="14"/>
        <v>4.2037669794140753E-2</v>
      </c>
      <c r="G61" s="9">
        <v>5.7000000000000002E-2</v>
      </c>
      <c r="H61" s="62">
        <f t="shared" si="10"/>
        <v>4.3276444947631866E-2</v>
      </c>
      <c r="I61" s="9">
        <f t="shared" si="15"/>
        <v>5.2425481649210619E-2</v>
      </c>
      <c r="J61" s="9">
        <f t="shared" si="11"/>
        <v>9.4463151443351379E-2</v>
      </c>
    </row>
    <row r="62" spans="1:10">
      <c r="A62" s="1">
        <f t="shared" si="12"/>
        <v>8</v>
      </c>
      <c r="B62" t="s">
        <v>39</v>
      </c>
      <c r="C62" s="1" t="s">
        <v>81</v>
      </c>
      <c r="D62" s="1" t="s">
        <v>95</v>
      </c>
      <c r="E62" s="9">
        <f t="shared" si="13"/>
        <v>3.8680848393955407E-2</v>
      </c>
      <c r="F62" s="9">
        <f t="shared" si="14"/>
        <v>3.9578736902600144E-2</v>
      </c>
      <c r="G62" s="9">
        <v>4.8000000000000001E-2</v>
      </c>
      <c r="H62" s="62">
        <f t="shared" si="10"/>
        <v>4.3276444947631866E-2</v>
      </c>
      <c r="I62" s="9">
        <f t="shared" si="15"/>
        <v>4.642548164921062E-2</v>
      </c>
      <c r="J62" s="9">
        <f t="shared" si="11"/>
        <v>8.6004218551810757E-2</v>
      </c>
    </row>
    <row r="63" spans="1:10">
      <c r="A63" s="1">
        <f t="shared" si="12"/>
        <v>9</v>
      </c>
      <c r="B63" t="s">
        <v>7</v>
      </c>
      <c r="C63" s="1" t="s">
        <v>84</v>
      </c>
      <c r="D63" s="1" t="s">
        <v>95</v>
      </c>
      <c r="E63" s="9">
        <f t="shared" si="13"/>
        <v>4.5102646374109025E-2</v>
      </c>
      <c r="F63" s="9">
        <f t="shared" si="14"/>
        <v>4.6104499768520935E-2</v>
      </c>
      <c r="G63" s="9">
        <v>4.4999999999999998E-2</v>
      </c>
      <c r="H63" s="62">
        <f t="shared" si="10"/>
        <v>4.3276444947631866E-2</v>
      </c>
      <c r="I63" s="9">
        <f t="shared" si="15"/>
        <v>4.4425481649210619E-2</v>
      </c>
      <c r="J63" s="9">
        <f t="shared" si="11"/>
        <v>9.0529981417731553E-2</v>
      </c>
    </row>
    <row r="64" spans="1:10">
      <c r="A64" s="1">
        <f t="shared" si="12"/>
        <v>10</v>
      </c>
      <c r="B64" t="s">
        <v>27</v>
      </c>
      <c r="C64" s="1" t="s">
        <v>90</v>
      </c>
      <c r="D64" s="1" t="s">
        <v>95</v>
      </c>
      <c r="E64" s="9">
        <f t="shared" si="13"/>
        <v>3.7079774110444684E-2</v>
      </c>
      <c r="F64" s="9">
        <f t="shared" si="14"/>
        <v>3.8051736619036679E-2</v>
      </c>
      <c r="G64" s="9">
        <v>5.7000000000000002E-2</v>
      </c>
      <c r="H64" s="62">
        <f t="shared" si="10"/>
        <v>4.3276444947631866E-2</v>
      </c>
      <c r="I64" s="9">
        <f t="shared" si="15"/>
        <v>5.2425481649210619E-2</v>
      </c>
      <c r="J64" s="9">
        <f t="shared" si="11"/>
        <v>9.0477218268247298E-2</v>
      </c>
    </row>
    <row r="65" spans="1:11">
      <c r="A65" s="1">
        <f t="shared" si="12"/>
        <v>11</v>
      </c>
      <c r="B65" t="s">
        <v>28</v>
      </c>
      <c r="C65" s="1" t="s">
        <v>91</v>
      </c>
      <c r="D65" s="1" t="s">
        <v>95</v>
      </c>
      <c r="E65" s="9">
        <f t="shared" si="13"/>
        <v>3.6120697868361355E-2</v>
      </c>
      <c r="F65" s="9">
        <f t="shared" si="14"/>
        <v>3.7139761755725309E-2</v>
      </c>
      <c r="G65" s="9">
        <v>6.3E-2</v>
      </c>
      <c r="H65" s="62">
        <f t="shared" si="10"/>
        <v>4.3276444947631866E-2</v>
      </c>
      <c r="I65" s="9">
        <f t="shared" si="15"/>
        <v>5.6425481649210622E-2</v>
      </c>
      <c r="J65" s="9">
        <f t="shared" si="11"/>
        <v>9.3565243404935938E-2</v>
      </c>
    </row>
    <row r="66" spans="1:11">
      <c r="A66" s="1">
        <f t="shared" si="12"/>
        <v>12</v>
      </c>
      <c r="B66" t="s">
        <v>42</v>
      </c>
      <c r="C66" s="1" t="s">
        <v>93</v>
      </c>
      <c r="D66" s="1" t="s">
        <v>95</v>
      </c>
      <c r="E66" s="9">
        <f t="shared" si="13"/>
        <v>3.5986642863581463E-2</v>
      </c>
      <c r="F66" s="9">
        <f t="shared" si="14"/>
        <v>3.6845982572763801E-2</v>
      </c>
      <c r="G66" s="9">
        <v>0.05</v>
      </c>
      <c r="H66" s="62">
        <f t="shared" si="10"/>
        <v>4.3276444947631866E-2</v>
      </c>
      <c r="I66" s="9">
        <f t="shared" si="15"/>
        <v>4.7758814982543953E-2</v>
      </c>
      <c r="J66" s="9">
        <f t="shared" si="11"/>
        <v>8.4604797555307754E-2</v>
      </c>
    </row>
    <row r="67" spans="1:11">
      <c r="E67" s="1"/>
      <c r="F67" s="1"/>
      <c r="G67" s="1"/>
      <c r="H67" s="1"/>
      <c r="I67" s="1"/>
      <c r="J67" s="1"/>
      <c r="K67" s="1"/>
    </row>
    <row r="68" spans="1:11">
      <c r="I68" s="15" t="s">
        <v>133</v>
      </c>
      <c r="J68" s="9">
        <f>MEDIAN(J55:J66)</f>
        <v>8.9942279127164876E-2</v>
      </c>
    </row>
    <row r="69" spans="1:11">
      <c r="I69" s="15" t="s">
        <v>134</v>
      </c>
      <c r="J69" s="9">
        <f>AVERAGE(J55:J66)</f>
        <v>8.8862107531943027E-2</v>
      </c>
    </row>
    <row r="70" spans="1:11">
      <c r="I70" s="15" t="s">
        <v>137</v>
      </c>
      <c r="J70" s="9">
        <f>MAX(J55:J66)</f>
        <v>9.4463151443351379E-2</v>
      </c>
    </row>
    <row r="71" spans="1:11">
      <c r="I71" s="15" t="s">
        <v>138</v>
      </c>
      <c r="J71" s="9">
        <f>MIN(J55:J66)</f>
        <v>7.5728928743233573E-2</v>
      </c>
    </row>
    <row r="72" spans="1:11">
      <c r="I72" s="15"/>
      <c r="J72" s="9"/>
    </row>
    <row r="79" spans="1:11" ht="45">
      <c r="A79" s="7" t="s">
        <v>105</v>
      </c>
      <c r="B79" s="8" t="s">
        <v>48</v>
      </c>
      <c r="C79" s="7" t="s">
        <v>49</v>
      </c>
      <c r="D79" s="5" t="s">
        <v>46</v>
      </c>
      <c r="E79" s="5" t="s">
        <v>106</v>
      </c>
      <c r="F79" s="6" t="s">
        <v>108</v>
      </c>
      <c r="G79" s="6" t="s">
        <v>135</v>
      </c>
      <c r="H79" s="6" t="s">
        <v>107</v>
      </c>
      <c r="I79" s="6" t="s">
        <v>109</v>
      </c>
      <c r="J79" s="6" t="s">
        <v>110</v>
      </c>
    </row>
    <row r="80" spans="1:11">
      <c r="A80" s="1">
        <v>1</v>
      </c>
      <c r="B80" t="s">
        <v>13</v>
      </c>
      <c r="C80" s="1" t="s">
        <v>50</v>
      </c>
      <c r="D80" s="1" t="s">
        <v>100</v>
      </c>
      <c r="E80" s="9">
        <f t="shared" ref="E80:E86" si="16">E31</f>
        <v>4.0242437666186424E-2</v>
      </c>
      <c r="F80" s="9">
        <f>E80*(1+0.5*I80)</f>
        <v>4.1203403233659404E-2</v>
      </c>
      <c r="G80" s="9">
        <v>0.05</v>
      </c>
      <c r="H80" s="62">
        <f t="shared" ref="H80:H90" si="17">$U$114</f>
        <v>4.3276444947631866E-2</v>
      </c>
      <c r="I80" s="9">
        <f>G80*2/3+H80/3</f>
        <v>4.7758814982543953E-2</v>
      </c>
      <c r="J80" s="9">
        <f t="shared" ref="J80:J90" si="18">F80+I80</f>
        <v>8.8962218216203356E-2</v>
      </c>
    </row>
    <row r="81" spans="1:22">
      <c r="A81" s="1">
        <f t="shared" ref="A81:A90" si="19">+A80+1</f>
        <v>2</v>
      </c>
      <c r="B81" t="s">
        <v>43</v>
      </c>
      <c r="C81" s="1" t="s">
        <v>51</v>
      </c>
      <c r="D81" s="1" t="s">
        <v>100</v>
      </c>
      <c r="E81" s="9">
        <f t="shared" si="16"/>
        <v>3.7757993152345522E-2</v>
      </c>
      <c r="F81" s="9">
        <f t="shared" ref="F81:F90" si="20">E81*(1+0.5*I81)</f>
        <v>3.8709975647752831E-2</v>
      </c>
      <c r="G81" s="9">
        <v>5.3999999999999999E-2</v>
      </c>
      <c r="H81" s="62">
        <f t="shared" si="17"/>
        <v>4.3276444947631866E-2</v>
      </c>
      <c r="I81" s="9">
        <f t="shared" ref="I81:I90" si="21">G81*2/3+H81/3</f>
        <v>5.0425481649210617E-2</v>
      </c>
      <c r="J81" s="9">
        <f t="shared" si="18"/>
        <v>8.9135457296963455E-2</v>
      </c>
    </row>
    <row r="82" spans="1:22">
      <c r="A82" s="1">
        <f t="shared" si="19"/>
        <v>3</v>
      </c>
      <c r="B82" t="s">
        <v>0</v>
      </c>
      <c r="C82" s="1" t="s">
        <v>59</v>
      </c>
      <c r="D82" s="1" t="s">
        <v>100</v>
      </c>
      <c r="E82" s="9">
        <f t="shared" si="16"/>
        <v>3.9936059368107624E-2</v>
      </c>
      <c r="F82" s="9">
        <f t="shared" si="20"/>
        <v>4.0636780427356287E-2</v>
      </c>
      <c r="G82" s="9">
        <v>3.1E-2</v>
      </c>
      <c r="H82" s="62">
        <f t="shared" si="17"/>
        <v>4.3276444947631866E-2</v>
      </c>
      <c r="I82" s="9">
        <f t="shared" si="21"/>
        <v>3.5092148315877286E-2</v>
      </c>
      <c r="J82" s="9">
        <f t="shared" si="18"/>
        <v>7.5728928743233573E-2</v>
      </c>
    </row>
    <row r="83" spans="1:22">
      <c r="A83" s="1">
        <f t="shared" si="19"/>
        <v>4</v>
      </c>
      <c r="B83" t="s">
        <v>19</v>
      </c>
      <c r="C83" s="1" t="s">
        <v>61</v>
      </c>
      <c r="D83" s="1" t="s">
        <v>100</v>
      </c>
      <c r="E83" s="9">
        <f t="shared" si="16"/>
        <v>3.6015187725119836E-2</v>
      </c>
      <c r="F83" s="9">
        <f t="shared" si="20"/>
        <v>3.6947239444132869E-2</v>
      </c>
      <c r="G83" s="9">
        <v>5.6000000000000001E-2</v>
      </c>
      <c r="H83" s="62">
        <f t="shared" si="17"/>
        <v>4.3276444947631866E-2</v>
      </c>
      <c r="I83" s="9">
        <f t="shared" si="21"/>
        <v>5.1758814982543956E-2</v>
      </c>
      <c r="J83" s="9">
        <f t="shared" si="18"/>
        <v>8.8706054426676825E-2</v>
      </c>
    </row>
    <row r="84" spans="1:22">
      <c r="A84" s="1">
        <f t="shared" si="19"/>
        <v>5</v>
      </c>
      <c r="B84" t="s">
        <v>32</v>
      </c>
      <c r="C84" s="1" t="s">
        <v>63</v>
      </c>
      <c r="D84" s="1" t="s">
        <v>100</v>
      </c>
      <c r="E84" s="9">
        <f t="shared" si="16"/>
        <v>2.9334090312727341E-2</v>
      </c>
      <c r="F84" s="9">
        <f t="shared" si="20"/>
        <v>2.9975902828065278E-2</v>
      </c>
      <c r="G84" s="9">
        <v>4.3999999999999997E-2</v>
      </c>
      <c r="H84" s="62">
        <f t="shared" si="17"/>
        <v>4.3276444947631866E-2</v>
      </c>
      <c r="I84" s="9">
        <f t="shared" si="21"/>
        <v>4.3758814982543956E-2</v>
      </c>
      <c r="J84" s="9">
        <f t="shared" si="18"/>
        <v>7.3734717810609238E-2</v>
      </c>
    </row>
    <row r="85" spans="1:22">
      <c r="A85" s="1">
        <f t="shared" si="19"/>
        <v>6</v>
      </c>
      <c r="B85" t="s">
        <v>36</v>
      </c>
      <c r="C85" s="1" t="s">
        <v>132</v>
      </c>
      <c r="D85" s="1" t="s">
        <v>100</v>
      </c>
      <c r="E85" s="9">
        <f t="shared" si="16"/>
        <v>3.5653621278975402E-2</v>
      </c>
      <c r="F85" s="9">
        <f t="shared" si="20"/>
        <v>3.6505008630035543E-2</v>
      </c>
      <c r="G85" s="9">
        <v>0.05</v>
      </c>
      <c r="H85" s="62">
        <f t="shared" si="17"/>
        <v>4.3276444947631866E-2</v>
      </c>
      <c r="I85" s="9">
        <f t="shared" si="21"/>
        <v>4.7758814982543953E-2</v>
      </c>
      <c r="J85" s="9">
        <f t="shared" si="18"/>
        <v>8.4263823612579503E-2</v>
      </c>
    </row>
    <row r="86" spans="1:22">
      <c r="A86" s="1">
        <f t="shared" si="19"/>
        <v>7</v>
      </c>
      <c r="B86" t="s">
        <v>25</v>
      </c>
      <c r="C86" s="1" t="s">
        <v>77</v>
      </c>
      <c r="D86" s="1" t="s">
        <v>100</v>
      </c>
      <c r="E86" s="9">
        <f t="shared" si="16"/>
        <v>4.0963893861190717E-2</v>
      </c>
      <c r="F86" s="9">
        <f t="shared" si="20"/>
        <v>4.2037669794140753E-2</v>
      </c>
      <c r="G86" s="9">
        <v>5.7000000000000002E-2</v>
      </c>
      <c r="H86" s="62">
        <f t="shared" si="17"/>
        <v>4.3276444947631866E-2</v>
      </c>
      <c r="I86" s="9">
        <f t="shared" si="21"/>
        <v>5.2425481649210619E-2</v>
      </c>
      <c r="J86" s="9">
        <f t="shared" si="18"/>
        <v>9.4463151443351379E-2</v>
      </c>
    </row>
    <row r="87" spans="1:22">
      <c r="A87" s="1">
        <f t="shared" si="19"/>
        <v>8</v>
      </c>
      <c r="B87" t="s">
        <v>39</v>
      </c>
      <c r="C87" s="1" t="s">
        <v>81</v>
      </c>
      <c r="D87" s="1" t="s">
        <v>100</v>
      </c>
      <c r="E87" s="9">
        <f>E38</f>
        <v>3.8680848393955407E-2</v>
      </c>
      <c r="F87" s="9">
        <f t="shared" si="20"/>
        <v>3.9578736902600144E-2</v>
      </c>
      <c r="G87" s="9">
        <v>4.8000000000000001E-2</v>
      </c>
      <c r="H87" s="62">
        <f t="shared" si="17"/>
        <v>4.3276444947631866E-2</v>
      </c>
      <c r="I87" s="9">
        <f t="shared" si="21"/>
        <v>4.642548164921062E-2</v>
      </c>
      <c r="J87" s="9">
        <f t="shared" si="18"/>
        <v>8.6004218551810757E-2</v>
      </c>
    </row>
    <row r="88" spans="1:22">
      <c r="A88" s="1">
        <f t="shared" si="19"/>
        <v>9</v>
      </c>
      <c r="B88" t="s">
        <v>40</v>
      </c>
      <c r="C88" s="1" t="s">
        <v>83</v>
      </c>
      <c r="D88" s="1" t="s">
        <v>100</v>
      </c>
      <c r="E88" s="9">
        <f>E39</f>
        <v>3.2540958553764404E-2</v>
      </c>
      <c r="F88" s="9">
        <f t="shared" si="20"/>
        <v>3.3296323390857155E-2</v>
      </c>
      <c r="G88" s="9">
        <v>4.8000000000000001E-2</v>
      </c>
      <c r="H88" s="62">
        <f t="shared" si="17"/>
        <v>4.3276444947631866E-2</v>
      </c>
      <c r="I88" s="9">
        <f t="shared" si="21"/>
        <v>4.642548164921062E-2</v>
      </c>
      <c r="J88" s="9">
        <f t="shared" si="18"/>
        <v>7.9721805040067775E-2</v>
      </c>
    </row>
    <row r="89" spans="1:22">
      <c r="A89" s="1">
        <f t="shared" si="19"/>
        <v>10</v>
      </c>
      <c r="B89" t="s">
        <v>28</v>
      </c>
      <c r="C89" s="1" t="s">
        <v>91</v>
      </c>
      <c r="D89" s="1" t="s">
        <v>100</v>
      </c>
      <c r="E89" s="9">
        <f>E40</f>
        <v>3.6120697868361355E-2</v>
      </c>
      <c r="F89" s="9">
        <f t="shared" si="20"/>
        <v>3.7139761755725309E-2</v>
      </c>
      <c r="G89" s="9">
        <v>6.3E-2</v>
      </c>
      <c r="H89" s="62">
        <f t="shared" si="17"/>
        <v>4.3276444947631866E-2</v>
      </c>
      <c r="I89" s="9">
        <f t="shared" si="21"/>
        <v>5.6425481649210622E-2</v>
      </c>
      <c r="J89" s="9">
        <f t="shared" si="18"/>
        <v>9.3565243404935938E-2</v>
      </c>
    </row>
    <row r="90" spans="1:22">
      <c r="A90" s="1">
        <f t="shared" si="19"/>
        <v>11</v>
      </c>
      <c r="B90" t="s">
        <v>42</v>
      </c>
      <c r="C90" s="1" t="s">
        <v>93</v>
      </c>
      <c r="D90" s="1" t="s">
        <v>100</v>
      </c>
      <c r="E90" s="9">
        <f>E41</f>
        <v>3.5986642863581463E-2</v>
      </c>
      <c r="F90" s="9">
        <f t="shared" si="20"/>
        <v>3.6845982572763801E-2</v>
      </c>
      <c r="G90" s="9">
        <v>0.05</v>
      </c>
      <c r="H90" s="62">
        <f t="shared" si="17"/>
        <v>4.3276444947631866E-2</v>
      </c>
      <c r="I90" s="9">
        <f t="shared" si="21"/>
        <v>4.7758814982543953E-2</v>
      </c>
      <c r="J90" s="9">
        <f t="shared" si="18"/>
        <v>8.4604797555307754E-2</v>
      </c>
    </row>
    <row r="91" spans="1:22">
      <c r="H91" s="1"/>
      <c r="I91" s="1"/>
      <c r="J91" s="1"/>
      <c r="K91" s="1"/>
    </row>
    <row r="92" spans="1:22">
      <c r="I92" s="15" t="s">
        <v>133</v>
      </c>
      <c r="J92" s="9">
        <f>MEDIAN(J80:J86,J87:J90)</f>
        <v>8.6004218551810757E-2</v>
      </c>
      <c r="V92" t="s">
        <v>316</v>
      </c>
    </row>
    <row r="93" spans="1:22">
      <c r="I93" s="15" t="s">
        <v>134</v>
      </c>
      <c r="J93" s="9">
        <f>AVERAGE(J80:J86,J87:J90)</f>
        <v>8.5353674191067222E-2</v>
      </c>
      <c r="V93" t="s">
        <v>317</v>
      </c>
    </row>
    <row r="94" spans="1:22">
      <c r="I94" s="15" t="s">
        <v>137</v>
      </c>
      <c r="J94" s="9">
        <f>MAX(J80:J86,J87:J90)</f>
        <v>9.4463151443351379E-2</v>
      </c>
    </row>
    <row r="95" spans="1:22">
      <c r="I95" s="15" t="s">
        <v>138</v>
      </c>
      <c r="J95" s="9">
        <f>MIN(J80:J86,J87:J90)</f>
        <v>7.3734717810609238E-2</v>
      </c>
    </row>
    <row r="96" spans="1:22">
      <c r="I96" s="15"/>
      <c r="J96" s="9"/>
    </row>
    <row r="97" spans="1:23">
      <c r="I97" s="15"/>
      <c r="J97" s="9"/>
    </row>
    <row r="98" spans="1:23">
      <c r="I98" s="15"/>
      <c r="J98" s="9"/>
    </row>
    <row r="99" spans="1:23">
      <c r="I99" s="15"/>
      <c r="J99" s="9"/>
    </row>
    <row r="100" spans="1:23">
      <c r="A100" s="230" t="s">
        <v>310</v>
      </c>
      <c r="B100" s="230"/>
      <c r="C100" s="230"/>
      <c r="D100" s="230"/>
      <c r="E100" s="230"/>
      <c r="F100" s="230"/>
      <c r="G100" s="230"/>
      <c r="H100" s="230"/>
      <c r="I100" s="230"/>
      <c r="J100" s="230"/>
    </row>
    <row r="101" spans="1:23">
      <c r="A101" s="163"/>
      <c r="B101" s="163"/>
      <c r="C101" s="163"/>
      <c r="D101" s="163"/>
      <c r="E101" s="163"/>
      <c r="F101" s="163"/>
      <c r="G101" s="163"/>
      <c r="H101" s="163"/>
      <c r="I101" s="177"/>
      <c r="J101" s="178"/>
      <c r="P101" s="230" t="s">
        <v>309</v>
      </c>
      <c r="Q101" s="230"/>
      <c r="R101" s="230"/>
      <c r="S101" s="230"/>
      <c r="T101" s="230"/>
      <c r="U101" s="230"/>
      <c r="V101" s="230"/>
    </row>
    <row r="102" spans="1:23" ht="51.95" customHeight="1">
      <c r="A102" s="179" t="s">
        <v>105</v>
      </c>
      <c r="B102" s="179" t="s">
        <v>48</v>
      </c>
      <c r="C102" s="159" t="s">
        <v>49</v>
      </c>
      <c r="D102" s="161" t="s">
        <v>139</v>
      </c>
      <c r="E102" s="161" t="s">
        <v>106</v>
      </c>
      <c r="F102" s="180" t="s">
        <v>108</v>
      </c>
      <c r="G102" s="180" t="s">
        <v>136</v>
      </c>
      <c r="H102" s="180" t="s">
        <v>188</v>
      </c>
      <c r="I102" s="180" t="s">
        <v>109</v>
      </c>
      <c r="J102" s="180" t="s">
        <v>110</v>
      </c>
      <c r="N102" s="163"/>
      <c r="O102" s="163"/>
      <c r="P102" s="163"/>
      <c r="Q102" s="230" t="s">
        <v>236</v>
      </c>
      <c r="R102" s="230"/>
      <c r="S102" s="230"/>
      <c r="T102" s="230"/>
      <c r="U102" s="163"/>
      <c r="V102" s="163"/>
      <c r="W102" s="163"/>
    </row>
    <row r="103" spans="1:23">
      <c r="A103" s="181">
        <v>1</v>
      </c>
      <c r="B103" s="163" t="s">
        <v>13</v>
      </c>
      <c r="C103" s="162" t="s">
        <v>50</v>
      </c>
      <c r="D103" s="162" t="s">
        <v>100</v>
      </c>
      <c r="E103" s="182">
        <f>ER298</f>
        <v>4.0028634206336546E-2</v>
      </c>
      <c r="F103" s="178">
        <f>E103*(1+0.5*I103)</f>
        <v>4.098449427386873E-2</v>
      </c>
      <c r="G103" s="183">
        <f>G31</f>
        <v>0.05</v>
      </c>
      <c r="H103" s="178">
        <f t="shared" ref="H103:H108" si="22">$U$114</f>
        <v>4.3276444947631866E-2</v>
      </c>
      <c r="I103" s="178">
        <f>G103*2/3+H103/3</f>
        <v>4.7758814982543953E-2</v>
      </c>
      <c r="J103" s="178">
        <f t="shared" ref="J103:J120" si="23">F103+I103</f>
        <v>8.8743309256412689E-2</v>
      </c>
      <c r="N103" s="163"/>
      <c r="O103" s="163"/>
      <c r="P103" s="163"/>
      <c r="Q103" s="159">
        <v>2021</v>
      </c>
      <c r="R103" s="159">
        <v>2040</v>
      </c>
      <c r="S103" s="201" t="s">
        <v>249</v>
      </c>
      <c r="T103" s="159">
        <v>2071</v>
      </c>
      <c r="U103" s="233" t="s">
        <v>239</v>
      </c>
      <c r="V103" s="233"/>
      <c r="W103" s="163"/>
    </row>
    <row r="104" spans="1:23">
      <c r="A104" s="162">
        <f>A103+1</f>
        <v>2</v>
      </c>
      <c r="B104" s="163" t="s">
        <v>43</v>
      </c>
      <c r="C104" s="162" t="s">
        <v>51</v>
      </c>
      <c r="D104" s="162" t="s">
        <v>140</v>
      </c>
      <c r="E104" s="182">
        <f>ER299</f>
        <v>3.7757993152345529E-2</v>
      </c>
      <c r="F104" s="178">
        <f t="shared" ref="F104:F120" si="24">E104*(1+0.5*I104)</f>
        <v>3.8728854644329014E-2</v>
      </c>
      <c r="G104" s="178">
        <f>G6</f>
        <v>5.5500000000000001E-2</v>
      </c>
      <c r="H104" s="178">
        <f t="shared" si="22"/>
        <v>4.3276444947631866E-2</v>
      </c>
      <c r="I104" s="178">
        <f t="shared" ref="I104:I120" si="25">G104*2/3+H104/3</f>
        <v>5.1425481649210618E-2</v>
      </c>
      <c r="J104" s="178">
        <f t="shared" si="23"/>
        <v>9.0154336293539639E-2</v>
      </c>
      <c r="L104" s="38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</row>
    <row r="105" spans="1:23">
      <c r="A105" s="162">
        <f t="shared" ref="A105:A120" si="26">A104+1</f>
        <v>3</v>
      </c>
      <c r="B105" s="163" t="s">
        <v>17</v>
      </c>
      <c r="C105" s="162" t="s">
        <v>55</v>
      </c>
      <c r="D105" s="162" t="s">
        <v>95</v>
      </c>
      <c r="E105" s="182">
        <f t="shared" ref="E105:E120" si="27">ER300</f>
        <v>5.6072765128524084E-2</v>
      </c>
      <c r="F105" s="178">
        <f t="shared" si="24"/>
        <v>5.6551967137553123E-2</v>
      </c>
      <c r="G105" s="178">
        <f>G7</f>
        <v>4.0000000000000001E-3</v>
      </c>
      <c r="H105" s="178">
        <f t="shared" si="22"/>
        <v>4.3276444947631866E-2</v>
      </c>
      <c r="I105" s="178">
        <f t="shared" si="25"/>
        <v>1.7092148315877288E-2</v>
      </c>
      <c r="J105" s="178">
        <f t="shared" si="23"/>
        <v>7.3644115453430414E-2</v>
      </c>
      <c r="N105" s="193" t="s">
        <v>303</v>
      </c>
      <c r="O105" s="193"/>
      <c r="P105" s="193"/>
      <c r="Q105" s="194">
        <f>Q106*Q107</f>
        <v>23696.425731080679</v>
      </c>
      <c r="R105" s="194">
        <f>R106*R107</f>
        <v>51723.54</v>
      </c>
      <c r="S105" s="163"/>
      <c r="T105" s="163"/>
      <c r="U105" s="234">
        <f>(R105/Q105)^(1/19)-1</f>
        <v>4.1939228493914849E-2</v>
      </c>
      <c r="V105" s="234"/>
      <c r="W105" s="163"/>
    </row>
    <row r="106" spans="1:23">
      <c r="A106" s="162">
        <f t="shared" si="26"/>
        <v>4</v>
      </c>
      <c r="B106" s="163" t="s">
        <v>0</v>
      </c>
      <c r="C106" s="162" t="s">
        <v>59</v>
      </c>
      <c r="D106" s="162" t="s">
        <v>140</v>
      </c>
      <c r="E106" s="182">
        <f t="shared" si="27"/>
        <v>3.9936059368107624E-2</v>
      </c>
      <c r="F106" s="178">
        <f t="shared" si="24"/>
        <v>4.0616812397672224E-2</v>
      </c>
      <c r="G106" s="178">
        <f>G8</f>
        <v>2.9499999999999998E-2</v>
      </c>
      <c r="H106" s="178">
        <f t="shared" si="22"/>
        <v>4.3276444947631866E-2</v>
      </c>
      <c r="I106" s="178">
        <f t="shared" si="25"/>
        <v>3.4092148315877285E-2</v>
      </c>
      <c r="J106" s="178">
        <f t="shared" si="23"/>
        <v>7.4708960713549516E-2</v>
      </c>
      <c r="L106" s="38"/>
      <c r="N106" s="163" t="s">
        <v>237</v>
      </c>
      <c r="O106" s="163"/>
      <c r="P106" s="163"/>
      <c r="Q106" s="194">
        <f>(21295/18801)^0.2*18801</f>
        <v>19275.261932726167</v>
      </c>
      <c r="R106" s="194">
        <v>29898</v>
      </c>
      <c r="S106" s="163"/>
      <c r="T106" s="163"/>
      <c r="U106" s="163"/>
      <c r="V106" s="163"/>
      <c r="W106" s="163"/>
    </row>
    <row r="107" spans="1:23">
      <c r="A107" s="162">
        <f t="shared" si="26"/>
        <v>5</v>
      </c>
      <c r="B107" s="163" t="s">
        <v>19</v>
      </c>
      <c r="C107" s="162" t="s">
        <v>61</v>
      </c>
      <c r="D107" s="162" t="s">
        <v>100</v>
      </c>
      <c r="E107" s="182">
        <f t="shared" si="27"/>
        <v>3.6015187725119836E-2</v>
      </c>
      <c r="F107" s="178">
        <f t="shared" si="24"/>
        <v>3.6881211599970154E-2</v>
      </c>
      <c r="G107" s="178">
        <f>G34</f>
        <v>5.0500000000000003E-2</v>
      </c>
      <c r="H107" s="178">
        <f t="shared" si="22"/>
        <v>4.3276444947631866E-2</v>
      </c>
      <c r="I107" s="178">
        <f t="shared" si="25"/>
        <v>4.8092148315877291E-2</v>
      </c>
      <c r="J107" s="178">
        <f t="shared" si="23"/>
        <v>8.4973359915847452E-2</v>
      </c>
      <c r="N107" s="163" t="s">
        <v>238</v>
      </c>
      <c r="O107" s="163"/>
      <c r="P107" s="163"/>
      <c r="Q107" s="195">
        <f>(1.31/1.21)^0.2*1.21</f>
        <v>1.2293698427437769</v>
      </c>
      <c r="R107" s="162">
        <v>1.73</v>
      </c>
      <c r="S107" s="163"/>
      <c r="T107" s="163"/>
      <c r="U107" s="163"/>
      <c r="V107" s="163"/>
      <c r="W107" s="163"/>
    </row>
    <row r="108" spans="1:23">
      <c r="A108" s="162">
        <f t="shared" si="26"/>
        <v>6</v>
      </c>
      <c r="B108" s="163" t="s">
        <v>3</v>
      </c>
      <c r="C108" s="162" t="s">
        <v>62</v>
      </c>
      <c r="D108" s="162" t="s">
        <v>95</v>
      </c>
      <c r="E108" s="182">
        <f t="shared" si="27"/>
        <v>4.608880153986223E-2</v>
      </c>
      <c r="F108" s="178">
        <f t="shared" si="24"/>
        <v>4.6912842003377794E-2</v>
      </c>
      <c r="G108" s="178">
        <f>G9</f>
        <v>3.2000000000000001E-2</v>
      </c>
      <c r="H108" s="178">
        <f t="shared" si="22"/>
        <v>4.3276444947631866E-2</v>
      </c>
      <c r="I108" s="178">
        <f t="shared" si="25"/>
        <v>3.5758814982543956E-2</v>
      </c>
      <c r="J108" s="178">
        <f t="shared" si="23"/>
        <v>8.2671656985921743E-2</v>
      </c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</row>
    <row r="109" spans="1:23">
      <c r="A109" s="162">
        <f t="shared" si="26"/>
        <v>7</v>
      </c>
      <c r="B109" s="174" t="s">
        <v>32</v>
      </c>
      <c r="C109" s="175" t="s">
        <v>63</v>
      </c>
      <c r="D109" s="175" t="s">
        <v>100</v>
      </c>
      <c r="E109" s="184">
        <f t="shared" si="27"/>
        <v>2.9334090312727337E-2</v>
      </c>
      <c r="F109" s="185">
        <f t="shared" si="24"/>
        <v>2.9485894230095698E-2</v>
      </c>
      <c r="G109" s="185">
        <f>G35</f>
        <v>-6.1000000000000004E-3</v>
      </c>
      <c r="H109" s="185">
        <f>(0.0446+0.0419)/2</f>
        <v>4.3249999999999997E-2</v>
      </c>
      <c r="I109" s="185">
        <f t="shared" si="25"/>
        <v>1.0349999999999998E-2</v>
      </c>
      <c r="J109" s="185">
        <f t="shared" si="23"/>
        <v>3.9835894230095696E-2</v>
      </c>
      <c r="N109" s="193" t="s">
        <v>304</v>
      </c>
      <c r="O109" s="163"/>
      <c r="P109" s="163"/>
      <c r="Q109" s="194">
        <v>24861</v>
      </c>
      <c r="R109" s="194"/>
      <c r="S109" s="194"/>
      <c r="T109" s="196">
        <f>(262889/211683)^0.2*211683</f>
        <v>221056.48919051833</v>
      </c>
      <c r="U109" s="234">
        <f>(T109/Q109)^(1/50)-1</f>
        <v>4.4671371902557988E-2</v>
      </c>
      <c r="V109" s="234"/>
      <c r="W109" s="163"/>
    </row>
    <row r="110" spans="1:23">
      <c r="A110" s="162">
        <f t="shared" si="26"/>
        <v>8</v>
      </c>
      <c r="B110" s="163" t="s">
        <v>1</v>
      </c>
      <c r="C110" s="162" t="s">
        <v>67</v>
      </c>
      <c r="D110" s="162" t="s">
        <v>95</v>
      </c>
      <c r="E110" s="182">
        <f t="shared" si="27"/>
        <v>3.3082652016690188E-2</v>
      </c>
      <c r="F110" s="178">
        <f t="shared" si="24"/>
        <v>3.4045778690642695E-2</v>
      </c>
      <c r="G110" s="178">
        <f>G10</f>
        <v>6.5699999999999995E-2</v>
      </c>
      <c r="H110" s="178">
        <f t="shared" ref="H110:H120" si="28">$U$114</f>
        <v>4.3276444947631866E-2</v>
      </c>
      <c r="I110" s="178">
        <f t="shared" si="25"/>
        <v>5.8225481649210618E-2</v>
      </c>
      <c r="J110" s="178">
        <f t="shared" si="23"/>
        <v>9.2271260339853306E-2</v>
      </c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</row>
    <row r="111" spans="1:23">
      <c r="A111" s="162">
        <f t="shared" si="26"/>
        <v>9</v>
      </c>
      <c r="B111" s="163" t="s">
        <v>6</v>
      </c>
      <c r="C111" s="162" t="s">
        <v>75</v>
      </c>
      <c r="D111" s="162" t="s">
        <v>95</v>
      </c>
      <c r="E111" s="182">
        <f t="shared" si="27"/>
        <v>3.053452155924451E-2</v>
      </c>
      <c r="F111" s="178">
        <f t="shared" si="24"/>
        <v>3.1458070962702596E-2</v>
      </c>
      <c r="G111" s="178">
        <f>G11</f>
        <v>6.9099999999999995E-2</v>
      </c>
      <c r="H111" s="178">
        <f t="shared" si="28"/>
        <v>4.3276444947631866E-2</v>
      </c>
      <c r="I111" s="178">
        <f t="shared" si="25"/>
        <v>6.0492148315877285E-2</v>
      </c>
      <c r="J111" s="178">
        <f t="shared" si="23"/>
        <v>9.1950219278579881E-2</v>
      </c>
      <c r="N111" s="193" t="s">
        <v>305</v>
      </c>
      <c r="O111" s="163"/>
      <c r="P111" s="163"/>
      <c r="Q111" s="202">
        <v>23313.8</v>
      </c>
      <c r="R111" s="203"/>
      <c r="S111" s="203">
        <v>67142.5</v>
      </c>
      <c r="T111" s="203"/>
      <c r="U111" s="235">
        <f>(S111/Q111)^(1/25)-1</f>
        <v>4.3218734446422769E-2</v>
      </c>
      <c r="V111" s="235"/>
      <c r="W111" s="163"/>
    </row>
    <row r="112" spans="1:23">
      <c r="A112" s="162">
        <f t="shared" si="26"/>
        <v>10</v>
      </c>
      <c r="B112" s="163" t="s">
        <v>36</v>
      </c>
      <c r="C112" s="162" t="s">
        <v>132</v>
      </c>
      <c r="D112" s="162" t="s">
        <v>100</v>
      </c>
      <c r="E112" s="182">
        <f t="shared" si="27"/>
        <v>3.5566756933333048E-2</v>
      </c>
      <c r="F112" s="178">
        <f t="shared" si="24"/>
        <v>3.6630656115451576E-2</v>
      </c>
      <c r="G112" s="178">
        <f>G36</f>
        <v>6.8099999999999994E-2</v>
      </c>
      <c r="H112" s="178">
        <f t="shared" si="28"/>
        <v>4.3276444947631866E-2</v>
      </c>
      <c r="I112" s="178">
        <f>G112*2/3+H112/3</f>
        <v>5.9825481649210616E-2</v>
      </c>
      <c r="J112" s="178">
        <f t="shared" si="23"/>
        <v>9.6456137764662192E-2</v>
      </c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</row>
    <row r="113" spans="1:31">
      <c r="A113" s="162">
        <f t="shared" si="26"/>
        <v>11</v>
      </c>
      <c r="B113" s="163" t="s">
        <v>25</v>
      </c>
      <c r="C113" s="162" t="s">
        <v>77</v>
      </c>
      <c r="D113" s="162" t="s">
        <v>140</v>
      </c>
      <c r="E113" s="182">
        <f t="shared" si="27"/>
        <v>4.0963893861190717E-2</v>
      </c>
      <c r="F113" s="178">
        <f t="shared" si="24"/>
        <v>4.1555661309707406E-2</v>
      </c>
      <c r="G113" s="178">
        <f>G12</f>
        <v>2.1700000000000001E-2</v>
      </c>
      <c r="H113" s="178">
        <f t="shared" si="28"/>
        <v>4.3276444947631866E-2</v>
      </c>
      <c r="I113" s="178">
        <f t="shared" si="25"/>
        <v>2.8892148315877289E-2</v>
      </c>
      <c r="J113" s="178">
        <f t="shared" si="23"/>
        <v>7.0447809625584695E-2</v>
      </c>
      <c r="L113" s="38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</row>
    <row r="114" spans="1:31">
      <c r="A114" s="162">
        <f t="shared" si="26"/>
        <v>12</v>
      </c>
      <c r="B114" s="163" t="s">
        <v>186</v>
      </c>
      <c r="C114" s="162" t="s">
        <v>81</v>
      </c>
      <c r="D114" s="162" t="s">
        <v>140</v>
      </c>
      <c r="E114" s="182">
        <f t="shared" si="27"/>
        <v>3.8680848393955421E-2</v>
      </c>
      <c r="F114" s="178">
        <f t="shared" si="24"/>
        <v>3.959807732679714E-2</v>
      </c>
      <c r="G114" s="178">
        <f>G13</f>
        <v>4.9500000000000002E-2</v>
      </c>
      <c r="H114" s="178">
        <f t="shared" si="28"/>
        <v>4.3276444947631866E-2</v>
      </c>
      <c r="I114" s="178">
        <f t="shared" si="25"/>
        <v>4.7425481649210621E-2</v>
      </c>
      <c r="J114" s="178">
        <f t="shared" si="23"/>
        <v>8.7023558976007762E-2</v>
      </c>
      <c r="L114" s="38"/>
      <c r="N114" s="193" t="s">
        <v>300</v>
      </c>
      <c r="O114" s="163"/>
      <c r="P114" s="163"/>
      <c r="Q114" s="163"/>
      <c r="R114" s="163"/>
      <c r="S114" s="163"/>
      <c r="T114" s="163"/>
      <c r="U114" s="236">
        <f>AVERAGE(U105,U109,U111)</f>
        <v>4.3276444947631866E-2</v>
      </c>
      <c r="V114" s="236"/>
      <c r="W114" s="163"/>
    </row>
    <row r="115" spans="1:31">
      <c r="A115" s="162">
        <f t="shared" si="26"/>
        <v>13</v>
      </c>
      <c r="B115" s="163" t="s">
        <v>187</v>
      </c>
      <c r="C115" s="162" t="s">
        <v>83</v>
      </c>
      <c r="D115" s="162" t="s">
        <v>100</v>
      </c>
      <c r="E115" s="182">
        <f t="shared" si="27"/>
        <v>3.2540958553764397E-2</v>
      </c>
      <c r="F115" s="178">
        <f t="shared" si="24"/>
        <v>3.3223648583420411E-2</v>
      </c>
      <c r="G115" s="178">
        <f>G39</f>
        <v>4.1300000000000003E-2</v>
      </c>
      <c r="H115" s="178">
        <f t="shared" si="28"/>
        <v>4.3276444947631866E-2</v>
      </c>
      <c r="I115" s="178">
        <f>G115*2/3+H115/3</f>
        <v>4.195881498254396E-2</v>
      </c>
      <c r="J115" s="178">
        <f>F115+I115</f>
        <v>7.5182463565964364E-2</v>
      </c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</row>
    <row r="116" spans="1:31">
      <c r="A116" s="162">
        <f t="shared" si="26"/>
        <v>14</v>
      </c>
      <c r="B116" s="163" t="s">
        <v>7</v>
      </c>
      <c r="C116" s="162" t="s">
        <v>84</v>
      </c>
      <c r="D116" s="162" t="s">
        <v>95</v>
      </c>
      <c r="E116" s="182">
        <f t="shared" si="27"/>
        <v>4.5102646374109025E-2</v>
      </c>
      <c r="F116" s="178">
        <f t="shared" si="24"/>
        <v>4.5991743152585661E-2</v>
      </c>
      <c r="G116" s="178">
        <f>G14</f>
        <v>3.7499999999999999E-2</v>
      </c>
      <c r="H116" s="178">
        <f t="shared" si="28"/>
        <v>4.3276444947631866E-2</v>
      </c>
      <c r="I116" s="178">
        <f t="shared" si="25"/>
        <v>3.9425481649210621E-2</v>
      </c>
      <c r="J116" s="178">
        <f t="shared" si="23"/>
        <v>8.5417224801796282E-2</v>
      </c>
      <c r="N116" s="197" t="s">
        <v>301</v>
      </c>
      <c r="O116" s="163"/>
      <c r="P116" s="163"/>
      <c r="Q116" s="163"/>
      <c r="R116" s="163"/>
      <c r="S116" s="163"/>
      <c r="T116" s="163"/>
      <c r="U116" s="163"/>
      <c r="V116" s="163"/>
      <c r="W116" s="163"/>
    </row>
    <row r="117" spans="1:31" ht="15" customHeight="1">
      <c r="A117" s="162">
        <f t="shared" si="26"/>
        <v>15</v>
      </c>
      <c r="B117" s="163" t="s">
        <v>11</v>
      </c>
      <c r="C117" s="162" t="s">
        <v>88</v>
      </c>
      <c r="D117" s="162" t="s">
        <v>95</v>
      </c>
      <c r="E117" s="182">
        <f t="shared" si="27"/>
        <v>4.7395964089221171E-2</v>
      </c>
      <c r="F117" s="178">
        <f t="shared" si="24"/>
        <v>4.8327108714505011E-2</v>
      </c>
      <c r="G117" s="178">
        <v>3.73E-2</v>
      </c>
      <c r="H117" s="178">
        <f t="shared" si="28"/>
        <v>4.3276444947631866E-2</v>
      </c>
      <c r="I117" s="178">
        <f t="shared" si="25"/>
        <v>3.9292148315877289E-2</v>
      </c>
      <c r="J117" s="178">
        <f t="shared" si="23"/>
        <v>8.76192570303823E-2</v>
      </c>
      <c r="N117" s="198" t="s">
        <v>306</v>
      </c>
      <c r="O117" s="198"/>
      <c r="P117" s="198"/>
      <c r="Q117" s="198"/>
      <c r="R117" s="198"/>
      <c r="S117" s="198"/>
      <c r="T117" s="198"/>
      <c r="U117" s="198"/>
      <c r="V117" s="198"/>
      <c r="W117" s="176"/>
    </row>
    <row r="118" spans="1:31" ht="15" customHeight="1">
      <c r="A118" s="162">
        <f t="shared" si="26"/>
        <v>16</v>
      </c>
      <c r="B118" s="163" t="s">
        <v>27</v>
      </c>
      <c r="C118" s="162" t="s">
        <v>90</v>
      </c>
      <c r="D118" s="162" t="s">
        <v>95</v>
      </c>
      <c r="E118" s="182">
        <f t="shared" si="27"/>
        <v>3.707977411044467E-2</v>
      </c>
      <c r="F118" s="178">
        <f t="shared" si="24"/>
        <v>3.7965217146112298E-2</v>
      </c>
      <c r="G118" s="178">
        <f>G15</f>
        <v>0.05</v>
      </c>
      <c r="H118" s="178">
        <f t="shared" si="28"/>
        <v>4.3276444947631866E-2</v>
      </c>
      <c r="I118" s="178">
        <f t="shared" si="25"/>
        <v>4.7758814982543953E-2</v>
      </c>
      <c r="J118" s="178">
        <f t="shared" si="23"/>
        <v>8.5724032128656258E-2</v>
      </c>
      <c r="N118" s="198" t="s">
        <v>307</v>
      </c>
      <c r="O118" s="200"/>
      <c r="P118" s="200"/>
      <c r="Q118" s="200"/>
      <c r="R118" s="200"/>
      <c r="S118" s="200"/>
      <c r="T118" s="200"/>
      <c r="U118" s="200"/>
      <c r="V118" s="200"/>
      <c r="W118" s="199"/>
    </row>
    <row r="119" spans="1:31" ht="15" customHeight="1">
      <c r="A119" s="162">
        <f t="shared" si="26"/>
        <v>17</v>
      </c>
      <c r="B119" s="163" t="s">
        <v>28</v>
      </c>
      <c r="C119" s="162" t="s">
        <v>91</v>
      </c>
      <c r="D119" s="162" t="s">
        <v>140</v>
      </c>
      <c r="E119" s="182">
        <f t="shared" si="27"/>
        <v>3.6022359027234892E-2</v>
      </c>
      <c r="F119" s="178">
        <f t="shared" si="24"/>
        <v>3.7035046270458429E-2</v>
      </c>
      <c r="G119" s="178">
        <f>G16</f>
        <v>6.2700000000000006E-2</v>
      </c>
      <c r="H119" s="178">
        <f t="shared" si="28"/>
        <v>4.3276444947631866E-2</v>
      </c>
      <c r="I119" s="178">
        <f t="shared" si="25"/>
        <v>5.6225481649210624E-2</v>
      </c>
      <c r="J119" s="178">
        <f t="shared" si="23"/>
        <v>9.3260527919669045E-2</v>
      </c>
      <c r="L119" s="38"/>
      <c r="N119" s="237" t="s">
        <v>308</v>
      </c>
      <c r="O119" s="237"/>
      <c r="P119" s="237"/>
      <c r="Q119" s="237"/>
      <c r="R119" s="237"/>
      <c r="S119" s="237"/>
      <c r="T119" s="237"/>
      <c r="U119" s="237"/>
      <c r="V119" s="237"/>
      <c r="W119" s="237"/>
      <c r="X119" s="237"/>
    </row>
    <row r="120" spans="1:31" ht="15" customHeight="1">
      <c r="A120" s="186">
        <f t="shared" si="26"/>
        <v>18</v>
      </c>
      <c r="B120" s="187" t="s">
        <v>42</v>
      </c>
      <c r="C120" s="186" t="s">
        <v>93</v>
      </c>
      <c r="D120" s="186" t="s">
        <v>140</v>
      </c>
      <c r="E120" s="188">
        <f t="shared" si="27"/>
        <v>3.5986642863581463E-2</v>
      </c>
      <c r="F120" s="189">
        <f t="shared" si="24"/>
        <v>3.6826789696569884E-2</v>
      </c>
      <c r="G120" s="189">
        <f>G17</f>
        <v>4.8399999999999999E-2</v>
      </c>
      <c r="H120" s="189">
        <f t="shared" si="28"/>
        <v>4.3276444947631866E-2</v>
      </c>
      <c r="I120" s="189">
        <f t="shared" si="25"/>
        <v>4.6692148315877285E-2</v>
      </c>
      <c r="J120" s="189">
        <f t="shared" si="23"/>
        <v>8.3518938012447169E-2</v>
      </c>
      <c r="L120" s="38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>
      <c r="A121" s="163"/>
      <c r="B121" s="163"/>
      <c r="C121" s="163"/>
      <c r="D121" s="163"/>
      <c r="E121" s="163"/>
      <c r="F121" s="163"/>
      <c r="G121" s="163"/>
      <c r="H121" s="163"/>
      <c r="I121" s="177"/>
      <c r="J121" s="178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>
      <c r="A122" s="163"/>
      <c r="B122" s="163"/>
      <c r="C122" s="163"/>
      <c r="D122" s="163"/>
      <c r="E122" s="163"/>
      <c r="F122" s="163"/>
      <c r="G122" s="178"/>
      <c r="H122" s="163"/>
      <c r="I122" s="190" t="s">
        <v>133</v>
      </c>
      <c r="J122" s="191">
        <f>MEDIAN(J103:J108,J110:J120)</f>
        <v>8.5724032128656258E-2</v>
      </c>
      <c r="K122" s="38"/>
      <c r="L122" s="9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>
      <c r="A123" s="163"/>
      <c r="B123" s="163"/>
      <c r="C123" s="163"/>
      <c r="D123" s="163"/>
      <c r="E123" s="163"/>
      <c r="F123" s="163"/>
      <c r="G123" s="163"/>
      <c r="H123" s="163"/>
      <c r="I123" s="190" t="s">
        <v>134</v>
      </c>
      <c r="J123" s="191">
        <f>AVERAGE(J103:J108,J110:J120)</f>
        <v>8.492748047425322E-2</v>
      </c>
      <c r="L123" s="9"/>
    </row>
    <row r="124" spans="1:31">
      <c r="A124" s="163"/>
      <c r="B124" s="163"/>
      <c r="C124" s="163"/>
      <c r="D124" s="163"/>
      <c r="E124" s="232" t="s">
        <v>257</v>
      </c>
      <c r="F124" s="232"/>
      <c r="G124" s="232"/>
      <c r="H124" s="191">
        <f>MIN(J103:J108,J110:J120)</f>
        <v>7.0447809625584695E-2</v>
      </c>
      <c r="I124" s="192" t="s">
        <v>255</v>
      </c>
      <c r="J124" s="191">
        <f>MAX(J103:J108,J110:J120)</f>
        <v>9.6456137764662192E-2</v>
      </c>
      <c r="L124" s="9"/>
    </row>
    <row r="125" spans="1:31">
      <c r="A125" s="41"/>
      <c r="B125" s="41"/>
      <c r="C125" s="41"/>
      <c r="D125" s="41"/>
      <c r="E125" s="41"/>
      <c r="F125" s="41"/>
      <c r="G125" s="41"/>
      <c r="H125" s="41"/>
      <c r="I125" s="42"/>
      <c r="L125" s="9"/>
    </row>
    <row r="126" spans="1:31">
      <c r="I126" s="15"/>
      <c r="J126" s="9"/>
      <c r="L126" s="9"/>
    </row>
    <row r="127" spans="1:31">
      <c r="I127" s="15"/>
      <c r="J127" s="9"/>
    </row>
    <row r="128" spans="1:31">
      <c r="I128" s="15"/>
      <c r="J128" s="9"/>
    </row>
    <row r="129" spans="1:10">
      <c r="I129" s="15"/>
      <c r="J129" s="9"/>
    </row>
    <row r="130" spans="1:10">
      <c r="I130" s="15"/>
      <c r="J130" s="9"/>
    </row>
    <row r="131" spans="1:10">
      <c r="I131" s="15"/>
      <c r="J131" s="9"/>
    </row>
    <row r="132" spans="1:10" ht="36.75">
      <c r="A132" s="44" t="s">
        <v>105</v>
      </c>
      <c r="B132" s="44" t="s">
        <v>48</v>
      </c>
      <c r="C132" s="44" t="s">
        <v>49</v>
      </c>
      <c r="D132" s="45" t="s">
        <v>139</v>
      </c>
      <c r="E132" s="45" t="s">
        <v>106</v>
      </c>
      <c r="F132" s="46" t="s">
        <v>108</v>
      </c>
      <c r="G132" s="46" t="s">
        <v>135</v>
      </c>
      <c r="H132" s="46" t="s">
        <v>107</v>
      </c>
      <c r="I132" s="46" t="s">
        <v>109</v>
      </c>
      <c r="J132" s="46" t="s">
        <v>110</v>
      </c>
    </row>
    <row r="133" spans="1:10">
      <c r="A133" s="47">
        <v>1</v>
      </c>
      <c r="B133" s="41" t="s">
        <v>13</v>
      </c>
      <c r="C133" s="48" t="s">
        <v>50</v>
      </c>
      <c r="D133" s="48" t="s">
        <v>100</v>
      </c>
      <c r="E133" s="43">
        <f t="shared" ref="E133:E143" si="29">E103</f>
        <v>4.0028634206336546E-2</v>
      </c>
      <c r="F133" s="43">
        <f t="shared" ref="F133:F150" si="30">E133*(1+0.5*I133)</f>
        <v>4.098449427386873E-2</v>
      </c>
      <c r="G133" s="43">
        <v>0.05</v>
      </c>
      <c r="H133" s="43">
        <f t="shared" ref="H133:H150" si="31">$U$114</f>
        <v>4.3276444947631866E-2</v>
      </c>
      <c r="I133" s="43">
        <f t="shared" ref="I133:I150" si="32">G133*2/3+H133/3</f>
        <v>4.7758814982543953E-2</v>
      </c>
      <c r="J133" s="43">
        <f t="shared" ref="J133:J150" si="33">F133+I133</f>
        <v>8.8743309256412689E-2</v>
      </c>
    </row>
    <row r="134" spans="1:10">
      <c r="A134" s="48">
        <f>A133+1</f>
        <v>2</v>
      </c>
      <c r="B134" s="41" t="s">
        <v>43</v>
      </c>
      <c r="C134" s="48" t="s">
        <v>51</v>
      </c>
      <c r="D134" s="48" t="s">
        <v>140</v>
      </c>
      <c r="E134" s="43">
        <f t="shared" si="29"/>
        <v>3.7757993152345529E-2</v>
      </c>
      <c r="F134" s="43">
        <f t="shared" si="30"/>
        <v>3.8709975647752838E-2</v>
      </c>
      <c r="G134" s="43">
        <v>5.3999999999999999E-2</v>
      </c>
      <c r="H134" s="43">
        <f t="shared" si="31"/>
        <v>4.3276444947631866E-2</v>
      </c>
      <c r="I134" s="43">
        <f t="shared" si="32"/>
        <v>5.0425481649210617E-2</v>
      </c>
      <c r="J134" s="43">
        <f t="shared" si="33"/>
        <v>8.9135457296963455E-2</v>
      </c>
    </row>
    <row r="135" spans="1:10">
      <c r="A135" s="48">
        <f t="shared" ref="A135:A150" si="34">A134+1</f>
        <v>3</v>
      </c>
      <c r="B135" s="41" t="s">
        <v>17</v>
      </c>
      <c r="C135" s="48" t="s">
        <v>55</v>
      </c>
      <c r="D135" s="48" t="s">
        <v>95</v>
      </c>
      <c r="E135" s="43">
        <f t="shared" si="29"/>
        <v>5.6072765128524084E-2</v>
      </c>
      <c r="F135" s="43">
        <f t="shared" si="30"/>
        <v>5.6981858336871812E-2</v>
      </c>
      <c r="G135" s="43">
        <v>2.7E-2</v>
      </c>
      <c r="H135" s="43">
        <f t="shared" si="31"/>
        <v>4.3276444947631866E-2</v>
      </c>
      <c r="I135" s="43">
        <f t="shared" si="32"/>
        <v>3.2425481649210622E-2</v>
      </c>
      <c r="J135" s="43">
        <f t="shared" si="33"/>
        <v>8.940733998608244E-2</v>
      </c>
    </row>
    <row r="136" spans="1:10">
      <c r="A136" s="48">
        <f t="shared" si="34"/>
        <v>4</v>
      </c>
      <c r="B136" s="41" t="s">
        <v>0</v>
      </c>
      <c r="C136" s="48" t="s">
        <v>59</v>
      </c>
      <c r="D136" s="48" t="s">
        <v>140</v>
      </c>
      <c r="E136" s="43">
        <f t="shared" si="29"/>
        <v>3.9936059368107624E-2</v>
      </c>
      <c r="F136" s="43">
        <f t="shared" si="30"/>
        <v>4.0636780427356287E-2</v>
      </c>
      <c r="G136" s="43">
        <v>3.1E-2</v>
      </c>
      <c r="H136" s="43">
        <f t="shared" si="31"/>
        <v>4.3276444947631866E-2</v>
      </c>
      <c r="I136" s="43">
        <f t="shared" si="32"/>
        <v>3.5092148315877286E-2</v>
      </c>
      <c r="J136" s="43">
        <f t="shared" si="33"/>
        <v>7.5728928743233573E-2</v>
      </c>
    </row>
    <row r="137" spans="1:10">
      <c r="A137" s="48">
        <f t="shared" si="34"/>
        <v>5</v>
      </c>
      <c r="B137" s="41" t="s">
        <v>19</v>
      </c>
      <c r="C137" s="48" t="s">
        <v>61</v>
      </c>
      <c r="D137" s="48" t="s">
        <v>100</v>
      </c>
      <c r="E137" s="43">
        <f t="shared" si="29"/>
        <v>3.6015187725119836E-2</v>
      </c>
      <c r="F137" s="43">
        <f t="shared" si="30"/>
        <v>3.6947239444132869E-2</v>
      </c>
      <c r="G137" s="43">
        <v>5.6000000000000001E-2</v>
      </c>
      <c r="H137" s="43">
        <f t="shared" si="31"/>
        <v>4.3276444947631866E-2</v>
      </c>
      <c r="I137" s="43">
        <f t="shared" si="32"/>
        <v>5.1758814982543956E-2</v>
      </c>
      <c r="J137" s="43">
        <f t="shared" si="33"/>
        <v>8.8706054426676825E-2</v>
      </c>
    </row>
    <row r="138" spans="1:10">
      <c r="A138" s="48">
        <f t="shared" si="34"/>
        <v>6</v>
      </c>
      <c r="B138" s="41" t="s">
        <v>3</v>
      </c>
      <c r="C138" s="48" t="s">
        <v>62</v>
      </c>
      <c r="D138" s="48" t="s">
        <v>95</v>
      </c>
      <c r="E138" s="43">
        <f t="shared" si="29"/>
        <v>4.608880153986223E-2</v>
      </c>
      <c r="F138" s="43">
        <f t="shared" si="30"/>
        <v>4.7035745474150757E-2</v>
      </c>
      <c r="G138" s="43">
        <v>0.04</v>
      </c>
      <c r="H138" s="43">
        <f t="shared" si="31"/>
        <v>4.3276444947631866E-2</v>
      </c>
      <c r="I138" s="43">
        <f t="shared" si="32"/>
        <v>4.1092148315877292E-2</v>
      </c>
      <c r="J138" s="43">
        <f t="shared" si="33"/>
        <v>8.8127893790028056E-2</v>
      </c>
    </row>
    <row r="139" spans="1:10">
      <c r="A139" s="48">
        <f t="shared" si="34"/>
        <v>7</v>
      </c>
      <c r="B139" s="60" t="s">
        <v>32</v>
      </c>
      <c r="C139" s="61" t="s">
        <v>63</v>
      </c>
      <c r="D139" s="61" t="s">
        <v>100</v>
      </c>
      <c r="E139" s="43">
        <f t="shared" si="29"/>
        <v>2.9334090312727337E-2</v>
      </c>
      <c r="F139" s="43">
        <f t="shared" si="30"/>
        <v>2.9975902828065275E-2</v>
      </c>
      <c r="G139" s="43">
        <v>4.3999999999999997E-2</v>
      </c>
      <c r="H139" s="43">
        <f t="shared" si="31"/>
        <v>4.3276444947631866E-2</v>
      </c>
      <c r="I139" s="43">
        <f t="shared" si="32"/>
        <v>4.3758814982543956E-2</v>
      </c>
      <c r="J139" s="43">
        <f t="shared" si="33"/>
        <v>7.3734717810609224E-2</v>
      </c>
    </row>
    <row r="140" spans="1:10">
      <c r="A140" s="48">
        <f t="shared" si="34"/>
        <v>8</v>
      </c>
      <c r="B140" s="41" t="s">
        <v>1</v>
      </c>
      <c r="C140" s="48" t="s">
        <v>67</v>
      </c>
      <c r="D140" s="48" t="s">
        <v>95</v>
      </c>
      <c r="E140" s="43">
        <f t="shared" si="29"/>
        <v>3.3082652016690188E-2</v>
      </c>
      <c r="F140" s="43">
        <f t="shared" si="30"/>
        <v>3.4038059405172134E-2</v>
      </c>
      <c r="G140" s="43">
        <v>6.5000000000000002E-2</v>
      </c>
      <c r="H140" s="43">
        <f t="shared" si="31"/>
        <v>4.3276444947631866E-2</v>
      </c>
      <c r="I140" s="43">
        <f t="shared" si="32"/>
        <v>5.7758814982543955E-2</v>
      </c>
      <c r="J140" s="43">
        <f t="shared" si="33"/>
        <v>9.1796874387716082E-2</v>
      </c>
    </row>
    <row r="141" spans="1:10">
      <c r="A141" s="48">
        <f t="shared" si="34"/>
        <v>9</v>
      </c>
      <c r="B141" s="41" t="s">
        <v>6</v>
      </c>
      <c r="C141" s="48" t="s">
        <v>75</v>
      </c>
      <c r="D141" s="48" t="s">
        <v>95</v>
      </c>
      <c r="E141" s="43">
        <f t="shared" si="29"/>
        <v>3.053452155924451E-2</v>
      </c>
      <c r="F141" s="43">
        <f t="shared" si="30"/>
        <v>3.1467231319170369E-2</v>
      </c>
      <c r="G141" s="43">
        <v>7.0000000000000007E-2</v>
      </c>
      <c r="H141" s="43">
        <f t="shared" si="31"/>
        <v>4.3276444947631866E-2</v>
      </c>
      <c r="I141" s="43">
        <f t="shared" si="32"/>
        <v>6.1092148315877289E-2</v>
      </c>
      <c r="J141" s="43">
        <f t="shared" si="33"/>
        <v>9.2559379635047651E-2</v>
      </c>
    </row>
    <row r="142" spans="1:10">
      <c r="A142" s="48">
        <f t="shared" si="34"/>
        <v>10</v>
      </c>
      <c r="B142" s="41" t="s">
        <v>36</v>
      </c>
      <c r="C142" s="48" t="s">
        <v>132</v>
      </c>
      <c r="D142" s="48" t="s">
        <v>100</v>
      </c>
      <c r="E142" s="43">
        <f t="shared" si="29"/>
        <v>3.5566756933333048E-2</v>
      </c>
      <c r="F142" s="43">
        <f t="shared" si="30"/>
        <v>3.6416070015287134E-2</v>
      </c>
      <c r="G142" s="43">
        <v>0.05</v>
      </c>
      <c r="H142" s="43">
        <f t="shared" si="31"/>
        <v>4.3276444947631866E-2</v>
      </c>
      <c r="I142" s="43">
        <f t="shared" si="32"/>
        <v>4.7758814982543953E-2</v>
      </c>
      <c r="J142" s="43">
        <f t="shared" si="33"/>
        <v>8.4174884997831087E-2</v>
      </c>
    </row>
    <row r="143" spans="1:10">
      <c r="A143" s="48">
        <f t="shared" si="34"/>
        <v>11</v>
      </c>
      <c r="B143" s="41" t="s">
        <v>25</v>
      </c>
      <c r="C143" s="48" t="s">
        <v>77</v>
      </c>
      <c r="D143" s="48" t="s">
        <v>140</v>
      </c>
      <c r="E143" s="43">
        <f t="shared" si="29"/>
        <v>4.0963893861190717E-2</v>
      </c>
      <c r="F143" s="43">
        <f t="shared" si="30"/>
        <v>4.2037669794140753E-2</v>
      </c>
      <c r="G143" s="43">
        <v>5.7000000000000002E-2</v>
      </c>
      <c r="H143" s="43">
        <f t="shared" si="31"/>
        <v>4.3276444947631866E-2</v>
      </c>
      <c r="I143" s="43">
        <f t="shared" si="32"/>
        <v>5.2425481649210619E-2</v>
      </c>
      <c r="J143" s="43">
        <f t="shared" si="33"/>
        <v>9.4463151443351379E-2</v>
      </c>
    </row>
    <row r="144" spans="1:10">
      <c r="A144" s="48">
        <f t="shared" si="34"/>
        <v>12</v>
      </c>
      <c r="B144" s="41" t="s">
        <v>39</v>
      </c>
      <c r="C144" s="48" t="s">
        <v>81</v>
      </c>
      <c r="D144" s="48" t="s">
        <v>140</v>
      </c>
      <c r="E144" s="43">
        <f t="shared" ref="E144:E150" si="35">E114</f>
        <v>3.8680848393955421E-2</v>
      </c>
      <c r="F144" s="43">
        <f t="shared" si="30"/>
        <v>3.9578736902600158E-2</v>
      </c>
      <c r="G144" s="43">
        <v>4.8000000000000001E-2</v>
      </c>
      <c r="H144" s="43">
        <f t="shared" si="31"/>
        <v>4.3276444947631866E-2</v>
      </c>
      <c r="I144" s="43">
        <f t="shared" si="32"/>
        <v>4.642548164921062E-2</v>
      </c>
      <c r="J144" s="43">
        <f t="shared" si="33"/>
        <v>8.6004218551810785E-2</v>
      </c>
    </row>
    <row r="145" spans="1:117">
      <c r="A145" s="48">
        <f t="shared" si="34"/>
        <v>13</v>
      </c>
      <c r="B145" s="41" t="s">
        <v>40</v>
      </c>
      <c r="C145" s="48" t="s">
        <v>83</v>
      </c>
      <c r="D145" s="48" t="s">
        <v>100</v>
      </c>
      <c r="E145" s="43">
        <f t="shared" si="35"/>
        <v>3.2540958553764397E-2</v>
      </c>
      <c r="F145" s="43">
        <f t="shared" si="30"/>
        <v>3.3296323390857148E-2</v>
      </c>
      <c r="G145" s="43">
        <v>4.8000000000000001E-2</v>
      </c>
      <c r="H145" s="43">
        <f t="shared" si="31"/>
        <v>4.3276444947631866E-2</v>
      </c>
      <c r="I145" s="43">
        <f t="shared" si="32"/>
        <v>4.642548164921062E-2</v>
      </c>
      <c r="J145" s="43">
        <f t="shared" si="33"/>
        <v>7.9721805040067761E-2</v>
      </c>
    </row>
    <row r="146" spans="1:117">
      <c r="A146" s="48">
        <f t="shared" si="34"/>
        <v>14</v>
      </c>
      <c r="B146" s="41" t="s">
        <v>7</v>
      </c>
      <c r="C146" s="48" t="s">
        <v>84</v>
      </c>
      <c r="D146" s="48" t="s">
        <v>95</v>
      </c>
      <c r="E146" s="43">
        <f t="shared" si="35"/>
        <v>4.5102646374109025E-2</v>
      </c>
      <c r="F146" s="43">
        <f t="shared" si="30"/>
        <v>4.6104499768520935E-2</v>
      </c>
      <c r="G146" s="43">
        <v>4.4999999999999998E-2</v>
      </c>
      <c r="H146" s="43">
        <f t="shared" si="31"/>
        <v>4.3276444947631866E-2</v>
      </c>
      <c r="I146" s="43">
        <f t="shared" si="32"/>
        <v>4.4425481649210619E-2</v>
      </c>
      <c r="J146" s="43">
        <f t="shared" si="33"/>
        <v>9.0529981417731553E-2</v>
      </c>
    </row>
    <row r="147" spans="1:117">
      <c r="A147" s="48">
        <f t="shared" si="34"/>
        <v>15</v>
      </c>
      <c r="B147" s="41" t="s">
        <v>11</v>
      </c>
      <c r="C147" s="48" t="s">
        <v>88</v>
      </c>
      <c r="D147" s="48" t="s">
        <v>95</v>
      </c>
      <c r="E147" s="43">
        <f t="shared" si="35"/>
        <v>4.7395964089221171E-2</v>
      </c>
      <c r="F147" s="43">
        <f t="shared" si="30"/>
        <v>4.8385563736881708E-2</v>
      </c>
      <c r="G147" s="43">
        <v>4.1000000000000002E-2</v>
      </c>
      <c r="H147" s="43">
        <f t="shared" si="31"/>
        <v>4.3276444947631866E-2</v>
      </c>
      <c r="I147" s="43">
        <f t="shared" si="32"/>
        <v>4.1758814982543954E-2</v>
      </c>
      <c r="J147" s="43">
        <f t="shared" si="33"/>
        <v>9.0144378719425655E-2</v>
      </c>
    </row>
    <row r="148" spans="1:117">
      <c r="A148" s="48">
        <f t="shared" si="34"/>
        <v>16</v>
      </c>
      <c r="B148" s="41" t="s">
        <v>27</v>
      </c>
      <c r="C148" s="48" t="s">
        <v>90</v>
      </c>
      <c r="D148" s="48" t="s">
        <v>95</v>
      </c>
      <c r="E148" s="43">
        <f t="shared" si="35"/>
        <v>3.707977411044467E-2</v>
      </c>
      <c r="F148" s="43">
        <f t="shared" si="30"/>
        <v>3.8051736619036665E-2</v>
      </c>
      <c r="G148" s="43">
        <v>5.7000000000000002E-2</v>
      </c>
      <c r="H148" s="43">
        <f t="shared" si="31"/>
        <v>4.3276444947631866E-2</v>
      </c>
      <c r="I148" s="43">
        <f t="shared" si="32"/>
        <v>5.2425481649210619E-2</v>
      </c>
      <c r="J148" s="43">
        <f t="shared" si="33"/>
        <v>9.0477218268247284E-2</v>
      </c>
    </row>
    <row r="149" spans="1:117">
      <c r="A149" s="48">
        <f t="shared" si="34"/>
        <v>17</v>
      </c>
      <c r="B149" s="41" t="s">
        <v>28</v>
      </c>
      <c r="C149" s="48" t="s">
        <v>91</v>
      </c>
      <c r="D149" s="48" t="s">
        <v>140</v>
      </c>
      <c r="E149" s="43">
        <f t="shared" si="35"/>
        <v>3.6022359027234892E-2</v>
      </c>
      <c r="F149" s="43">
        <f t="shared" si="30"/>
        <v>3.7038648506361155E-2</v>
      </c>
      <c r="G149" s="43">
        <v>6.3E-2</v>
      </c>
      <c r="H149" s="43">
        <f t="shared" si="31"/>
        <v>4.3276444947631866E-2</v>
      </c>
      <c r="I149" s="43">
        <f t="shared" si="32"/>
        <v>5.6425481649210622E-2</v>
      </c>
      <c r="J149" s="43">
        <f t="shared" si="33"/>
        <v>9.3464130155571784E-2</v>
      </c>
    </row>
    <row r="150" spans="1:117">
      <c r="A150" s="48">
        <f t="shared" si="34"/>
        <v>18</v>
      </c>
      <c r="B150" s="41" t="s">
        <v>42</v>
      </c>
      <c r="C150" s="48" t="s">
        <v>93</v>
      </c>
      <c r="D150" s="48" t="s">
        <v>140</v>
      </c>
      <c r="E150" s="43">
        <f t="shared" si="35"/>
        <v>3.5986642863581463E-2</v>
      </c>
      <c r="F150" s="43">
        <f t="shared" si="30"/>
        <v>3.6845982572763801E-2</v>
      </c>
      <c r="G150" s="43">
        <v>0.05</v>
      </c>
      <c r="H150" s="43">
        <f t="shared" si="31"/>
        <v>4.3276444947631866E-2</v>
      </c>
      <c r="I150" s="43">
        <f t="shared" si="32"/>
        <v>4.7758814982543953E-2</v>
      </c>
      <c r="J150" s="43">
        <f t="shared" si="33"/>
        <v>8.4604797555307754E-2</v>
      </c>
    </row>
    <row r="151" spans="1:117">
      <c r="A151" s="41"/>
      <c r="B151" s="41"/>
      <c r="C151" s="41"/>
      <c r="D151" s="41"/>
      <c r="E151" s="41"/>
      <c r="F151" s="41"/>
      <c r="G151" s="41"/>
      <c r="H151" s="41"/>
      <c r="I151" s="42"/>
      <c r="J151" s="43"/>
    </row>
    <row r="152" spans="1:117">
      <c r="A152" s="41"/>
      <c r="B152" s="41" t="s">
        <v>142</v>
      </c>
      <c r="C152" s="41"/>
      <c r="D152" s="41"/>
      <c r="E152" s="41"/>
      <c r="F152" s="41"/>
      <c r="G152" s="43">
        <f>AVERAGE(G133:G143,G144:G150)</f>
        <v>4.9777777777777796E-2</v>
      </c>
      <c r="H152" s="41"/>
      <c r="I152" s="42" t="s">
        <v>133</v>
      </c>
      <c r="J152" s="43">
        <f>MEDIAN(J133:J143,J144:J150)</f>
        <v>8.8939383276688072E-2</v>
      </c>
    </row>
    <row r="153" spans="1:117">
      <c r="A153" s="41"/>
      <c r="B153" s="41"/>
      <c r="C153" s="41"/>
      <c r="D153" s="41"/>
      <c r="E153" s="41"/>
      <c r="F153" s="41"/>
      <c r="G153" s="41"/>
      <c r="H153" s="41"/>
      <c r="I153" s="42" t="s">
        <v>134</v>
      </c>
      <c r="J153" s="43">
        <f>AVERAGE(J133:J143,J144:J150)</f>
        <v>8.7306917860117517E-2</v>
      </c>
    </row>
    <row r="154" spans="1:117">
      <c r="A154" s="41"/>
      <c r="B154" s="41"/>
      <c r="C154" s="41"/>
      <c r="D154" s="41"/>
      <c r="E154" s="41"/>
      <c r="F154" s="41"/>
      <c r="G154" s="41"/>
      <c r="H154" s="41"/>
      <c r="I154" s="42" t="s">
        <v>137</v>
      </c>
      <c r="J154" s="43">
        <f>MAX(J133:J143,J144:J150)</f>
        <v>9.4463151443351379E-2</v>
      </c>
    </row>
    <row r="155" spans="1:117">
      <c r="A155" s="41"/>
      <c r="B155" s="41"/>
      <c r="C155" s="41"/>
      <c r="D155" s="41"/>
      <c r="E155" s="41"/>
      <c r="F155" s="41"/>
      <c r="G155" s="41"/>
      <c r="H155" s="41"/>
      <c r="I155" s="42" t="s">
        <v>138</v>
      </c>
      <c r="J155" s="43">
        <f>MIN(J133:J143,J144:J150)</f>
        <v>7.3734717810609224E-2</v>
      </c>
    </row>
    <row r="156" spans="1:117">
      <c r="A156" s="41"/>
      <c r="B156" s="41"/>
      <c r="C156" s="41"/>
      <c r="D156" s="41"/>
      <c r="E156" s="41"/>
      <c r="F156" s="41"/>
      <c r="G156" s="41"/>
      <c r="H156" s="41"/>
      <c r="I156" s="42"/>
      <c r="J156" s="43"/>
    </row>
    <row r="160" spans="1:117">
      <c r="AB160" s="231" t="s">
        <v>114</v>
      </c>
      <c r="AC160" s="231"/>
      <c r="AD160" s="231"/>
      <c r="AE160" s="231"/>
      <c r="AF160" s="231"/>
      <c r="AG160" s="231" t="s">
        <v>115</v>
      </c>
      <c r="AH160" s="231"/>
      <c r="AI160" s="231"/>
      <c r="AJ160" s="231"/>
      <c r="AK160" s="231"/>
      <c r="AL160" s="231" t="s">
        <v>116</v>
      </c>
      <c r="AM160" s="231"/>
      <c r="AN160" s="231"/>
      <c r="AO160" s="231"/>
      <c r="AP160" s="231"/>
      <c r="AQ160" s="231" t="s">
        <v>117</v>
      </c>
      <c r="AR160" s="231"/>
      <c r="AS160" s="231"/>
      <c r="AT160" s="231"/>
      <c r="AU160" s="231"/>
      <c r="AV160" s="231" t="s">
        <v>118</v>
      </c>
      <c r="AW160" s="231"/>
      <c r="AX160" s="231"/>
      <c r="AY160" s="231"/>
      <c r="AZ160" s="231"/>
      <c r="BA160" s="231" t="s">
        <v>119</v>
      </c>
      <c r="BB160" s="231"/>
      <c r="BC160" s="231"/>
      <c r="BD160" s="231"/>
      <c r="BE160" s="231"/>
      <c r="BF160" s="231" t="s">
        <v>120</v>
      </c>
      <c r="BG160" s="231"/>
      <c r="BH160" s="231"/>
      <c r="BI160" s="231"/>
      <c r="BJ160" s="231"/>
      <c r="BK160" s="231" t="s">
        <v>1</v>
      </c>
      <c r="BL160" s="231"/>
      <c r="BM160" s="231"/>
      <c r="BN160" s="231"/>
      <c r="BO160" s="231"/>
      <c r="BP160" s="231" t="s">
        <v>121</v>
      </c>
      <c r="BQ160" s="231"/>
      <c r="BR160" s="231"/>
      <c r="BS160" s="231"/>
      <c r="BT160" s="231"/>
      <c r="BU160" s="231" t="s">
        <v>122</v>
      </c>
      <c r="BV160" s="231"/>
      <c r="BW160" s="231"/>
      <c r="BX160" s="231"/>
      <c r="BY160" s="231"/>
      <c r="BZ160" s="231" t="s">
        <v>123</v>
      </c>
      <c r="CA160" s="231"/>
      <c r="CB160" s="231"/>
      <c r="CC160" s="231"/>
      <c r="CD160" s="231"/>
      <c r="CE160" s="231" t="s">
        <v>124</v>
      </c>
      <c r="CF160" s="231"/>
      <c r="CG160" s="231"/>
      <c r="CH160" s="231"/>
      <c r="CI160" s="231"/>
      <c r="CJ160" s="231" t="s">
        <v>125</v>
      </c>
      <c r="CK160" s="231"/>
      <c r="CL160" s="231"/>
      <c r="CM160" s="231"/>
      <c r="CN160" s="231"/>
      <c r="CO160" s="231" t="s">
        <v>126</v>
      </c>
      <c r="CP160" s="231"/>
      <c r="CQ160" s="231"/>
      <c r="CR160" s="231"/>
      <c r="CS160" s="231"/>
      <c r="CT160" s="231" t="s">
        <v>11</v>
      </c>
      <c r="CU160" s="231"/>
      <c r="CV160" s="231"/>
      <c r="CW160" s="231"/>
      <c r="CX160" s="231"/>
      <c r="CY160" s="231" t="s">
        <v>127</v>
      </c>
      <c r="CZ160" s="231"/>
      <c r="DA160" s="231"/>
      <c r="DB160" s="231"/>
      <c r="DC160" s="231"/>
      <c r="DD160" s="231" t="s">
        <v>128</v>
      </c>
      <c r="DE160" s="231"/>
      <c r="DF160" s="231"/>
      <c r="DG160" s="231"/>
      <c r="DH160" s="231"/>
      <c r="DI160" s="231" t="s">
        <v>129</v>
      </c>
      <c r="DJ160" s="231"/>
      <c r="DK160" s="231"/>
      <c r="DL160" s="231"/>
      <c r="DM160" s="231"/>
    </row>
    <row r="161" spans="27:156" ht="60" customHeight="1">
      <c r="AA161" s="2" t="s">
        <v>111</v>
      </c>
      <c r="AB161" s="2" t="s">
        <v>112</v>
      </c>
      <c r="AC161" s="2" t="s">
        <v>113</v>
      </c>
      <c r="AD161" s="138" t="s">
        <v>283</v>
      </c>
      <c r="AE161" s="3" t="s">
        <v>130</v>
      </c>
      <c r="AF161" s="73" t="s">
        <v>131</v>
      </c>
      <c r="AG161" s="2" t="s">
        <v>112</v>
      </c>
      <c r="AH161" s="2" t="s">
        <v>113</v>
      </c>
      <c r="AI161" s="138" t="s">
        <v>283</v>
      </c>
      <c r="AJ161" s="3" t="s">
        <v>130</v>
      </c>
      <c r="AK161" s="73" t="s">
        <v>131</v>
      </c>
      <c r="AL161" s="2" t="s">
        <v>112</v>
      </c>
      <c r="AM161" s="2" t="s">
        <v>113</v>
      </c>
      <c r="AN161" s="138" t="s">
        <v>283</v>
      </c>
      <c r="AO161" s="3" t="s">
        <v>130</v>
      </c>
      <c r="AP161" s="73" t="s">
        <v>131</v>
      </c>
      <c r="AQ161" s="2" t="s">
        <v>112</v>
      </c>
      <c r="AR161" s="2" t="s">
        <v>113</v>
      </c>
      <c r="AS161" s="138" t="s">
        <v>283</v>
      </c>
      <c r="AT161" s="3" t="s">
        <v>130</v>
      </c>
      <c r="AU161" s="73" t="s">
        <v>131</v>
      </c>
      <c r="AV161" s="2" t="s">
        <v>112</v>
      </c>
      <c r="AW161" s="2" t="s">
        <v>113</v>
      </c>
      <c r="AX161" s="138" t="s">
        <v>283</v>
      </c>
      <c r="AY161" s="3" t="s">
        <v>130</v>
      </c>
      <c r="AZ161" s="73" t="s">
        <v>131</v>
      </c>
      <c r="BA161" s="2" t="s">
        <v>112</v>
      </c>
      <c r="BB161" s="2" t="s">
        <v>113</v>
      </c>
      <c r="BC161" s="138" t="s">
        <v>283</v>
      </c>
      <c r="BD161" s="3" t="s">
        <v>130</v>
      </c>
      <c r="BE161" s="73" t="s">
        <v>131</v>
      </c>
      <c r="BF161" s="2" t="s">
        <v>112</v>
      </c>
      <c r="BG161" s="2" t="s">
        <v>113</v>
      </c>
      <c r="BH161" s="138" t="s">
        <v>283</v>
      </c>
      <c r="BI161" s="3" t="s">
        <v>130</v>
      </c>
      <c r="BJ161" s="73" t="s">
        <v>131</v>
      </c>
      <c r="BK161" s="2" t="s">
        <v>112</v>
      </c>
      <c r="BL161" s="2" t="s">
        <v>113</v>
      </c>
      <c r="BM161" s="138" t="s">
        <v>283</v>
      </c>
      <c r="BN161" s="3" t="s">
        <v>130</v>
      </c>
      <c r="BO161" s="73" t="s">
        <v>131</v>
      </c>
      <c r="BP161" s="2" t="s">
        <v>112</v>
      </c>
      <c r="BQ161" s="2" t="s">
        <v>113</v>
      </c>
      <c r="BR161" s="138" t="s">
        <v>283</v>
      </c>
      <c r="BS161" s="3" t="s">
        <v>130</v>
      </c>
      <c r="BT161" s="73" t="s">
        <v>131</v>
      </c>
      <c r="BU161" s="2" t="s">
        <v>112</v>
      </c>
      <c r="BV161" s="2" t="s">
        <v>113</v>
      </c>
      <c r="BW161" s="138" t="s">
        <v>283</v>
      </c>
      <c r="BX161" s="3" t="s">
        <v>130</v>
      </c>
      <c r="BY161" s="138" t="s">
        <v>283</v>
      </c>
      <c r="BZ161" s="2" t="s">
        <v>112</v>
      </c>
      <c r="CA161" s="2" t="s">
        <v>113</v>
      </c>
      <c r="CB161" s="138" t="s">
        <v>283</v>
      </c>
      <c r="CC161" s="3" t="s">
        <v>130</v>
      </c>
      <c r="CD161" s="73" t="s">
        <v>131</v>
      </c>
      <c r="CE161" s="2" t="s">
        <v>112</v>
      </c>
      <c r="CF161" s="2" t="s">
        <v>113</v>
      </c>
      <c r="CG161" s="138" t="s">
        <v>283</v>
      </c>
      <c r="CH161" s="3" t="s">
        <v>130</v>
      </c>
      <c r="CI161" s="73" t="s">
        <v>131</v>
      </c>
      <c r="CJ161" s="2" t="s">
        <v>112</v>
      </c>
      <c r="CK161" s="2" t="s">
        <v>113</v>
      </c>
      <c r="CL161" s="138" t="s">
        <v>283</v>
      </c>
      <c r="CM161" s="3" t="s">
        <v>130</v>
      </c>
      <c r="CN161" s="73" t="s">
        <v>131</v>
      </c>
      <c r="CO161" s="2" t="s">
        <v>112</v>
      </c>
      <c r="CP161" s="2" t="s">
        <v>113</v>
      </c>
      <c r="CQ161" s="138" t="s">
        <v>283</v>
      </c>
      <c r="CR161" s="3" t="s">
        <v>130</v>
      </c>
      <c r="CS161" s="73" t="s">
        <v>131</v>
      </c>
      <c r="CT161" s="63" t="s">
        <v>112</v>
      </c>
      <c r="CU161" s="63" t="s">
        <v>113</v>
      </c>
      <c r="CV161" s="138" t="s">
        <v>283</v>
      </c>
      <c r="CW161" s="64" t="s">
        <v>130</v>
      </c>
      <c r="CX161" s="73" t="s">
        <v>131</v>
      </c>
      <c r="CY161" s="2" t="s">
        <v>112</v>
      </c>
      <c r="CZ161" s="2" t="s">
        <v>113</v>
      </c>
      <c r="DA161" s="138" t="s">
        <v>283</v>
      </c>
      <c r="DB161" s="3" t="s">
        <v>130</v>
      </c>
      <c r="DC161" s="73" t="s">
        <v>131</v>
      </c>
      <c r="DD161" s="2" t="s">
        <v>112</v>
      </c>
      <c r="DE161" s="2" t="s">
        <v>113</v>
      </c>
      <c r="DF161" s="138" t="s">
        <v>283</v>
      </c>
      <c r="DG161" s="3" t="s">
        <v>130</v>
      </c>
      <c r="DH161" s="73" t="s">
        <v>131</v>
      </c>
      <c r="DI161" s="2" t="s">
        <v>112</v>
      </c>
      <c r="DJ161" s="2" t="s">
        <v>113</v>
      </c>
      <c r="DK161" s="138" t="s">
        <v>283</v>
      </c>
      <c r="DL161" s="3" t="s">
        <v>130</v>
      </c>
      <c r="DM161" s="73" t="s">
        <v>131</v>
      </c>
      <c r="DO161" s="2"/>
      <c r="DP161" s="2"/>
      <c r="DR161" s="2"/>
      <c r="DS161" s="2"/>
      <c r="DU161" s="2"/>
      <c r="DV161" s="2"/>
      <c r="DX161" s="2"/>
      <c r="DY161" s="2"/>
      <c r="EA161" s="2"/>
      <c r="EB161" s="2"/>
      <c r="ED161" s="2"/>
      <c r="EE161" s="2"/>
      <c r="EG161" s="2"/>
      <c r="EH161" s="2"/>
      <c r="EJ161" s="2"/>
      <c r="EK161" s="2"/>
      <c r="EM161" s="2"/>
      <c r="EN161" s="2"/>
      <c r="EP161" s="2"/>
      <c r="EQ161" s="2"/>
      <c r="ES161" s="2"/>
      <c r="ET161" s="2"/>
      <c r="EV161" s="2"/>
      <c r="EW161" s="2"/>
      <c r="EY161" s="2"/>
      <c r="EZ161" s="2"/>
    </row>
    <row r="162" spans="27:156">
      <c r="AA162" s="11"/>
      <c r="AB162" s="11"/>
      <c r="AC162" s="11"/>
      <c r="AD162" s="11"/>
      <c r="AE162" s="11"/>
      <c r="AG162" s="11"/>
      <c r="AH162" s="11"/>
      <c r="AI162" s="11"/>
      <c r="AJ162" s="11"/>
      <c r="AL162" s="11"/>
      <c r="AM162" s="11"/>
      <c r="AN162" s="11"/>
      <c r="AO162" s="11"/>
      <c r="AQ162" s="11"/>
      <c r="AR162" s="11"/>
      <c r="AS162" s="11"/>
      <c r="AT162" s="11"/>
      <c r="AV162" s="11"/>
      <c r="AW162" s="11"/>
      <c r="AX162" s="11"/>
      <c r="AY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P162" s="11"/>
      <c r="BQ162" s="11"/>
      <c r="BR162" s="11"/>
      <c r="BS162" s="11"/>
      <c r="BU162" s="11"/>
      <c r="BV162" s="11"/>
      <c r="BW162" s="11"/>
      <c r="BX162" s="11"/>
      <c r="BZ162" s="11"/>
      <c r="CA162" s="11"/>
      <c r="CB162" s="11"/>
      <c r="CC162" s="11"/>
      <c r="CE162" s="11"/>
      <c r="CF162" s="11"/>
      <c r="CG162" s="11"/>
      <c r="CH162" s="11"/>
      <c r="CJ162" s="11"/>
      <c r="CK162" s="11"/>
      <c r="CL162" s="11"/>
      <c r="CM162" s="11"/>
      <c r="CO162" s="11"/>
      <c r="CP162" s="11"/>
      <c r="CQ162" s="11"/>
      <c r="CR162" s="11"/>
      <c r="CY162" s="11"/>
      <c r="CZ162" s="11"/>
      <c r="DA162" s="11"/>
      <c r="DB162" s="11"/>
      <c r="DD162" s="11"/>
      <c r="DE162" s="11"/>
      <c r="DF162" s="11"/>
      <c r="DG162" s="11"/>
      <c r="DI162" s="11"/>
      <c r="DJ162" s="11"/>
      <c r="DL162" s="11"/>
      <c r="DM162" s="11"/>
      <c r="DO162" s="11"/>
      <c r="DP162" s="11"/>
      <c r="DR162" s="11"/>
      <c r="DS162" s="11"/>
      <c r="DU162" s="11"/>
      <c r="DV162" s="11"/>
      <c r="DX162" s="11"/>
      <c r="DY162" s="11"/>
      <c r="EA162" s="11"/>
      <c r="EB162" s="11"/>
      <c r="ED162" s="11"/>
      <c r="EE162" s="11"/>
      <c r="EG162" s="11"/>
      <c r="EH162" s="11"/>
      <c r="EJ162" s="11"/>
      <c r="EK162" s="11"/>
      <c r="EM162" s="11"/>
      <c r="EN162" s="11"/>
      <c r="EP162" s="11"/>
      <c r="EQ162" s="11"/>
      <c r="ES162" s="11"/>
      <c r="ET162" s="11"/>
      <c r="EV162" s="11"/>
      <c r="EW162" s="11"/>
      <c r="EY162" s="11"/>
      <c r="EZ162" s="11"/>
    </row>
    <row r="163" spans="27:156">
      <c r="AA163" s="11"/>
      <c r="AB163" s="11"/>
      <c r="AC163" s="11"/>
      <c r="AD163" s="11"/>
      <c r="AE163" s="11"/>
      <c r="AG163" s="11"/>
      <c r="AH163" s="11"/>
      <c r="AI163" s="11"/>
      <c r="AJ163" s="11"/>
      <c r="AL163" s="11"/>
      <c r="AM163" s="11"/>
      <c r="AN163" s="11"/>
      <c r="AO163" s="11"/>
      <c r="AQ163" s="11"/>
      <c r="AR163" s="11"/>
      <c r="AS163" s="11"/>
      <c r="AT163" s="11"/>
      <c r="AV163" s="11"/>
      <c r="AW163" s="11"/>
      <c r="AX163" s="11"/>
      <c r="AY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P163" s="11"/>
      <c r="BQ163" s="11"/>
      <c r="BR163" s="11"/>
      <c r="BS163" s="11"/>
      <c r="BU163" s="11"/>
      <c r="BV163" s="11"/>
      <c r="BW163" s="11"/>
      <c r="BX163" s="11"/>
      <c r="BZ163" s="11"/>
      <c r="CA163" s="11"/>
      <c r="CB163" s="11"/>
      <c r="CC163" s="11"/>
      <c r="CE163" s="11"/>
      <c r="CF163" s="11"/>
      <c r="CG163" s="11"/>
      <c r="CH163" s="11"/>
      <c r="CJ163" s="11"/>
      <c r="CK163" s="11"/>
      <c r="CL163" s="11"/>
      <c r="CM163" s="11"/>
      <c r="CO163" s="11"/>
      <c r="CP163" s="11"/>
      <c r="CQ163" s="11"/>
      <c r="CR163" s="11"/>
      <c r="CY163" s="11"/>
      <c r="CZ163" s="11"/>
      <c r="DA163" s="11"/>
      <c r="DB163" s="11"/>
      <c r="DD163" s="11"/>
      <c r="DE163" s="11"/>
      <c r="DF163" s="11"/>
      <c r="DG163" s="11"/>
      <c r="DI163" s="11"/>
      <c r="DJ163" s="11"/>
      <c r="DL163" s="11"/>
      <c r="DM163" s="11"/>
      <c r="DO163" s="11"/>
      <c r="DP163" s="11"/>
      <c r="DR163" s="11"/>
      <c r="DS163" s="11"/>
      <c r="DU163" s="11"/>
      <c r="DV163" s="11"/>
      <c r="DX163" s="11"/>
      <c r="DY163" s="11"/>
      <c r="EA163" s="11"/>
      <c r="EB163" s="11"/>
      <c r="ED163" s="11"/>
      <c r="EE163" s="11"/>
      <c r="EG163" s="11"/>
      <c r="EH163" s="11"/>
      <c r="EJ163" s="11"/>
      <c r="EK163" s="11"/>
      <c r="EM163" s="11"/>
      <c r="EN163" s="11"/>
      <c r="EP163" s="11"/>
      <c r="EQ163" s="11"/>
      <c r="ES163" s="11"/>
      <c r="ET163" s="11"/>
      <c r="EV163" s="11"/>
      <c r="EW163" s="11"/>
      <c r="EY163" s="11"/>
      <c r="EZ163" s="11"/>
    </row>
    <row r="164" spans="27:156">
      <c r="AA164" s="10">
        <v>42429</v>
      </c>
      <c r="AB164" s="13">
        <v>53.580002</v>
      </c>
      <c r="AC164" s="13">
        <v>52.240001999999997</v>
      </c>
      <c r="AD164" s="12">
        <f>(MAX(AB164:AB183)+MIN(AC164:AC183))/2</f>
        <v>52.895000500000002</v>
      </c>
      <c r="AE164" s="1">
        <f>0.52*4</f>
        <v>2.08</v>
      </c>
      <c r="AF164" s="9">
        <f>+AE164/AD164</f>
        <v>3.9323187075118754E-2</v>
      </c>
      <c r="AG164" s="14">
        <v>68.839995999999999</v>
      </c>
      <c r="AH164" s="14">
        <v>67.699996999999996</v>
      </c>
      <c r="AI164" s="12">
        <f>(MAX(AG164:AG183)+MIN(AH164:AH183))/2</f>
        <v>67.505000999999993</v>
      </c>
      <c r="AJ164" s="1">
        <f>0.5875*4</f>
        <v>2.35</v>
      </c>
      <c r="AK164" s="9">
        <f>+AJ164/AI164</f>
        <v>3.4812235614958366E-2</v>
      </c>
      <c r="AL164">
        <v>18.82</v>
      </c>
      <c r="AM164">
        <v>18.5</v>
      </c>
      <c r="AN164" s="12">
        <f>(MAX(AL164:AL183)+MIN(AM164:AM183))/2</f>
        <v>18.395</v>
      </c>
      <c r="AO164" s="1">
        <f>0.2575*4</f>
        <v>1.03</v>
      </c>
      <c r="AP164" s="9">
        <f>+AO164/AN164</f>
        <v>5.5993476488176139E-2</v>
      </c>
      <c r="AQ164">
        <v>70.730002999999996</v>
      </c>
      <c r="AR164">
        <v>70.010002</v>
      </c>
      <c r="AS164" s="12">
        <f>(MAX(AQ164:AQ183)+MIN(AR164:AR183))/2</f>
        <v>71.490002000000004</v>
      </c>
      <c r="AT164" s="1">
        <f>0.67*4</f>
        <v>2.68</v>
      </c>
      <c r="AU164" s="9">
        <f>+AT164/AS164</f>
        <v>3.7487759477192351E-2</v>
      </c>
      <c r="AV164">
        <v>85.010002</v>
      </c>
      <c r="AW164">
        <v>84.010002</v>
      </c>
      <c r="AX164" s="12">
        <f>(MAX(AV164:AV183)+MIN(AW164:AW183))/2</f>
        <v>85.384997999999996</v>
      </c>
      <c r="AY164" s="1">
        <f>0.73*4</f>
        <v>2.92</v>
      </c>
      <c r="AZ164" s="9">
        <f>+AY164/AX164</f>
        <v>3.4198044953985943E-2</v>
      </c>
      <c r="BA164">
        <v>74.940002000000007</v>
      </c>
      <c r="BB164">
        <v>73.790001000000004</v>
      </c>
      <c r="BC164" s="12">
        <f>(MAX(BA164:BA183)+MIN(BB164:BB183))/2</f>
        <v>76.944999499999994</v>
      </c>
      <c r="BD164" s="13">
        <f>0.825*4</f>
        <v>3.3</v>
      </c>
      <c r="BE164" s="9">
        <f>+BD164/BC164</f>
        <v>4.2887777262250813E-2</v>
      </c>
      <c r="BF164">
        <v>68.800003000000004</v>
      </c>
      <c r="BG164">
        <v>67.019997000000004</v>
      </c>
      <c r="BH164" s="12">
        <f>(MAX(BF164:BF183)+MIN(BG164:BG183))/2</f>
        <v>65.364999999999995</v>
      </c>
      <c r="BI164" s="1">
        <f>0.48*4</f>
        <v>1.92</v>
      </c>
      <c r="BJ164" s="9">
        <f>+BI164/BH164</f>
        <v>2.9373517937734264E-2</v>
      </c>
      <c r="BK164">
        <v>54.84</v>
      </c>
      <c r="BL164">
        <v>53.93</v>
      </c>
      <c r="BM164" s="12">
        <f>(MAX(BK164:BK183)+MIN(BL164:BL183))/2</f>
        <v>54.924999</v>
      </c>
      <c r="BN164" s="1">
        <f>0.445*4</f>
        <v>1.78</v>
      </c>
      <c r="BO164" s="9">
        <f>+BN164/BM164</f>
        <v>3.2407829447570861E-2</v>
      </c>
      <c r="BP164">
        <v>113.94000200000001</v>
      </c>
      <c r="BQ164">
        <v>112.050003</v>
      </c>
      <c r="BR164" s="12">
        <f>(MAX(BP164:BP183)+MIN(BQ164:BQ183))/2</f>
        <v>113.79000049999999</v>
      </c>
      <c r="BS164" s="1">
        <f>0.87*4</f>
        <v>3.48</v>
      </c>
      <c r="BT164" s="9">
        <f>+BS164/BR164</f>
        <v>3.0582652119770404E-2</v>
      </c>
      <c r="BU164">
        <v>60.029998999999997</v>
      </c>
      <c r="BV164">
        <v>58.900002000000001</v>
      </c>
      <c r="BW164" s="12">
        <f>(MAX(BU164:BU183)+MIN(BV164:BV183))/2</f>
        <v>58.125</v>
      </c>
      <c r="BX164" s="14">
        <f>0.5*4</f>
        <v>2</v>
      </c>
      <c r="BY164" s="9">
        <f>+BX164/BW164</f>
        <v>3.4408602150537634E-2</v>
      </c>
      <c r="BZ164">
        <v>25.16</v>
      </c>
      <c r="CA164">
        <v>24.389999</v>
      </c>
      <c r="CB164" s="12">
        <f>(MAX(BZ164:BZ183)+MIN(CA164:CA183))/2</f>
        <v>26.099999</v>
      </c>
      <c r="CC164" s="13">
        <f>0.275*4</f>
        <v>1.1000000000000001</v>
      </c>
      <c r="CD164" s="9">
        <f>+CC164/CB164</f>
        <v>4.2145595484505576E-2</v>
      </c>
      <c r="CE164">
        <v>69.260002</v>
      </c>
      <c r="CF164">
        <v>67.900002000000001</v>
      </c>
      <c r="CG164" s="12">
        <f>(MAX(CE164:CE183)+MIN(CF164:CF183))/2</f>
        <v>68.709999500000009</v>
      </c>
      <c r="CH164" s="13">
        <f>0.625*4</f>
        <v>2.5</v>
      </c>
      <c r="CI164" s="9">
        <f>+CH164/CG164</f>
        <v>3.6384805969908347E-2</v>
      </c>
      <c r="CJ164">
        <v>38.470001000000003</v>
      </c>
      <c r="CK164">
        <v>37.759998000000003</v>
      </c>
      <c r="CL164" s="12">
        <f>(MAX(CJ164:CJ183)+MIN(CK164:CK183))/2</f>
        <v>38.940000999999995</v>
      </c>
      <c r="CM164" s="13">
        <f>0.3*4</f>
        <v>1.2</v>
      </c>
      <c r="CN164" s="9">
        <f>+CM164/CL164</f>
        <v>3.0816640194744734E-2</v>
      </c>
      <c r="CO164">
        <v>35.590000000000003</v>
      </c>
      <c r="CP164">
        <v>34.639999000000003</v>
      </c>
      <c r="CQ164" s="12">
        <f>(MAX(CO164:CO183)+MIN(CP164:CP183))/2</f>
        <v>35.934999500000004</v>
      </c>
      <c r="CR164" s="1">
        <f>0.38*4</f>
        <v>1.52</v>
      </c>
      <c r="CS164" s="9">
        <f>+CR164/CQ164</f>
        <v>4.2298595273390777E-2</v>
      </c>
      <c r="CT164">
        <v>48.669998</v>
      </c>
      <c r="CU164">
        <v>48.110000999999997</v>
      </c>
      <c r="CV164" s="12">
        <f>(MAX(CT164:CT183)+MIN(CU164:CU183))/2</f>
        <v>48.75</v>
      </c>
      <c r="CW164" s="1">
        <f>0.5425*4</f>
        <v>2.17</v>
      </c>
      <c r="CX164" s="9">
        <f>+CW164/CV164</f>
        <v>4.451282051282051E-2</v>
      </c>
      <c r="CY164">
        <v>45.860000999999997</v>
      </c>
      <c r="CZ164">
        <v>45.09</v>
      </c>
      <c r="DA164" s="12">
        <f>(MAX(CY164:CY183)+MIN(CZ164:CZ183))/2</f>
        <v>44.3550015</v>
      </c>
      <c r="DB164" s="13">
        <f>0.4*4</f>
        <v>1.6</v>
      </c>
      <c r="DC164" s="9">
        <f>+DB164/DA164</f>
        <v>3.6072594879745415E-2</v>
      </c>
      <c r="DD164">
        <v>57.080002</v>
      </c>
      <c r="DE164">
        <v>56.299999</v>
      </c>
      <c r="DF164" s="12">
        <f>(MAX(DD164:DD183)+MIN(DE164:DE183))/2</f>
        <v>56.440000999999995</v>
      </c>
      <c r="DG164" s="1">
        <f>0.495*4</f>
        <v>1.98</v>
      </c>
      <c r="DH164" s="9">
        <f>+DG164/DF164</f>
        <v>3.5081501858938664E-2</v>
      </c>
      <c r="DI164">
        <v>39.919998</v>
      </c>
      <c r="DJ164">
        <v>39.209999000000003</v>
      </c>
      <c r="DK164" s="12">
        <f>(MAX(DI164:DI183)+MIN(DJ164:DJ183))/2</f>
        <v>38.334998999999996</v>
      </c>
      <c r="DL164">
        <f>0.34*4</f>
        <v>1.36</v>
      </c>
      <c r="DM164" s="9">
        <f>+DL164/DK164</f>
        <v>3.5476719328987077E-2</v>
      </c>
    </row>
    <row r="165" spans="27:156">
      <c r="AA165" s="10">
        <v>42426</v>
      </c>
      <c r="AB165" s="13">
        <v>54.029998999999997</v>
      </c>
      <c r="AC165" s="13">
        <v>52.540000999999997</v>
      </c>
      <c r="AD165" s="13"/>
      <c r="AE165" s="1"/>
      <c r="AF165" s="1"/>
      <c r="AG165" s="14">
        <v>69.879997000000003</v>
      </c>
      <c r="AH165" s="14">
        <v>67.949996999999996</v>
      </c>
      <c r="AI165" s="13"/>
      <c r="AJ165" s="1"/>
      <c r="AK165" s="1"/>
      <c r="AL165">
        <v>18.98</v>
      </c>
      <c r="AM165">
        <v>18.399999999999999</v>
      </c>
      <c r="AN165" s="13"/>
      <c r="AO165" s="1"/>
      <c r="AP165" s="1"/>
      <c r="AQ165">
        <v>72.330001999999993</v>
      </c>
      <c r="AR165">
        <v>70.169998000000007</v>
      </c>
      <c r="AS165" s="13"/>
      <c r="AT165" s="1"/>
      <c r="AU165" s="1"/>
      <c r="AV165">
        <v>86.730002999999996</v>
      </c>
      <c r="AW165">
        <v>84.260002</v>
      </c>
      <c r="AX165" s="13"/>
      <c r="AY165" s="1"/>
      <c r="AZ165" s="1"/>
      <c r="BA165">
        <v>76.309997999999993</v>
      </c>
      <c r="BB165">
        <v>73.949996999999996</v>
      </c>
      <c r="BC165" s="13"/>
      <c r="BD165" s="1"/>
      <c r="BE165" s="1"/>
      <c r="BF165">
        <v>68.779999000000004</v>
      </c>
      <c r="BG165">
        <v>67.059997999999993</v>
      </c>
      <c r="BH165" s="13"/>
      <c r="BI165" s="1"/>
      <c r="BJ165" s="1"/>
      <c r="BK165">
        <v>56.470001000000003</v>
      </c>
      <c r="BL165">
        <v>54.75</v>
      </c>
      <c r="BM165" s="13"/>
      <c r="BN165" s="1"/>
      <c r="BO165" s="1"/>
      <c r="BP165">
        <v>115.80999799999999</v>
      </c>
      <c r="BQ165">
        <v>112.19000200000001</v>
      </c>
      <c r="BR165" s="13"/>
      <c r="BS165" s="1"/>
      <c r="BT165" s="1"/>
      <c r="BU165">
        <v>60.099997999999999</v>
      </c>
      <c r="BV165">
        <v>58.82</v>
      </c>
      <c r="BW165" s="13"/>
      <c r="BY165" s="1"/>
      <c r="BZ165">
        <v>26.540001</v>
      </c>
      <c r="CA165">
        <v>24.790001</v>
      </c>
      <c r="CB165" s="13"/>
      <c r="CC165" s="1"/>
      <c r="CD165" s="1"/>
      <c r="CE165">
        <v>70.790001000000004</v>
      </c>
      <c r="CF165">
        <v>68.489998</v>
      </c>
      <c r="CG165" s="13"/>
      <c r="CH165" s="1"/>
      <c r="CI165" s="1"/>
      <c r="CJ165">
        <v>39.18</v>
      </c>
      <c r="CK165">
        <v>37.939999</v>
      </c>
      <c r="CL165" s="13"/>
      <c r="CM165" s="1"/>
      <c r="CN165" s="1"/>
      <c r="CO165">
        <v>36.299999</v>
      </c>
      <c r="CP165">
        <v>34.75</v>
      </c>
      <c r="CQ165" s="13"/>
      <c r="CR165" s="1"/>
      <c r="CS165" s="1"/>
      <c r="CT165">
        <v>49.360000999999997</v>
      </c>
      <c r="CU165">
        <v>48.099997999999999</v>
      </c>
      <c r="CV165" s="13"/>
      <c r="CW165" s="1"/>
      <c r="CX165" s="1"/>
      <c r="CY165">
        <v>46.669998</v>
      </c>
      <c r="CZ165">
        <v>44.939999</v>
      </c>
      <c r="DA165" s="13"/>
      <c r="DB165" s="1"/>
      <c r="DC165" s="1"/>
      <c r="DD165">
        <v>57.959999000000003</v>
      </c>
      <c r="DE165">
        <v>56.139999000000003</v>
      </c>
      <c r="DF165" s="13"/>
      <c r="DG165" s="1"/>
      <c r="DH165" s="1"/>
      <c r="DI165">
        <v>40.099997999999999</v>
      </c>
      <c r="DJ165">
        <v>39.139999000000003</v>
      </c>
      <c r="DK165" s="13"/>
      <c r="DM165" s="1"/>
    </row>
    <row r="166" spans="27:156">
      <c r="AA166" s="10">
        <v>42425</v>
      </c>
      <c r="AB166" s="13">
        <v>54.41</v>
      </c>
      <c r="AC166" s="13">
        <v>53.830002</v>
      </c>
      <c r="AD166" s="13"/>
      <c r="AE166" s="1"/>
      <c r="AF166" s="1"/>
      <c r="AG166" s="14">
        <v>70.25</v>
      </c>
      <c r="AH166" s="14">
        <v>69.25</v>
      </c>
      <c r="AI166" s="13"/>
      <c r="AJ166" s="1"/>
      <c r="AK166" s="1"/>
      <c r="AL166">
        <v>19.170000000000002</v>
      </c>
      <c r="AM166">
        <v>18.73</v>
      </c>
      <c r="AN166" s="13"/>
      <c r="AO166" s="1"/>
      <c r="AP166" s="1"/>
      <c r="AQ166">
        <v>72.489998</v>
      </c>
      <c r="AR166">
        <v>71.430000000000007</v>
      </c>
      <c r="AS166" s="13"/>
      <c r="AT166" s="1"/>
      <c r="AU166" s="1"/>
      <c r="AV166">
        <v>87.040001000000004</v>
      </c>
      <c r="AW166">
        <v>86</v>
      </c>
      <c r="AX166" s="13"/>
      <c r="AY166" s="1"/>
      <c r="AZ166" s="1"/>
      <c r="BA166">
        <v>76.449996999999996</v>
      </c>
      <c r="BB166">
        <v>74.839995999999999</v>
      </c>
      <c r="BC166" s="13"/>
      <c r="BD166" s="1"/>
      <c r="BE166" s="1"/>
      <c r="BF166">
        <v>69.239998</v>
      </c>
      <c r="BG166">
        <v>67.709998999999996</v>
      </c>
      <c r="BH166" s="13"/>
      <c r="BI166" s="1"/>
      <c r="BJ166" s="1"/>
      <c r="BK166">
        <v>56.919998</v>
      </c>
      <c r="BL166">
        <v>56.25</v>
      </c>
      <c r="BM166" s="13"/>
      <c r="BN166" s="1"/>
      <c r="BO166" s="1"/>
      <c r="BP166">
        <v>116.980003</v>
      </c>
      <c r="BQ166">
        <v>115.120003</v>
      </c>
      <c r="BR166" s="13"/>
      <c r="BS166" s="1"/>
      <c r="BT166" s="1"/>
      <c r="BU166">
        <v>60.759998000000003</v>
      </c>
      <c r="BV166">
        <v>59.650002000000001</v>
      </c>
      <c r="BW166" s="13"/>
      <c r="BY166" s="1"/>
      <c r="BZ166">
        <v>27.17</v>
      </c>
      <c r="CA166">
        <v>26.639999</v>
      </c>
      <c r="CB166" s="13"/>
      <c r="CC166" s="1"/>
      <c r="CD166" s="1"/>
      <c r="CE166">
        <v>71.400002000000001</v>
      </c>
      <c r="CF166">
        <v>70.120002999999997</v>
      </c>
      <c r="CG166" s="13"/>
      <c r="CH166" s="1"/>
      <c r="CI166" s="1"/>
      <c r="CJ166">
        <v>39.380001</v>
      </c>
      <c r="CK166">
        <v>38.869999</v>
      </c>
      <c r="CL166" s="13"/>
      <c r="CM166" s="1"/>
      <c r="CN166" s="1"/>
      <c r="CO166">
        <v>36.369999</v>
      </c>
      <c r="CP166">
        <v>35.759998000000003</v>
      </c>
      <c r="CQ166" s="13"/>
      <c r="CR166" s="1"/>
      <c r="CS166" s="1"/>
      <c r="CT166">
        <v>49.43</v>
      </c>
      <c r="CU166">
        <v>48.869999</v>
      </c>
      <c r="CV166" s="13"/>
      <c r="CW166" s="1"/>
      <c r="CX166" s="1"/>
      <c r="CY166">
        <v>46.990001999999997</v>
      </c>
      <c r="CZ166">
        <v>46.360000999999997</v>
      </c>
      <c r="DA166" s="13"/>
      <c r="DB166" s="1"/>
      <c r="DC166" s="1"/>
      <c r="DD166">
        <v>58.09</v>
      </c>
      <c r="DE166">
        <v>57.360000999999997</v>
      </c>
      <c r="DF166" s="13"/>
      <c r="DG166" s="1"/>
      <c r="DH166" s="1"/>
      <c r="DI166">
        <v>40.419998</v>
      </c>
      <c r="DJ166">
        <v>39.810001</v>
      </c>
      <c r="DK166" s="13"/>
      <c r="DM166" s="1"/>
    </row>
    <row r="167" spans="27:156">
      <c r="AA167" s="10">
        <v>42424</v>
      </c>
      <c r="AB167" s="13">
        <v>54.110000999999997</v>
      </c>
      <c r="AC167" s="13">
        <v>53.099997999999999</v>
      </c>
      <c r="AD167" s="13"/>
      <c r="AE167" s="1"/>
      <c r="AF167" s="1"/>
      <c r="AG167" s="14">
        <v>69.559997999999993</v>
      </c>
      <c r="AH167" s="14">
        <v>68.470000999999996</v>
      </c>
      <c r="AI167" s="13"/>
      <c r="AJ167" s="1"/>
      <c r="AK167" s="1"/>
      <c r="AL167">
        <v>18.889999</v>
      </c>
      <c r="AM167">
        <v>18.360001</v>
      </c>
      <c r="AN167" s="13"/>
      <c r="AO167" s="1"/>
      <c r="AP167" s="1"/>
      <c r="AQ167">
        <v>72.400002000000001</v>
      </c>
      <c r="AR167">
        <v>71.190002000000007</v>
      </c>
      <c r="AS167" s="13"/>
      <c r="AT167" s="1"/>
      <c r="AU167" s="1"/>
      <c r="AV167">
        <v>86.389999000000003</v>
      </c>
      <c r="AW167">
        <v>85.199996999999996</v>
      </c>
      <c r="AX167" s="13"/>
      <c r="AY167" s="1"/>
      <c r="AZ167" s="1"/>
      <c r="BA167">
        <v>75.440002000000007</v>
      </c>
      <c r="BB167">
        <v>74.339995999999999</v>
      </c>
      <c r="BC167" s="13"/>
      <c r="BD167" s="1"/>
      <c r="BE167" s="1"/>
      <c r="BF167">
        <v>68.370002999999997</v>
      </c>
      <c r="BG167">
        <v>66.550003000000004</v>
      </c>
      <c r="BH167" s="13"/>
      <c r="BI167" s="1"/>
      <c r="BJ167" s="1"/>
      <c r="BK167">
        <v>56.490001999999997</v>
      </c>
      <c r="BL167">
        <v>55.540000999999997</v>
      </c>
      <c r="BM167" s="13"/>
      <c r="BN167" s="1"/>
      <c r="BO167" s="1"/>
      <c r="BP167">
        <v>116.110001</v>
      </c>
      <c r="BQ167">
        <v>114.459999</v>
      </c>
      <c r="BR167" s="13"/>
      <c r="BS167" s="1"/>
      <c r="BT167" s="1"/>
      <c r="BU167">
        <v>60.02</v>
      </c>
      <c r="BV167">
        <v>59.18</v>
      </c>
      <c r="BW167" s="13"/>
      <c r="BY167" s="1"/>
      <c r="BZ167">
        <v>26.790001</v>
      </c>
      <c r="CA167">
        <v>26.24</v>
      </c>
      <c r="CB167" s="13"/>
      <c r="CC167" s="1"/>
      <c r="CD167" s="1"/>
      <c r="CE167">
        <v>70.540001000000004</v>
      </c>
      <c r="CF167">
        <v>69.319999999999993</v>
      </c>
      <c r="CG167" s="13"/>
      <c r="CH167" s="1"/>
      <c r="CI167" s="1"/>
      <c r="CJ167">
        <v>39</v>
      </c>
      <c r="CK167">
        <v>38.509998000000003</v>
      </c>
      <c r="CL167" s="13"/>
      <c r="CM167" s="1"/>
      <c r="CN167" s="1"/>
      <c r="CO167">
        <v>36.169998</v>
      </c>
      <c r="CP167">
        <v>35.419998</v>
      </c>
      <c r="CQ167" s="13"/>
      <c r="CR167" s="1"/>
      <c r="CS167" s="1"/>
      <c r="CT167">
        <v>49.389999000000003</v>
      </c>
      <c r="CU167">
        <v>48.59</v>
      </c>
      <c r="CV167" s="13"/>
      <c r="CW167" s="1"/>
      <c r="CX167" s="1"/>
      <c r="CY167">
        <v>46.630001</v>
      </c>
      <c r="CZ167">
        <v>45.709999000000003</v>
      </c>
      <c r="DA167" s="13"/>
      <c r="DB167" s="1"/>
      <c r="DC167" s="1"/>
      <c r="DD167">
        <v>57.689999</v>
      </c>
      <c r="DE167">
        <v>56.720001000000003</v>
      </c>
      <c r="DF167" s="13"/>
      <c r="DG167" s="1"/>
      <c r="DH167" s="1"/>
      <c r="DI167">
        <v>40.299999</v>
      </c>
      <c r="DJ167">
        <v>39.580002</v>
      </c>
      <c r="DK167" s="13"/>
      <c r="DM167" s="1"/>
    </row>
    <row r="168" spans="27:156">
      <c r="AA168" s="10">
        <v>42423</v>
      </c>
      <c r="AB168" s="13">
        <v>53.299999</v>
      </c>
      <c r="AC168" s="13">
        <v>52.470001000000003</v>
      </c>
      <c r="AD168" s="13"/>
      <c r="AE168" s="1"/>
      <c r="AF168" s="1"/>
      <c r="AG168" s="14">
        <v>69</v>
      </c>
      <c r="AH168" s="14">
        <v>67.059997999999993</v>
      </c>
      <c r="AI168" s="13"/>
      <c r="AJ168" s="1"/>
      <c r="AK168" s="1"/>
      <c r="AL168">
        <v>18.59</v>
      </c>
      <c r="AM168">
        <v>18.389999</v>
      </c>
      <c r="AN168" s="13"/>
      <c r="AO168" s="1"/>
      <c r="AP168" s="1"/>
      <c r="AQ168">
        <v>72.309997999999993</v>
      </c>
      <c r="AR168">
        <v>71.069999999999993</v>
      </c>
      <c r="AS168" s="13"/>
      <c r="AT168" s="1"/>
      <c r="AU168" s="1"/>
      <c r="AV168">
        <v>86.050003000000004</v>
      </c>
      <c r="AW168">
        <v>84.720000999999996</v>
      </c>
      <c r="AX168" s="13"/>
      <c r="AY168" s="1"/>
      <c r="AZ168" s="1"/>
      <c r="BA168">
        <v>75.169998000000007</v>
      </c>
      <c r="BB168">
        <v>74.230002999999996</v>
      </c>
      <c r="BC168" s="13"/>
      <c r="BD168" s="1"/>
      <c r="BE168" s="1"/>
      <c r="BF168">
        <v>65.290001000000004</v>
      </c>
      <c r="BG168">
        <v>63.599997999999999</v>
      </c>
      <c r="BH168" s="13"/>
      <c r="BI168" s="1"/>
      <c r="BJ168" s="1"/>
      <c r="BK168">
        <v>56</v>
      </c>
      <c r="BL168">
        <v>55.02</v>
      </c>
      <c r="BM168" s="13"/>
      <c r="BN168" s="1"/>
      <c r="BO168" s="1"/>
      <c r="BP168">
        <v>116.540001</v>
      </c>
      <c r="BQ168">
        <v>114.849998</v>
      </c>
      <c r="BR168" s="13"/>
      <c r="BS168" s="1"/>
      <c r="BT168" s="1"/>
      <c r="BU168">
        <v>59.580002</v>
      </c>
      <c r="BV168">
        <v>58.720001000000003</v>
      </c>
      <c r="BW168" s="13"/>
      <c r="BY168" s="1"/>
      <c r="BZ168">
        <v>26.870000999999998</v>
      </c>
      <c r="CA168">
        <v>26.32</v>
      </c>
      <c r="CB168" s="13"/>
      <c r="CC168" s="1"/>
      <c r="CD168" s="1"/>
      <c r="CE168">
        <v>70.069999999999993</v>
      </c>
      <c r="CF168">
        <v>68.519997000000004</v>
      </c>
      <c r="CG168" s="13"/>
      <c r="CH168" s="1"/>
      <c r="CI168" s="1"/>
      <c r="CJ168">
        <v>38.639999000000003</v>
      </c>
      <c r="CK168">
        <v>38.020000000000003</v>
      </c>
      <c r="CL168" s="13"/>
      <c r="CM168" s="1"/>
      <c r="CN168" s="1"/>
      <c r="CO168">
        <v>36.360000999999997</v>
      </c>
      <c r="CP168">
        <v>35.900002000000001</v>
      </c>
      <c r="CQ168" s="13"/>
      <c r="CR168" s="1"/>
      <c r="CS168" s="1"/>
      <c r="CT168">
        <v>49.27</v>
      </c>
      <c r="CU168">
        <v>48.75</v>
      </c>
      <c r="CV168" s="13"/>
      <c r="CW168" s="1"/>
      <c r="CX168" s="1"/>
      <c r="CY168">
        <v>46.41</v>
      </c>
      <c r="CZ168">
        <v>45.650002000000001</v>
      </c>
      <c r="DA168" s="13"/>
      <c r="DB168" s="1"/>
      <c r="DC168" s="1"/>
      <c r="DD168">
        <v>57.439999</v>
      </c>
      <c r="DE168">
        <v>56.77</v>
      </c>
      <c r="DF168" s="13"/>
      <c r="DG168" s="1"/>
      <c r="DH168" s="1"/>
      <c r="DI168">
        <v>39.900002000000001</v>
      </c>
      <c r="DJ168">
        <v>39.360000999999997</v>
      </c>
      <c r="DK168" s="13"/>
      <c r="DM168" s="1"/>
    </row>
    <row r="169" spans="27:156">
      <c r="AA169" s="10">
        <v>42422</v>
      </c>
      <c r="AB169" s="13">
        <v>53.459999000000003</v>
      </c>
      <c r="AC169" s="13">
        <v>52.549999</v>
      </c>
      <c r="AD169" s="13"/>
      <c r="AE169" s="1"/>
      <c r="AF169" s="1"/>
      <c r="AG169" s="14">
        <v>68.150002000000001</v>
      </c>
      <c r="AH169" s="14">
        <v>67.349997999999999</v>
      </c>
      <c r="AI169" s="13"/>
      <c r="AJ169" s="1"/>
      <c r="AK169" s="1"/>
      <c r="AL169">
        <v>18.850000000000001</v>
      </c>
      <c r="AM169">
        <v>18.489999999999998</v>
      </c>
      <c r="AN169" s="13"/>
      <c r="AO169" s="1"/>
      <c r="AP169" s="1"/>
      <c r="AQ169">
        <v>71.680000000000007</v>
      </c>
      <c r="AR169">
        <v>70.319999999999993</v>
      </c>
      <c r="AS169" s="13"/>
      <c r="AT169" s="1"/>
      <c r="AU169" s="1"/>
      <c r="AV169">
        <v>85.75</v>
      </c>
      <c r="AW169">
        <v>84.690002000000007</v>
      </c>
      <c r="AX169" s="13"/>
      <c r="AY169" s="1"/>
      <c r="AZ169" s="1"/>
      <c r="BA169">
        <v>75.209998999999996</v>
      </c>
      <c r="BB169">
        <v>74.260002</v>
      </c>
      <c r="BC169" s="13"/>
      <c r="BD169" s="1"/>
      <c r="BE169" s="1"/>
      <c r="BF169">
        <v>64.25</v>
      </c>
      <c r="BG169">
        <v>62.98</v>
      </c>
      <c r="BH169" s="13"/>
      <c r="BI169" s="1"/>
      <c r="BJ169" s="1"/>
      <c r="BK169">
        <v>55.509998000000003</v>
      </c>
      <c r="BL169">
        <v>54.66</v>
      </c>
      <c r="BM169" s="13"/>
      <c r="BN169" s="1"/>
      <c r="BO169" s="1"/>
      <c r="BP169">
        <v>116.529999</v>
      </c>
      <c r="BQ169">
        <v>114.75</v>
      </c>
      <c r="BR169" s="13"/>
      <c r="BS169" s="1"/>
      <c r="BT169" s="1"/>
      <c r="BU169">
        <v>59.25</v>
      </c>
      <c r="BV169">
        <v>58.27</v>
      </c>
      <c r="BW169" s="13"/>
      <c r="BY169" s="1"/>
      <c r="BZ169">
        <v>26.889999</v>
      </c>
      <c r="CA169">
        <v>26.610001</v>
      </c>
      <c r="CB169" s="13"/>
      <c r="CC169" s="1"/>
      <c r="CD169" s="1"/>
      <c r="CE169">
        <v>69.849997999999999</v>
      </c>
      <c r="CF169">
        <v>68.319999999999993</v>
      </c>
      <c r="CG169" s="13"/>
      <c r="CH169" s="1"/>
      <c r="CI169" s="1"/>
      <c r="CJ169">
        <v>38.889999000000003</v>
      </c>
      <c r="CK169">
        <v>38.040000999999997</v>
      </c>
      <c r="CL169" s="13"/>
      <c r="CM169" s="1"/>
      <c r="CN169" s="1"/>
      <c r="CO169">
        <v>36.349997999999999</v>
      </c>
      <c r="CP169">
        <v>35.5</v>
      </c>
      <c r="CQ169" s="13"/>
      <c r="CR169" s="1"/>
      <c r="CS169" s="1"/>
      <c r="CT169">
        <v>49.099997999999999</v>
      </c>
      <c r="CU169">
        <v>48.459999000000003</v>
      </c>
      <c r="CV169" s="13"/>
      <c r="CW169" s="1"/>
      <c r="CX169" s="1"/>
      <c r="CY169">
        <v>45.900002000000001</v>
      </c>
      <c r="CZ169">
        <v>45.389999000000003</v>
      </c>
      <c r="DA169" s="13"/>
      <c r="DB169" s="1"/>
      <c r="DC169" s="1"/>
      <c r="DD169">
        <v>57.150002000000001</v>
      </c>
      <c r="DE169">
        <v>56.349997999999999</v>
      </c>
      <c r="DF169" s="13"/>
      <c r="DG169" s="1"/>
      <c r="DH169" s="1"/>
      <c r="DI169">
        <v>39.759998000000003</v>
      </c>
      <c r="DJ169">
        <v>39.270000000000003</v>
      </c>
      <c r="DK169" s="13"/>
      <c r="DM169" s="1"/>
    </row>
    <row r="170" spans="27:156">
      <c r="AA170" s="10">
        <v>42419</v>
      </c>
      <c r="AB170" s="13">
        <v>53.330002</v>
      </c>
      <c r="AC170" s="13">
        <v>52.029998999999997</v>
      </c>
      <c r="AD170" s="13"/>
      <c r="AE170" s="1"/>
      <c r="AF170" s="1"/>
      <c r="AG170" s="14">
        <v>67.510002</v>
      </c>
      <c r="AH170" s="14">
        <v>66.690002000000007</v>
      </c>
      <c r="AI170" s="13"/>
      <c r="AJ170" s="1"/>
      <c r="AK170" s="1"/>
      <c r="AL170">
        <v>18.489999999999998</v>
      </c>
      <c r="AM170">
        <v>18.299999</v>
      </c>
      <c r="AN170" s="13"/>
      <c r="AO170" s="1"/>
      <c r="AP170" s="1"/>
      <c r="AQ170">
        <v>71.610000999999997</v>
      </c>
      <c r="AR170">
        <v>69.680000000000007</v>
      </c>
      <c r="AS170" s="13"/>
      <c r="AT170" s="1"/>
      <c r="AU170" s="1"/>
      <c r="AV170">
        <v>85.209998999999996</v>
      </c>
      <c r="AW170">
        <v>84.110000999999997</v>
      </c>
      <c r="AX170" s="13"/>
      <c r="AY170" s="1"/>
      <c r="AZ170" s="1"/>
      <c r="BA170">
        <v>75.930000000000007</v>
      </c>
      <c r="BB170">
        <v>74.190002000000007</v>
      </c>
      <c r="BC170" s="13"/>
      <c r="BD170" s="1"/>
      <c r="BE170" s="1"/>
      <c r="BF170">
        <v>63.650002000000001</v>
      </c>
      <c r="BG170">
        <v>62.830002</v>
      </c>
      <c r="BH170" s="13"/>
      <c r="BI170" s="1"/>
      <c r="BJ170" s="1"/>
      <c r="BK170">
        <v>54.740001999999997</v>
      </c>
      <c r="BL170">
        <v>53.830002</v>
      </c>
      <c r="BM170" s="13"/>
      <c r="BN170" s="1"/>
      <c r="BO170" s="1"/>
      <c r="BP170">
        <v>115.449997</v>
      </c>
      <c r="BQ170">
        <v>113.599998</v>
      </c>
      <c r="BR170" s="13"/>
      <c r="BS170" s="1"/>
      <c r="BT170" s="1"/>
      <c r="BU170">
        <v>58.689999</v>
      </c>
      <c r="BV170">
        <v>57.700001</v>
      </c>
      <c r="BW170" s="13"/>
      <c r="BY170" s="1"/>
      <c r="BZ170">
        <v>26.82</v>
      </c>
      <c r="CA170">
        <v>26.27</v>
      </c>
      <c r="CB170" s="13"/>
      <c r="CC170" s="1"/>
      <c r="CD170" s="1"/>
      <c r="CE170">
        <v>68.650002000000001</v>
      </c>
      <c r="CF170">
        <v>66.620002999999997</v>
      </c>
      <c r="CG170" s="13"/>
      <c r="CH170" s="1"/>
      <c r="CI170" s="1"/>
      <c r="CJ170">
        <v>38.090000000000003</v>
      </c>
      <c r="CK170">
        <v>37.610000999999997</v>
      </c>
      <c r="CL170" s="13"/>
      <c r="CM170" s="1"/>
      <c r="CN170" s="1"/>
      <c r="CO170">
        <v>36.529998999999997</v>
      </c>
      <c r="CP170">
        <v>36.060001</v>
      </c>
      <c r="CQ170" s="13"/>
      <c r="CR170" s="1"/>
      <c r="CS170" s="1"/>
      <c r="CT170">
        <v>48.93</v>
      </c>
      <c r="CU170">
        <v>48.23</v>
      </c>
      <c r="CV170" s="13"/>
      <c r="CW170" s="1"/>
      <c r="CX170" s="1"/>
      <c r="CY170">
        <v>45.689999</v>
      </c>
      <c r="CZ170">
        <v>45.189999</v>
      </c>
      <c r="DA170" s="13"/>
      <c r="DB170" s="1"/>
      <c r="DC170" s="1"/>
      <c r="DD170">
        <v>56.919998</v>
      </c>
      <c r="DE170">
        <v>55.98</v>
      </c>
      <c r="DF170" s="13"/>
      <c r="DG170" s="1"/>
      <c r="DH170" s="1"/>
      <c r="DI170">
        <v>39.720001000000003</v>
      </c>
      <c r="DJ170">
        <v>39.220001000000003</v>
      </c>
      <c r="DK170" s="13"/>
      <c r="DM170" s="1"/>
    </row>
    <row r="171" spans="27:156">
      <c r="AA171" s="10">
        <v>42418</v>
      </c>
      <c r="AB171" s="13">
        <v>53.599997999999999</v>
      </c>
      <c r="AC171" s="13">
        <v>50.830002</v>
      </c>
      <c r="AD171" s="13"/>
      <c r="AE171" s="1"/>
      <c r="AF171" s="1"/>
      <c r="AG171" s="14">
        <v>67.779999000000004</v>
      </c>
      <c r="AH171" s="14">
        <v>66.150002000000001</v>
      </c>
      <c r="AI171" s="13"/>
      <c r="AJ171" s="1"/>
      <c r="AK171" s="1"/>
      <c r="AL171">
        <v>18.66</v>
      </c>
      <c r="AM171">
        <v>18.299999</v>
      </c>
      <c r="AN171" s="13"/>
      <c r="AO171" s="1"/>
      <c r="AP171" s="1"/>
      <c r="AQ171">
        <v>71.980002999999996</v>
      </c>
      <c r="AR171">
        <v>69.849997999999999</v>
      </c>
      <c r="AS171" s="13"/>
      <c r="AT171" s="1"/>
      <c r="AU171" s="1"/>
      <c r="AV171">
        <v>85.690002000000007</v>
      </c>
      <c r="AW171">
        <v>84.040001000000004</v>
      </c>
      <c r="AX171" s="13"/>
      <c r="AY171" s="1"/>
      <c r="AZ171" s="1"/>
      <c r="BA171">
        <v>76.660004000000001</v>
      </c>
      <c r="BB171">
        <v>74.690002000000007</v>
      </c>
      <c r="BC171" s="13"/>
      <c r="BD171" s="1"/>
      <c r="BE171" s="1"/>
      <c r="BF171">
        <v>64.010002</v>
      </c>
      <c r="BG171">
        <v>62.369999</v>
      </c>
      <c r="BH171" s="13"/>
      <c r="BI171" s="1"/>
      <c r="BJ171" s="1"/>
      <c r="BK171">
        <v>54.740001999999997</v>
      </c>
      <c r="BL171">
        <v>53.529998999999997</v>
      </c>
      <c r="BM171" s="13"/>
      <c r="BN171" s="1"/>
      <c r="BO171" s="1"/>
      <c r="BP171">
        <v>114.779999</v>
      </c>
      <c r="BQ171">
        <v>111.69000200000001</v>
      </c>
      <c r="BR171" s="13"/>
      <c r="BS171" s="1"/>
      <c r="BT171" s="1"/>
      <c r="BU171">
        <v>58.490001999999997</v>
      </c>
      <c r="BV171">
        <v>57.029998999999997</v>
      </c>
      <c r="BW171" s="13"/>
      <c r="BY171" s="1"/>
      <c r="BZ171">
        <v>27</v>
      </c>
      <c r="CA171">
        <v>26.139999</v>
      </c>
      <c r="CB171" s="13"/>
      <c r="CC171" s="1"/>
      <c r="CD171" s="1"/>
      <c r="CE171">
        <v>68.019997000000004</v>
      </c>
      <c r="CF171">
        <v>66.559997999999993</v>
      </c>
      <c r="CG171" s="13"/>
      <c r="CH171" s="1"/>
      <c r="CI171" s="1"/>
      <c r="CJ171">
        <v>38.099997999999999</v>
      </c>
      <c r="CK171">
        <v>37.400002000000001</v>
      </c>
      <c r="CL171" s="13"/>
      <c r="CM171" s="1"/>
      <c r="CN171" s="1"/>
      <c r="CO171">
        <v>36.650002000000001</v>
      </c>
      <c r="CP171">
        <v>35.93</v>
      </c>
      <c r="CQ171" s="13"/>
      <c r="CR171" s="1"/>
      <c r="CS171" s="1"/>
      <c r="CT171">
        <v>48.91</v>
      </c>
      <c r="CU171">
        <v>47.709999000000003</v>
      </c>
      <c r="CV171" s="13"/>
      <c r="CW171" s="1"/>
      <c r="CX171" s="1"/>
      <c r="CY171">
        <v>45.52</v>
      </c>
      <c r="CZ171">
        <v>44.459999000000003</v>
      </c>
      <c r="DA171" s="13"/>
      <c r="DB171" s="1"/>
      <c r="DC171" s="1"/>
      <c r="DD171">
        <v>56.939999</v>
      </c>
      <c r="DE171">
        <v>55.34</v>
      </c>
      <c r="DF171" s="13"/>
      <c r="DG171" s="1"/>
      <c r="DH171" s="1"/>
      <c r="DI171">
        <v>39.82</v>
      </c>
      <c r="DJ171">
        <v>38.900002000000001</v>
      </c>
      <c r="DK171" s="13"/>
      <c r="DM171" s="1"/>
    </row>
    <row r="172" spans="27:156">
      <c r="AA172" s="10">
        <v>42417</v>
      </c>
      <c r="AB172" s="13">
        <v>52.43</v>
      </c>
      <c r="AC172" s="13">
        <v>51.860000999999997</v>
      </c>
      <c r="AD172" s="13"/>
      <c r="AE172" s="1"/>
      <c r="AF172" s="1"/>
      <c r="AG172" s="14">
        <v>67.440002000000007</v>
      </c>
      <c r="AH172" s="14">
        <v>66.360000999999997</v>
      </c>
      <c r="AI172" s="13"/>
      <c r="AJ172" s="1"/>
      <c r="AK172" s="1"/>
      <c r="AL172">
        <v>18.469999000000001</v>
      </c>
      <c r="AM172">
        <v>18.040001</v>
      </c>
      <c r="AN172" s="13"/>
      <c r="AO172" s="1"/>
      <c r="AP172" s="1"/>
      <c r="AQ172">
        <v>70.720000999999996</v>
      </c>
      <c r="AR172">
        <v>69.339995999999999</v>
      </c>
      <c r="AS172" s="13"/>
      <c r="AT172" s="1"/>
      <c r="AU172" s="1"/>
      <c r="AV172">
        <v>84.830001999999993</v>
      </c>
      <c r="AW172">
        <v>83.57</v>
      </c>
      <c r="AX172" s="13"/>
      <c r="AY172" s="1"/>
      <c r="AZ172" s="1"/>
      <c r="BA172">
        <v>76.580001999999993</v>
      </c>
      <c r="BB172">
        <v>75.269997000000004</v>
      </c>
      <c r="BC172" s="13"/>
      <c r="BD172" s="1"/>
      <c r="BE172" s="1"/>
      <c r="BF172">
        <v>62.709999000000003</v>
      </c>
      <c r="BG172">
        <v>61.77</v>
      </c>
      <c r="BH172" s="13"/>
      <c r="BI172" s="1"/>
      <c r="BJ172" s="1"/>
      <c r="BK172">
        <v>53.900002000000001</v>
      </c>
      <c r="BL172">
        <v>53.290000999999997</v>
      </c>
      <c r="BM172" s="13"/>
      <c r="BN172" s="1"/>
      <c r="BO172" s="1"/>
      <c r="BP172">
        <v>112.269997</v>
      </c>
      <c r="BQ172">
        <v>111.269997</v>
      </c>
      <c r="BR172" s="13"/>
      <c r="BS172" s="1"/>
      <c r="BT172" s="1"/>
      <c r="BU172">
        <v>58.310001</v>
      </c>
      <c r="BV172">
        <v>57.07</v>
      </c>
      <c r="BW172" s="13"/>
      <c r="BY172" s="1"/>
      <c r="BZ172">
        <v>26.639999</v>
      </c>
      <c r="CA172">
        <v>26.07</v>
      </c>
      <c r="CB172" s="13"/>
      <c r="CC172" s="1"/>
      <c r="CD172" s="1"/>
      <c r="CE172">
        <v>67.180000000000007</v>
      </c>
      <c r="CF172">
        <v>66.220000999999996</v>
      </c>
      <c r="CG172" s="13"/>
      <c r="CH172" s="1"/>
      <c r="CI172" s="1"/>
      <c r="CJ172">
        <v>38.130001</v>
      </c>
      <c r="CK172">
        <v>37.509998000000003</v>
      </c>
      <c r="CL172" s="13"/>
      <c r="CM172" s="1"/>
      <c r="CN172" s="1"/>
      <c r="CO172">
        <v>36.200001</v>
      </c>
      <c r="CP172">
        <v>35.790000999999997</v>
      </c>
      <c r="CQ172" s="13"/>
      <c r="CR172" s="1"/>
      <c r="CS172" s="1"/>
      <c r="CT172">
        <v>48.16</v>
      </c>
      <c r="CU172">
        <v>47.52</v>
      </c>
      <c r="CV172" s="13"/>
      <c r="CW172" s="1"/>
      <c r="CX172" s="1"/>
      <c r="CY172">
        <v>44.849997999999999</v>
      </c>
      <c r="CZ172">
        <v>44.080002</v>
      </c>
      <c r="DA172" s="13"/>
      <c r="DB172" s="1"/>
      <c r="DC172" s="1"/>
      <c r="DD172">
        <v>55.790000999999997</v>
      </c>
      <c r="DE172">
        <v>54.91</v>
      </c>
      <c r="DF172" s="13"/>
      <c r="DG172" s="1"/>
      <c r="DH172" s="1"/>
      <c r="DI172">
        <v>38.950001</v>
      </c>
      <c r="DJ172">
        <v>38.5</v>
      </c>
      <c r="DK172" s="13"/>
      <c r="DM172" s="1"/>
    </row>
    <row r="173" spans="27:156">
      <c r="AA173" s="10">
        <v>42416</v>
      </c>
      <c r="AB173" s="13">
        <v>52.91</v>
      </c>
      <c r="AC173" s="13">
        <v>52.259998000000003</v>
      </c>
      <c r="AD173" s="13"/>
      <c r="AE173" s="1"/>
      <c r="AF173" s="1"/>
      <c r="AG173" s="14">
        <v>67.5</v>
      </c>
      <c r="AH173" s="14">
        <v>66.480002999999996</v>
      </c>
      <c r="AI173" s="13"/>
      <c r="AJ173" s="1"/>
      <c r="AK173" s="1"/>
      <c r="AL173">
        <v>18.209999</v>
      </c>
      <c r="AM173">
        <v>17.799999</v>
      </c>
      <c r="AN173" s="13"/>
      <c r="AO173" s="1"/>
      <c r="AP173" s="1"/>
      <c r="AQ173">
        <v>71.080001999999993</v>
      </c>
      <c r="AR173">
        <v>69.930000000000007</v>
      </c>
      <c r="AS173" s="13"/>
      <c r="AT173" s="1"/>
      <c r="AU173" s="1"/>
      <c r="AV173">
        <v>84.629997000000003</v>
      </c>
      <c r="AW173">
        <v>83.230002999999996</v>
      </c>
      <c r="AX173" s="13"/>
      <c r="AY173" s="1"/>
      <c r="AZ173" s="1"/>
      <c r="BA173">
        <v>76.489998</v>
      </c>
      <c r="BB173">
        <v>75.449996999999996</v>
      </c>
      <c r="BC173" s="13"/>
      <c r="BD173" s="1"/>
      <c r="BE173" s="1"/>
      <c r="BF173">
        <v>62.470001000000003</v>
      </c>
      <c r="BG173">
        <v>61.5</v>
      </c>
      <c r="BH173" s="13"/>
      <c r="BI173" s="1"/>
      <c r="BJ173" s="1"/>
      <c r="BK173">
        <v>53.98</v>
      </c>
      <c r="BL173">
        <v>53.119999</v>
      </c>
      <c r="BM173" s="13"/>
      <c r="BN173" s="1"/>
      <c r="BO173" s="1"/>
      <c r="BP173">
        <v>112.959999</v>
      </c>
      <c r="BQ173">
        <v>111.209999</v>
      </c>
      <c r="BR173" s="13"/>
      <c r="BS173" s="1"/>
      <c r="BT173" s="1"/>
      <c r="BU173">
        <v>57.93</v>
      </c>
      <c r="BV173">
        <v>56.740001999999997</v>
      </c>
      <c r="BW173" s="13"/>
      <c r="BY173" s="1"/>
      <c r="BZ173">
        <v>26.219999000000001</v>
      </c>
      <c r="CA173">
        <v>25.77</v>
      </c>
      <c r="CB173" s="13"/>
      <c r="CC173" s="1"/>
      <c r="CD173" s="1"/>
      <c r="CE173">
        <v>67.440002000000007</v>
      </c>
      <c r="CF173">
        <v>66.669998000000007</v>
      </c>
      <c r="CG173" s="13"/>
      <c r="CH173" s="1"/>
      <c r="CI173" s="1"/>
      <c r="CJ173">
        <v>38.270000000000003</v>
      </c>
      <c r="CK173">
        <v>37.610000999999997</v>
      </c>
      <c r="CL173" s="13"/>
      <c r="CM173" s="1"/>
      <c r="CN173" s="1"/>
      <c r="CO173">
        <v>36.25</v>
      </c>
      <c r="CP173">
        <v>35.599997999999999</v>
      </c>
      <c r="CQ173" s="13"/>
      <c r="CR173" s="1"/>
      <c r="CS173" s="1"/>
      <c r="CT173">
        <v>48.09</v>
      </c>
      <c r="CU173">
        <v>47.470001000000003</v>
      </c>
      <c r="CV173" s="13"/>
      <c r="CW173" s="1"/>
      <c r="CX173" s="1"/>
      <c r="CY173">
        <v>44.630001</v>
      </c>
      <c r="CZ173">
        <v>43.900002000000001</v>
      </c>
      <c r="DA173" s="13"/>
      <c r="DB173" s="1"/>
      <c r="DC173" s="1"/>
      <c r="DD173">
        <v>55.990001999999997</v>
      </c>
      <c r="DE173">
        <v>54.73</v>
      </c>
      <c r="DF173" s="13"/>
      <c r="DG173" s="1"/>
      <c r="DH173" s="1"/>
      <c r="DI173">
        <v>38.919998</v>
      </c>
      <c r="DJ173">
        <v>38.43</v>
      </c>
      <c r="DK173" s="13"/>
      <c r="DM173" s="1"/>
    </row>
    <row r="174" spans="27:156">
      <c r="AA174" s="10">
        <v>42412</v>
      </c>
      <c r="AB174" s="13">
        <v>53.389999000000003</v>
      </c>
      <c r="AC174" s="13">
        <v>51.860000999999997</v>
      </c>
      <c r="AD174" s="13"/>
      <c r="AE174" s="1"/>
      <c r="AF174" s="1"/>
      <c r="AG174" s="14">
        <v>67.699996999999996</v>
      </c>
      <c r="AH174" s="14">
        <v>66.220000999999996</v>
      </c>
      <c r="AI174" s="13"/>
      <c r="AJ174" s="1"/>
      <c r="AK174" s="1"/>
      <c r="AL174">
        <v>17.989999999999998</v>
      </c>
      <c r="AM174">
        <v>17.549999</v>
      </c>
      <c r="AN174" s="13"/>
      <c r="AO174" s="1"/>
      <c r="AP174" s="1"/>
      <c r="AQ174">
        <v>72</v>
      </c>
      <c r="AR174">
        <v>69.75</v>
      </c>
      <c r="AS174" s="13"/>
      <c r="AT174" s="1"/>
      <c r="AU174" s="1"/>
      <c r="AV174">
        <v>84.510002</v>
      </c>
      <c r="AW174">
        <v>82.93</v>
      </c>
      <c r="AX174" s="13"/>
      <c r="AY174" s="1"/>
      <c r="AZ174" s="1"/>
      <c r="BA174">
        <v>77.309997999999993</v>
      </c>
      <c r="BB174">
        <v>75.510002</v>
      </c>
      <c r="BC174" s="13"/>
      <c r="BD174" s="1"/>
      <c r="BE174" s="1"/>
      <c r="BF174">
        <v>62.650002000000001</v>
      </c>
      <c r="BG174">
        <v>61.509998000000003</v>
      </c>
      <c r="BH174" s="13"/>
      <c r="BI174" s="1"/>
      <c r="BJ174" s="1"/>
      <c r="BK174">
        <v>54.07</v>
      </c>
      <c r="BL174">
        <v>52.93</v>
      </c>
      <c r="BM174" s="13"/>
      <c r="BN174" s="1"/>
      <c r="BO174" s="1"/>
      <c r="BP174">
        <v>112.33000199999999</v>
      </c>
      <c r="BQ174">
        <v>110.599998</v>
      </c>
      <c r="BR174" s="13"/>
      <c r="BS174" s="1"/>
      <c r="BT174" s="1"/>
      <c r="BU174">
        <v>58.029998999999997</v>
      </c>
      <c r="BV174">
        <v>55.650002000000001</v>
      </c>
      <c r="BW174" s="13"/>
      <c r="BY174" s="1"/>
      <c r="BZ174">
        <v>25.959999</v>
      </c>
      <c r="CA174">
        <v>25.459999</v>
      </c>
      <c r="CB174" s="13"/>
      <c r="CC174" s="1"/>
      <c r="CD174" s="1"/>
      <c r="CE174">
        <v>67.910004000000001</v>
      </c>
      <c r="CF174">
        <v>66.419998000000007</v>
      </c>
      <c r="CG174" s="13"/>
      <c r="CH174" s="1"/>
      <c r="CI174" s="1"/>
      <c r="CJ174">
        <v>39.279998999999997</v>
      </c>
      <c r="CK174">
        <v>37.830002</v>
      </c>
      <c r="CL174" s="13"/>
      <c r="CM174" s="1"/>
      <c r="CN174" s="1"/>
      <c r="CO174">
        <v>36.049999</v>
      </c>
      <c r="CP174">
        <v>35.529998999999997</v>
      </c>
      <c r="CQ174" s="13"/>
      <c r="CR174" s="1"/>
      <c r="CS174" s="1"/>
      <c r="CT174">
        <v>48.279998999999997</v>
      </c>
      <c r="CU174">
        <v>47.560001</v>
      </c>
      <c r="CV174" s="13"/>
      <c r="CW174" s="1"/>
      <c r="CX174" s="1"/>
      <c r="CY174">
        <v>44.389999000000003</v>
      </c>
      <c r="CZ174">
        <v>43.459999000000003</v>
      </c>
      <c r="DA174" s="13"/>
      <c r="DB174" s="1"/>
      <c r="DC174" s="1"/>
      <c r="DD174">
        <v>56.119999</v>
      </c>
      <c r="DE174">
        <v>54.93</v>
      </c>
      <c r="DF174" s="13"/>
      <c r="DG174" s="1"/>
      <c r="DH174" s="1"/>
      <c r="DI174">
        <v>39.299999</v>
      </c>
      <c r="DJ174">
        <v>38.459999000000003</v>
      </c>
      <c r="DK174" s="13"/>
      <c r="DM174" s="1"/>
    </row>
    <row r="175" spans="27:156">
      <c r="AA175" s="10">
        <v>42411</v>
      </c>
      <c r="AB175" s="13">
        <v>53.16</v>
      </c>
      <c r="AC175" s="13">
        <v>51.59</v>
      </c>
      <c r="AD175" s="13"/>
      <c r="AE175" s="1"/>
      <c r="AF175" s="1"/>
      <c r="AG175" s="14">
        <v>68.470000999999996</v>
      </c>
      <c r="AH175" s="14">
        <v>67.169998000000007</v>
      </c>
      <c r="AI175" s="13"/>
      <c r="AJ175" s="1"/>
      <c r="AK175" s="1"/>
      <c r="AL175">
        <v>18.27</v>
      </c>
      <c r="AM175">
        <v>17.52</v>
      </c>
      <c r="AN175" s="13"/>
      <c r="AO175" s="1"/>
      <c r="AP175" s="1"/>
      <c r="AQ175">
        <v>73.680000000000007</v>
      </c>
      <c r="AR175">
        <v>72.080001999999993</v>
      </c>
      <c r="AS175" s="13"/>
      <c r="AT175" s="1"/>
      <c r="AU175" s="1"/>
      <c r="AV175">
        <v>86.449996999999996</v>
      </c>
      <c r="AW175">
        <v>84.029999000000004</v>
      </c>
      <c r="AX175" s="13"/>
      <c r="AY175" s="1"/>
      <c r="AZ175" s="1"/>
      <c r="BA175">
        <v>78.309997999999993</v>
      </c>
      <c r="BB175">
        <v>76.769997000000004</v>
      </c>
      <c r="BC175" s="13"/>
      <c r="BD175" s="1"/>
      <c r="BE175" s="1"/>
      <c r="BF175">
        <v>63.610000999999997</v>
      </c>
      <c r="BG175">
        <v>62.32</v>
      </c>
      <c r="BH175" s="13"/>
      <c r="BI175" s="1"/>
      <c r="BJ175" s="1"/>
      <c r="BK175">
        <v>55.130001</v>
      </c>
      <c r="BL175">
        <v>53.790000999999997</v>
      </c>
      <c r="BM175" s="13"/>
      <c r="BN175" s="1"/>
      <c r="BO175" s="1"/>
      <c r="BP175">
        <v>113.959999</v>
      </c>
      <c r="BQ175">
        <v>111.879997</v>
      </c>
      <c r="BR175" s="13"/>
      <c r="BS175" s="1"/>
      <c r="BT175" s="1"/>
      <c r="BU175">
        <v>58.48</v>
      </c>
      <c r="BV175">
        <v>56.709999000000003</v>
      </c>
      <c r="BW175" s="13"/>
      <c r="BY175" s="1"/>
      <c r="BZ175">
        <v>26.16</v>
      </c>
      <c r="CA175">
        <v>25.73</v>
      </c>
      <c r="CB175" s="13"/>
      <c r="CC175" s="1"/>
      <c r="CD175" s="1"/>
      <c r="CE175">
        <v>68.989998</v>
      </c>
      <c r="CF175">
        <v>67.540001000000004</v>
      </c>
      <c r="CG175" s="13"/>
      <c r="CH175" s="1"/>
      <c r="CI175" s="1"/>
      <c r="CJ175">
        <v>39.619999</v>
      </c>
      <c r="CK175">
        <v>38.979999999999997</v>
      </c>
      <c r="CL175" s="13"/>
      <c r="CM175" s="1"/>
      <c r="CN175" s="1"/>
      <c r="CO175">
        <v>36.349997999999999</v>
      </c>
      <c r="CP175">
        <v>35.810001</v>
      </c>
      <c r="CQ175" s="13"/>
      <c r="CR175" s="1"/>
      <c r="CS175" s="1"/>
      <c r="CT175">
        <v>48.759998000000003</v>
      </c>
      <c r="CU175">
        <v>48.02</v>
      </c>
      <c r="CV175" s="13"/>
      <c r="CW175" s="1"/>
      <c r="CX175" s="1"/>
      <c r="CY175">
        <v>44.540000999999997</v>
      </c>
      <c r="CZ175">
        <v>43.490001999999997</v>
      </c>
      <c r="DA175" s="13"/>
      <c r="DB175" s="1"/>
      <c r="DC175" s="1"/>
      <c r="DD175">
        <v>56.799999</v>
      </c>
      <c r="DE175">
        <v>55.73</v>
      </c>
      <c r="DF175" s="13"/>
      <c r="DG175" s="1"/>
      <c r="DH175" s="1"/>
      <c r="DI175">
        <v>39.459999000000003</v>
      </c>
      <c r="DJ175">
        <v>38.869999</v>
      </c>
      <c r="DK175" s="13"/>
      <c r="DM175" s="1"/>
    </row>
    <row r="176" spans="27:156">
      <c r="AA176" s="10">
        <v>42410</v>
      </c>
      <c r="AB176" s="13">
        <v>54.880001</v>
      </c>
      <c r="AC176" s="13">
        <v>53.169998</v>
      </c>
      <c r="AD176" s="13"/>
      <c r="AE176" s="1"/>
      <c r="AF176" s="1"/>
      <c r="AG176" s="14">
        <v>68.800003000000004</v>
      </c>
      <c r="AH176" s="14">
        <v>67.209998999999996</v>
      </c>
      <c r="AI176" s="13"/>
      <c r="AJ176" s="1"/>
      <c r="AK176" s="1"/>
      <c r="AL176">
        <v>18.719999000000001</v>
      </c>
      <c r="AM176">
        <v>18.120000999999998</v>
      </c>
      <c r="AN176" s="13"/>
      <c r="AO176" s="1"/>
      <c r="AP176" s="1"/>
      <c r="AQ176">
        <v>73.699996999999996</v>
      </c>
      <c r="AR176">
        <v>71.940002000000007</v>
      </c>
      <c r="AS176" s="13"/>
      <c r="AT176" s="1"/>
      <c r="AU176" s="1"/>
      <c r="AV176">
        <v>86.779999000000004</v>
      </c>
      <c r="AW176">
        <v>83.800003000000004</v>
      </c>
      <c r="AX176" s="13"/>
      <c r="AY176" s="1"/>
      <c r="AZ176" s="1"/>
      <c r="BA176">
        <v>78.559997999999993</v>
      </c>
      <c r="BB176">
        <v>76.389999000000003</v>
      </c>
      <c r="BC176" s="13"/>
      <c r="BD176" s="1"/>
      <c r="BE176" s="1"/>
      <c r="BF176">
        <v>63.869999</v>
      </c>
      <c r="BG176">
        <v>62.290000999999997</v>
      </c>
      <c r="BH176" s="13"/>
      <c r="BI176" s="1"/>
      <c r="BJ176" s="1"/>
      <c r="BK176">
        <v>55.279998999999997</v>
      </c>
      <c r="BL176">
        <v>53.810001</v>
      </c>
      <c r="BM176" s="13"/>
      <c r="BN176" s="1"/>
      <c r="BO176" s="1"/>
      <c r="BP176">
        <v>114.120003</v>
      </c>
      <c r="BQ176">
        <v>111.410004</v>
      </c>
      <c r="BR176" s="13"/>
      <c r="BS176" s="1"/>
      <c r="BT176" s="1"/>
      <c r="BU176">
        <v>58.580002</v>
      </c>
      <c r="BV176">
        <v>57.139999000000003</v>
      </c>
      <c r="BW176" s="13"/>
      <c r="BY176" s="1"/>
      <c r="BZ176">
        <v>26.41</v>
      </c>
      <c r="CA176">
        <v>25.76</v>
      </c>
      <c r="CB176" s="13"/>
      <c r="CC176" s="1"/>
      <c r="CD176" s="1"/>
      <c r="CE176">
        <v>69.25</v>
      </c>
      <c r="CF176">
        <v>67.510002</v>
      </c>
      <c r="CG176" s="13"/>
      <c r="CH176" s="1"/>
      <c r="CI176" s="1"/>
      <c r="CJ176">
        <v>40.110000999999997</v>
      </c>
      <c r="CK176">
        <v>39.049999</v>
      </c>
      <c r="CL176" s="13"/>
      <c r="CM176" s="1"/>
      <c r="CN176" s="1"/>
      <c r="CO176">
        <v>36.470001000000003</v>
      </c>
      <c r="CP176">
        <v>35.610000999999997</v>
      </c>
      <c r="CQ176" s="13"/>
      <c r="CR176" s="1"/>
      <c r="CS176" s="1"/>
      <c r="CT176">
        <v>49.349997999999999</v>
      </c>
      <c r="CU176">
        <v>48.27</v>
      </c>
      <c r="CV176" s="13"/>
      <c r="CW176" s="1"/>
      <c r="CX176" s="1"/>
      <c r="CY176">
        <v>44.93</v>
      </c>
      <c r="CZ176">
        <v>43.889999000000003</v>
      </c>
      <c r="DA176" s="13"/>
      <c r="DB176" s="1"/>
      <c r="DC176" s="1"/>
      <c r="DD176">
        <v>57.060001</v>
      </c>
      <c r="DE176">
        <v>55.349997999999999</v>
      </c>
      <c r="DF176" s="13"/>
      <c r="DG176" s="1"/>
      <c r="DH176" s="1"/>
      <c r="DI176">
        <v>39.770000000000003</v>
      </c>
      <c r="DJ176">
        <v>38.779998999999997</v>
      </c>
      <c r="DK176" s="13"/>
      <c r="DM176" s="1"/>
    </row>
    <row r="177" spans="27:117">
      <c r="AA177" s="10">
        <v>42409</v>
      </c>
      <c r="AB177" s="13">
        <v>54.880001</v>
      </c>
      <c r="AC177" s="13">
        <v>53.099997999999999</v>
      </c>
      <c r="AD177" s="13"/>
      <c r="AE177" s="1"/>
      <c r="AF177" s="1"/>
      <c r="AG177" s="14">
        <v>68.660004000000001</v>
      </c>
      <c r="AH177" s="14">
        <v>67.620002999999997</v>
      </c>
      <c r="AI177" s="13"/>
      <c r="AJ177" s="1"/>
      <c r="AK177" s="1"/>
      <c r="AL177">
        <v>18.73</v>
      </c>
      <c r="AM177">
        <v>18.32</v>
      </c>
      <c r="AN177" s="13"/>
      <c r="AO177" s="1"/>
      <c r="AP177" s="1"/>
      <c r="AQ177">
        <v>73.900002000000001</v>
      </c>
      <c r="AR177">
        <v>72.720000999999996</v>
      </c>
      <c r="AS177" s="13"/>
      <c r="AT177" s="1"/>
      <c r="AU177" s="1"/>
      <c r="AV177">
        <v>87.120002999999997</v>
      </c>
      <c r="AW177">
        <v>85.790001000000004</v>
      </c>
      <c r="AX177" s="13"/>
      <c r="AY177" s="1"/>
      <c r="AZ177" s="1"/>
      <c r="BA177">
        <v>79.809997999999993</v>
      </c>
      <c r="BB177">
        <v>78.239998</v>
      </c>
      <c r="BC177" s="13"/>
      <c r="BD177" s="1"/>
      <c r="BE177" s="1"/>
      <c r="BF177">
        <v>63.75</v>
      </c>
      <c r="BG177">
        <v>62.720001000000003</v>
      </c>
      <c r="BH177" s="13"/>
      <c r="BI177" s="1"/>
      <c r="BJ177" s="1"/>
      <c r="BK177">
        <v>54.900002000000001</v>
      </c>
      <c r="BL177">
        <v>53.84</v>
      </c>
      <c r="BM177" s="13"/>
      <c r="BN177" s="1"/>
      <c r="BO177" s="1"/>
      <c r="BP177">
        <v>115.949997</v>
      </c>
      <c r="BQ177">
        <v>113.650002</v>
      </c>
      <c r="BR177" s="13"/>
      <c r="BS177" s="1"/>
      <c r="BT177" s="1"/>
      <c r="BU177">
        <v>58.650002000000001</v>
      </c>
      <c r="BV177">
        <v>57.68</v>
      </c>
      <c r="BW177" s="13"/>
      <c r="BY177" s="1"/>
      <c r="BZ177">
        <v>26.57</v>
      </c>
      <c r="CA177">
        <v>26.129999000000002</v>
      </c>
      <c r="CB177" s="13"/>
      <c r="CC177" s="1"/>
      <c r="CD177" s="1"/>
      <c r="CE177">
        <v>69</v>
      </c>
      <c r="CF177">
        <v>67.910004000000001</v>
      </c>
      <c r="CG177" s="13"/>
      <c r="CH177" s="1"/>
      <c r="CI177" s="1"/>
      <c r="CJ177">
        <v>40.299999</v>
      </c>
      <c r="CK177">
        <v>39.880001</v>
      </c>
      <c r="CL177" s="13"/>
      <c r="CM177" s="1"/>
      <c r="CN177" s="1"/>
      <c r="CO177">
        <v>36.549999</v>
      </c>
      <c r="CP177">
        <v>35.75</v>
      </c>
      <c r="CQ177" s="13"/>
      <c r="CR177" s="1"/>
      <c r="CS177" s="1"/>
      <c r="CT177">
        <v>49.32</v>
      </c>
      <c r="CU177">
        <v>48.279998999999997</v>
      </c>
      <c r="CV177" s="13"/>
      <c r="CW177" s="1"/>
      <c r="CX177" s="1"/>
      <c r="CY177">
        <v>44.740001999999997</v>
      </c>
      <c r="CZ177">
        <v>44.02</v>
      </c>
      <c r="DA177" s="13"/>
      <c r="DB177" s="1"/>
      <c r="DC177" s="1"/>
      <c r="DD177">
        <v>57.900002000000001</v>
      </c>
      <c r="DE177">
        <v>57.060001</v>
      </c>
      <c r="DF177" s="13"/>
      <c r="DG177" s="1"/>
      <c r="DH177" s="1"/>
      <c r="DI177">
        <v>39.740001999999997</v>
      </c>
      <c r="DJ177">
        <v>39.029998999999997</v>
      </c>
      <c r="DK177" s="13"/>
      <c r="DM177" s="1"/>
    </row>
    <row r="178" spans="27:117">
      <c r="AA178" s="10">
        <v>42408</v>
      </c>
      <c r="AB178" s="13">
        <v>53.830002</v>
      </c>
      <c r="AC178" s="13">
        <v>52.869999</v>
      </c>
      <c r="AD178" s="13"/>
      <c r="AE178" s="1"/>
      <c r="AF178" s="1"/>
      <c r="AG178" s="14">
        <v>68.440002000000007</v>
      </c>
      <c r="AH178" s="14">
        <v>67.290001000000004</v>
      </c>
      <c r="AI178" s="13"/>
      <c r="AJ178" s="1"/>
      <c r="AK178" s="1"/>
      <c r="AL178">
        <v>19.059999000000001</v>
      </c>
      <c r="AM178">
        <v>18.280000999999999</v>
      </c>
      <c r="AN178" s="13"/>
      <c r="AO178" s="1"/>
      <c r="AP178" s="1"/>
      <c r="AQ178">
        <v>73.150002000000001</v>
      </c>
      <c r="AR178">
        <v>71.970000999999996</v>
      </c>
      <c r="AS178" s="13"/>
      <c r="AT178" s="1"/>
      <c r="AU178" s="1"/>
      <c r="AV178">
        <v>87.809997999999993</v>
      </c>
      <c r="AW178">
        <v>85.239998</v>
      </c>
      <c r="AX178" s="13"/>
      <c r="AY178" s="1"/>
      <c r="AZ178" s="1"/>
      <c r="BA178">
        <v>80.099997999999999</v>
      </c>
      <c r="BB178">
        <v>78.599997999999999</v>
      </c>
      <c r="BC178" s="13"/>
      <c r="BD178" s="1"/>
      <c r="BE178" s="1"/>
      <c r="BF178">
        <v>64.300003000000004</v>
      </c>
      <c r="BG178">
        <v>62.650002000000001</v>
      </c>
      <c r="BH178" s="13"/>
      <c r="BI178" s="1"/>
      <c r="BJ178" s="1"/>
      <c r="BK178">
        <v>54.779998999999997</v>
      </c>
      <c r="BL178">
        <v>53.43</v>
      </c>
      <c r="BM178" s="13"/>
      <c r="BN178" s="1"/>
      <c r="BO178" s="1"/>
      <c r="BP178">
        <v>114.610001</v>
      </c>
      <c r="BQ178">
        <v>112.800003</v>
      </c>
      <c r="BR178" s="13"/>
      <c r="BS178" s="1"/>
      <c r="BT178" s="1"/>
      <c r="BU178">
        <v>58.130001</v>
      </c>
      <c r="BV178">
        <v>57.02</v>
      </c>
      <c r="BW178" s="13"/>
      <c r="BY178" s="1"/>
      <c r="BZ178">
        <v>27.24</v>
      </c>
      <c r="CA178">
        <v>26.200001</v>
      </c>
      <c r="CB178" s="13"/>
      <c r="CC178" s="1"/>
      <c r="CD178" s="1"/>
      <c r="CE178">
        <v>69.720000999999996</v>
      </c>
      <c r="CF178">
        <v>67.639999000000003</v>
      </c>
      <c r="CG178" s="13"/>
      <c r="CH178" s="1"/>
      <c r="CI178" s="1"/>
      <c r="CJ178">
        <v>40.409999999999997</v>
      </c>
      <c r="CK178">
        <v>39.259998000000003</v>
      </c>
      <c r="CL178" s="13"/>
      <c r="CM178" s="1"/>
      <c r="CN178" s="1"/>
      <c r="CO178">
        <v>36.409999999999997</v>
      </c>
      <c r="CP178">
        <v>35.619999</v>
      </c>
      <c r="CQ178" s="13"/>
      <c r="CR178" s="1"/>
      <c r="CS178" s="1"/>
      <c r="CT178">
        <v>48.849997999999999</v>
      </c>
      <c r="CU178">
        <v>48.040000999999997</v>
      </c>
      <c r="CV178" s="13"/>
      <c r="CW178" s="1"/>
      <c r="CX178" s="1"/>
      <c r="CY178">
        <v>44.57</v>
      </c>
      <c r="CZ178">
        <v>43.73</v>
      </c>
      <c r="DA178" s="13"/>
      <c r="DB178" s="1"/>
      <c r="DC178" s="1"/>
      <c r="DD178">
        <v>58.150002000000001</v>
      </c>
      <c r="DE178">
        <v>56.599997999999999</v>
      </c>
      <c r="DF178" s="13"/>
      <c r="DG178" s="1"/>
      <c r="DH178" s="1"/>
      <c r="DI178">
        <v>40.209999000000003</v>
      </c>
      <c r="DJ178">
        <v>38.869999</v>
      </c>
      <c r="DK178" s="13"/>
      <c r="DM178" s="1"/>
    </row>
    <row r="179" spans="27:117">
      <c r="AA179" s="10">
        <v>42405</v>
      </c>
      <c r="AB179" s="13">
        <v>54</v>
      </c>
      <c r="AC179" s="13">
        <v>52.91</v>
      </c>
      <c r="AD179" s="13"/>
      <c r="AE179" s="1"/>
      <c r="AF179" s="1"/>
      <c r="AG179" s="14">
        <v>68.25</v>
      </c>
      <c r="AH179" s="14">
        <v>66.389999000000003</v>
      </c>
      <c r="AI179" s="13"/>
      <c r="AJ179" s="1"/>
      <c r="AK179" s="1"/>
      <c r="AL179">
        <v>19.040001</v>
      </c>
      <c r="AM179">
        <v>18.66</v>
      </c>
      <c r="AN179" s="13"/>
      <c r="AO179" s="1"/>
      <c r="AP179" s="1"/>
      <c r="AQ179">
        <v>72.239998</v>
      </c>
      <c r="AR179">
        <v>70.139999000000003</v>
      </c>
      <c r="AS179" s="13"/>
      <c r="AT179" s="1"/>
      <c r="AU179" s="1"/>
      <c r="AV179">
        <v>86.860000999999997</v>
      </c>
      <c r="AW179">
        <v>85.040001000000004</v>
      </c>
      <c r="AX179" s="13"/>
      <c r="AY179" s="1"/>
      <c r="AZ179" s="1"/>
      <c r="BA179">
        <v>79.220000999999996</v>
      </c>
      <c r="BB179">
        <v>77.349997999999999</v>
      </c>
      <c r="BC179" s="13"/>
      <c r="BD179" s="1"/>
      <c r="BE179" s="1"/>
      <c r="BF179">
        <v>63.68</v>
      </c>
      <c r="BG179">
        <v>62.169998</v>
      </c>
      <c r="BH179" s="13"/>
      <c r="BI179" s="1"/>
      <c r="BJ179" s="1"/>
      <c r="BK179">
        <v>54.860000999999997</v>
      </c>
      <c r="BL179">
        <v>53.389999000000003</v>
      </c>
      <c r="BM179" s="13"/>
      <c r="BN179" s="1"/>
      <c r="BO179" s="1"/>
      <c r="BP179">
        <v>114.139999</v>
      </c>
      <c r="BQ179">
        <v>112.220001</v>
      </c>
      <c r="BR179" s="13"/>
      <c r="BS179" s="1"/>
      <c r="BT179" s="1"/>
      <c r="BU179">
        <v>57.950001</v>
      </c>
      <c r="BV179">
        <v>56.450001</v>
      </c>
      <c r="BW179" s="13"/>
      <c r="BY179" s="1"/>
      <c r="BZ179">
        <v>27.809999000000001</v>
      </c>
      <c r="CA179">
        <v>26.860001</v>
      </c>
      <c r="CB179" s="13"/>
      <c r="CC179" s="1"/>
      <c r="CD179" s="1"/>
      <c r="CE179">
        <v>69.190002000000007</v>
      </c>
      <c r="CF179">
        <v>67.809997999999993</v>
      </c>
      <c r="CG179" s="13"/>
      <c r="CH179" s="1"/>
      <c r="CI179" s="1"/>
      <c r="CJ179">
        <v>40.419998</v>
      </c>
      <c r="CK179">
        <v>39.310001</v>
      </c>
      <c r="CL179" s="13"/>
      <c r="CM179" s="1"/>
      <c r="CN179" s="1"/>
      <c r="CO179">
        <v>36.549999</v>
      </c>
      <c r="CP179">
        <v>35.849997999999999</v>
      </c>
      <c r="CQ179" s="13"/>
      <c r="CR179" s="1"/>
      <c r="CS179" s="1"/>
      <c r="CT179">
        <v>48.5</v>
      </c>
      <c r="CU179">
        <v>47.259998000000003</v>
      </c>
      <c r="CV179" s="13"/>
      <c r="CW179" s="1"/>
      <c r="CX179" s="1"/>
      <c r="CY179">
        <v>44.830002</v>
      </c>
      <c r="CZ179">
        <v>43.330002</v>
      </c>
      <c r="DA179" s="13"/>
      <c r="DB179" s="1"/>
      <c r="DC179" s="1"/>
      <c r="DD179">
        <v>57.110000999999997</v>
      </c>
      <c r="DE179">
        <v>55.220001000000003</v>
      </c>
      <c r="DF179" s="13"/>
      <c r="DG179" s="1"/>
      <c r="DH179" s="1"/>
      <c r="DI179">
        <v>39.630001</v>
      </c>
      <c r="DJ179">
        <v>38.470001000000003</v>
      </c>
      <c r="DK179" s="13"/>
      <c r="DM179" s="1"/>
    </row>
    <row r="180" spans="27:117">
      <c r="AA180" s="10">
        <v>42404</v>
      </c>
      <c r="AB180" s="13">
        <v>54.400002000000001</v>
      </c>
      <c r="AC180" s="13">
        <v>53.450001</v>
      </c>
      <c r="AD180" s="13"/>
      <c r="AE180" s="1"/>
      <c r="AF180" s="1"/>
      <c r="AG180" s="14">
        <v>68.120002999999997</v>
      </c>
      <c r="AH180" s="14">
        <v>67.110000999999997</v>
      </c>
      <c r="AI180" s="13"/>
      <c r="AJ180" s="1"/>
      <c r="AK180" s="1"/>
      <c r="AL180">
        <v>19.239999999999998</v>
      </c>
      <c r="AM180">
        <v>18.91</v>
      </c>
      <c r="AN180" s="13"/>
      <c r="AO180" s="1"/>
      <c r="AP180" s="1"/>
      <c r="AQ180">
        <v>71.849997999999999</v>
      </c>
      <c r="AR180">
        <v>70.730002999999996</v>
      </c>
      <c r="AS180" s="13"/>
      <c r="AT180" s="1"/>
      <c r="AU180" s="1"/>
      <c r="AV180">
        <v>87.559997999999993</v>
      </c>
      <c r="AW180">
        <v>86.440002000000007</v>
      </c>
      <c r="AX180" s="13"/>
      <c r="AY180" s="1"/>
      <c r="AZ180" s="1"/>
      <c r="BA180">
        <v>79.029999000000004</v>
      </c>
      <c r="BB180">
        <v>77.879997000000003</v>
      </c>
      <c r="BC180" s="13"/>
      <c r="BD180" s="1"/>
      <c r="BE180" s="1"/>
      <c r="BF180">
        <v>64.309997999999993</v>
      </c>
      <c r="BG180">
        <v>62.880001</v>
      </c>
      <c r="BH180" s="13"/>
      <c r="BI180" s="1"/>
      <c r="BJ180" s="1"/>
      <c r="BK180">
        <v>55.91</v>
      </c>
      <c r="BL180">
        <v>54.84</v>
      </c>
      <c r="BM180" s="13"/>
      <c r="BN180" s="1"/>
      <c r="BO180" s="1"/>
      <c r="BP180">
        <v>114.959999</v>
      </c>
      <c r="BQ180">
        <v>112.550003</v>
      </c>
      <c r="BR180" s="13"/>
      <c r="BS180" s="1"/>
      <c r="BT180" s="1"/>
      <c r="BU180">
        <v>57.810001</v>
      </c>
      <c r="BV180">
        <v>57.07</v>
      </c>
      <c r="BW180" s="13"/>
      <c r="BY180" s="1"/>
      <c r="BZ180">
        <v>27.540001</v>
      </c>
      <c r="CA180">
        <v>27.110001</v>
      </c>
      <c r="CB180" s="13"/>
      <c r="CC180" s="1"/>
      <c r="CD180" s="1"/>
      <c r="CE180">
        <v>69.830001999999993</v>
      </c>
      <c r="CF180">
        <v>68.610000999999997</v>
      </c>
      <c r="CG180" s="13"/>
      <c r="CH180" s="1"/>
      <c r="CI180" s="1"/>
      <c r="CJ180">
        <v>40.439999</v>
      </c>
      <c r="CK180">
        <v>39.790000999999997</v>
      </c>
      <c r="CL180" s="13"/>
      <c r="CM180" s="1"/>
      <c r="CN180" s="1"/>
      <c r="CO180">
        <v>37.229999999999997</v>
      </c>
      <c r="CP180">
        <v>35.900002000000001</v>
      </c>
      <c r="CQ180" s="13"/>
      <c r="CR180" s="1"/>
      <c r="CS180" s="1"/>
      <c r="CT180">
        <v>48.689999</v>
      </c>
      <c r="CU180">
        <v>47.450001</v>
      </c>
      <c r="CV180" s="13"/>
      <c r="CW180" s="1"/>
      <c r="CX180" s="1"/>
      <c r="CY180">
        <v>44.509998000000003</v>
      </c>
      <c r="CZ180">
        <v>43.59</v>
      </c>
      <c r="DA180" s="13"/>
      <c r="DB180" s="1"/>
      <c r="DC180" s="1"/>
      <c r="DD180">
        <v>57.169998</v>
      </c>
      <c r="DE180">
        <v>56.09</v>
      </c>
      <c r="DF180" s="13"/>
      <c r="DG180" s="1"/>
      <c r="DH180" s="1"/>
      <c r="DI180">
        <v>39.5</v>
      </c>
      <c r="DJ180">
        <v>38.82</v>
      </c>
      <c r="DK180" s="13"/>
      <c r="DM180" s="1"/>
    </row>
    <row r="181" spans="27:117">
      <c r="AA181" s="10">
        <v>42403</v>
      </c>
      <c r="AB181" s="13">
        <v>54.959999000000003</v>
      </c>
      <c r="AC181" s="13">
        <v>53.73</v>
      </c>
      <c r="AD181" s="13"/>
      <c r="AE181" s="1"/>
      <c r="AF181" s="1"/>
      <c r="AG181" s="14">
        <v>68.089995999999999</v>
      </c>
      <c r="AH181" s="14">
        <v>66.389999000000003</v>
      </c>
      <c r="AI181" s="13"/>
      <c r="AJ181" s="1"/>
      <c r="AK181" s="1"/>
      <c r="AL181">
        <v>19.27</v>
      </c>
      <c r="AM181">
        <v>18.540001</v>
      </c>
      <c r="AN181" s="13"/>
      <c r="AO181" s="1"/>
      <c r="AP181" s="1"/>
      <c r="AQ181">
        <v>72.309997999999993</v>
      </c>
      <c r="AR181">
        <v>71.220000999999996</v>
      </c>
      <c r="AS181" s="13"/>
      <c r="AT181" s="1"/>
      <c r="AU181" s="1"/>
      <c r="AV181">
        <v>87.839995999999999</v>
      </c>
      <c r="AW181">
        <v>86.099997999999999</v>
      </c>
      <c r="AX181" s="13"/>
      <c r="AY181" s="1"/>
      <c r="AZ181" s="1"/>
      <c r="BA181">
        <v>78.720000999999996</v>
      </c>
      <c r="BB181">
        <v>76.760002</v>
      </c>
      <c r="BC181" s="13"/>
      <c r="BD181" s="1"/>
      <c r="BE181" s="1"/>
      <c r="BF181">
        <v>64.480002999999996</v>
      </c>
      <c r="BG181">
        <v>62.77</v>
      </c>
      <c r="BH181" s="13"/>
      <c r="BI181" s="1"/>
      <c r="BJ181" s="1"/>
      <c r="BK181">
        <v>55.970001000000003</v>
      </c>
      <c r="BL181">
        <v>55.34</v>
      </c>
      <c r="BM181" s="13"/>
      <c r="BN181" s="1"/>
      <c r="BO181" s="1"/>
      <c r="BP181">
        <v>115.510002</v>
      </c>
      <c r="BQ181">
        <v>113.68</v>
      </c>
      <c r="BR181" s="13"/>
      <c r="BS181" s="1"/>
      <c r="BT181" s="1"/>
      <c r="BU181">
        <v>57.669998</v>
      </c>
      <c r="BV181">
        <v>56.59</v>
      </c>
      <c r="BW181" s="13"/>
      <c r="BY181" s="1"/>
      <c r="BZ181">
        <v>27.48</v>
      </c>
      <c r="CA181">
        <v>26.51</v>
      </c>
      <c r="CB181" s="13"/>
      <c r="CC181" s="1"/>
      <c r="CD181" s="1"/>
      <c r="CE181">
        <v>70</v>
      </c>
      <c r="CF181">
        <v>68.690002000000007</v>
      </c>
      <c r="CG181" s="13"/>
      <c r="CH181" s="1"/>
      <c r="CI181" s="1"/>
      <c r="CJ181">
        <v>40.479999999999997</v>
      </c>
      <c r="CK181">
        <v>39.790000999999997</v>
      </c>
      <c r="CL181" s="13"/>
      <c r="CM181" s="1"/>
      <c r="CN181" s="1"/>
      <c r="CO181">
        <v>37.049999</v>
      </c>
      <c r="CP181">
        <v>36.360000999999997</v>
      </c>
      <c r="CQ181" s="13"/>
      <c r="CR181" s="1"/>
      <c r="CS181" s="1"/>
      <c r="CT181">
        <v>50.240001999999997</v>
      </c>
      <c r="CU181">
        <v>48.310001</v>
      </c>
      <c r="CV181" s="13"/>
      <c r="CW181" s="1"/>
      <c r="CX181" s="1"/>
      <c r="CY181">
        <v>44.490001999999997</v>
      </c>
      <c r="CZ181">
        <v>42.959999000000003</v>
      </c>
      <c r="DA181" s="13"/>
      <c r="DB181" s="1"/>
      <c r="DC181" s="1"/>
      <c r="DD181">
        <v>57.049999</v>
      </c>
      <c r="DE181">
        <v>56.209999000000003</v>
      </c>
      <c r="DF181" s="13"/>
      <c r="DG181" s="1"/>
      <c r="DH181" s="1"/>
      <c r="DI181">
        <v>39.43</v>
      </c>
      <c r="DJ181">
        <v>36.25</v>
      </c>
      <c r="DK181" s="13"/>
      <c r="DM181" s="1"/>
    </row>
    <row r="182" spans="27:117">
      <c r="AA182" s="10">
        <v>42402</v>
      </c>
      <c r="AB182" s="13">
        <v>54.060001</v>
      </c>
      <c r="AC182" s="13">
        <v>52.799999</v>
      </c>
      <c r="AD182" s="13"/>
      <c r="AE182" s="1"/>
      <c r="AF182" s="1"/>
      <c r="AG182" s="14">
        <v>66.580001999999993</v>
      </c>
      <c r="AH182" s="14">
        <v>65.379997000000003</v>
      </c>
      <c r="AI182" s="13"/>
      <c r="AJ182" s="1"/>
      <c r="AK182" s="1"/>
      <c r="AL182">
        <v>18.610001</v>
      </c>
      <c r="AM182">
        <v>18.209999</v>
      </c>
      <c r="AN182" s="13"/>
      <c r="AO182" s="1"/>
      <c r="AP182" s="1"/>
      <c r="AQ182">
        <v>71.220000999999996</v>
      </c>
      <c r="AR182">
        <v>69.879997000000003</v>
      </c>
      <c r="AS182" s="13"/>
      <c r="AT182" s="1"/>
      <c r="AU182" s="1"/>
      <c r="AV182">
        <v>86.309997999999993</v>
      </c>
      <c r="AW182">
        <v>84.980002999999996</v>
      </c>
      <c r="AX182" s="13"/>
      <c r="AY182" s="1"/>
      <c r="AZ182" s="1"/>
      <c r="BA182">
        <v>76.940002000000007</v>
      </c>
      <c r="BB182">
        <v>76.029999000000004</v>
      </c>
      <c r="BC182" s="13"/>
      <c r="BD182" s="1"/>
      <c r="BE182" s="1"/>
      <c r="BF182">
        <v>62.810001</v>
      </c>
      <c r="BG182">
        <v>61.68</v>
      </c>
      <c r="BH182" s="13"/>
      <c r="BI182" s="1"/>
      <c r="BJ182" s="1"/>
      <c r="BK182">
        <v>55.23</v>
      </c>
      <c r="BL182">
        <v>54.029998999999997</v>
      </c>
      <c r="BM182" s="13"/>
      <c r="BN182" s="1"/>
      <c r="BO182" s="1"/>
      <c r="BP182">
        <v>114.07</v>
      </c>
      <c r="BQ182">
        <v>112</v>
      </c>
      <c r="BR182" s="13"/>
      <c r="BS182" s="1"/>
      <c r="BT182" s="1"/>
      <c r="BU182">
        <v>56.540000999999997</v>
      </c>
      <c r="BV182">
        <v>55.740001999999997</v>
      </c>
      <c r="BW182" s="13"/>
      <c r="BY182" s="1"/>
      <c r="BZ182">
        <v>26.639999</v>
      </c>
      <c r="CA182">
        <v>26.110001</v>
      </c>
      <c r="CB182" s="13"/>
      <c r="CC182" s="1"/>
      <c r="CD182" s="1"/>
      <c r="CE182">
        <v>68.459998999999996</v>
      </c>
      <c r="CF182">
        <v>66.660004000000001</v>
      </c>
      <c r="CG182" s="13"/>
      <c r="CH182" s="1"/>
      <c r="CI182" s="1"/>
      <c r="CJ182">
        <v>40.150002000000001</v>
      </c>
      <c r="CK182">
        <v>39.150002000000001</v>
      </c>
      <c r="CL182" s="13"/>
      <c r="CM182" s="1"/>
      <c r="CN182" s="1"/>
      <c r="CO182">
        <v>36.57</v>
      </c>
      <c r="CP182">
        <v>35.520000000000003</v>
      </c>
      <c r="CQ182" s="13"/>
      <c r="CR182" s="1"/>
      <c r="CS182" s="1"/>
      <c r="CT182">
        <v>49.790000999999997</v>
      </c>
      <c r="CU182">
        <v>49.419998</v>
      </c>
      <c r="CV182" s="13"/>
      <c r="CW182" s="1"/>
      <c r="CX182" s="1"/>
      <c r="CY182">
        <v>42.84</v>
      </c>
      <c r="CZ182">
        <v>42.240001999999997</v>
      </c>
      <c r="DA182" s="13"/>
      <c r="DB182" s="1"/>
      <c r="DC182" s="1"/>
      <c r="DD182">
        <v>56.150002000000001</v>
      </c>
      <c r="DE182">
        <v>55.419998</v>
      </c>
      <c r="DF182" s="13"/>
      <c r="DG182" s="1"/>
      <c r="DH182" s="1"/>
      <c r="DI182">
        <v>38.990001999999997</v>
      </c>
      <c r="DJ182">
        <v>38.290000999999997</v>
      </c>
      <c r="DK182" s="13"/>
      <c r="DM182" s="1"/>
    </row>
    <row r="183" spans="27:117">
      <c r="AA183" s="10">
        <v>42401</v>
      </c>
      <c r="AB183" s="13">
        <v>53.790000999999997</v>
      </c>
      <c r="AC183" s="13">
        <v>52.419998</v>
      </c>
      <c r="AD183" s="13"/>
      <c r="AE183" s="1"/>
      <c r="AF183" s="1"/>
      <c r="AG183" s="14">
        <v>66.400002000000001</v>
      </c>
      <c r="AH183" s="14">
        <v>64.760002</v>
      </c>
      <c r="AI183" s="13"/>
      <c r="AJ183" s="1"/>
      <c r="AK183" s="1"/>
      <c r="AL183">
        <v>18.799999</v>
      </c>
      <c r="AM183">
        <v>18.239999999999998</v>
      </c>
      <c r="AN183" s="13"/>
      <c r="AO183" s="1"/>
      <c r="AP183" s="1"/>
      <c r="AQ183">
        <v>70.809997999999993</v>
      </c>
      <c r="AR183">
        <v>69.080001999999993</v>
      </c>
      <c r="AS183" s="13"/>
      <c r="AT183" s="1"/>
      <c r="AU183" s="1"/>
      <c r="AV183">
        <v>85.839995999999999</v>
      </c>
      <c r="AW183">
        <v>84.290001000000004</v>
      </c>
      <c r="AX183" s="13"/>
      <c r="AY183" s="1"/>
      <c r="AZ183" s="1"/>
      <c r="BA183">
        <v>77.680000000000007</v>
      </c>
      <c r="BB183">
        <v>75.019997000000004</v>
      </c>
      <c r="BC183" s="13"/>
      <c r="BD183" s="1"/>
      <c r="BE183" s="1"/>
      <c r="BF183">
        <v>62.470001000000003</v>
      </c>
      <c r="BG183">
        <v>61.490001999999997</v>
      </c>
      <c r="BH183" s="13"/>
      <c r="BI183" s="1"/>
      <c r="BJ183" s="1"/>
      <c r="BK183">
        <v>54.919998</v>
      </c>
      <c r="BL183">
        <v>53.490001999999997</v>
      </c>
      <c r="BM183" s="13"/>
      <c r="BN183" s="1"/>
      <c r="BO183" s="1"/>
      <c r="BP183">
        <v>113.44000200000001</v>
      </c>
      <c r="BQ183">
        <v>110.790001</v>
      </c>
      <c r="BR183" s="13"/>
      <c r="BS183" s="1"/>
      <c r="BT183" s="1"/>
      <c r="BU183">
        <v>56.450001</v>
      </c>
      <c r="BV183">
        <v>55.490001999999997</v>
      </c>
      <c r="BW183" s="13"/>
      <c r="BY183" s="1"/>
      <c r="BZ183">
        <v>26.799999</v>
      </c>
      <c r="CA183">
        <v>26.01</v>
      </c>
      <c r="CB183" s="13"/>
      <c r="CC183" s="1"/>
      <c r="CD183" s="1"/>
      <c r="CE183">
        <v>67.589995999999999</v>
      </c>
      <c r="CF183">
        <v>66.019997000000004</v>
      </c>
      <c r="CG183" s="13"/>
      <c r="CH183" s="1"/>
      <c r="CI183" s="1"/>
      <c r="CJ183">
        <v>39.759998000000003</v>
      </c>
      <c r="CK183">
        <v>38.279998999999997</v>
      </c>
      <c r="CL183" s="13"/>
      <c r="CM183" s="1"/>
      <c r="CN183" s="1"/>
      <c r="CO183">
        <v>36.099997999999999</v>
      </c>
      <c r="CP183">
        <v>35.080002</v>
      </c>
      <c r="CQ183" s="13"/>
      <c r="CR183" s="1"/>
      <c r="CS183" s="1"/>
      <c r="CT183">
        <v>49.990001999999997</v>
      </c>
      <c r="CU183">
        <v>48.790000999999997</v>
      </c>
      <c r="CV183" s="13"/>
      <c r="CW183" s="1"/>
      <c r="CX183" s="1"/>
      <c r="CY183">
        <v>42.93</v>
      </c>
      <c r="CZ183">
        <v>41.720001000000003</v>
      </c>
      <c r="DA183" s="13"/>
      <c r="DB183" s="1"/>
      <c r="DC183" s="1"/>
      <c r="DD183">
        <v>56.529998999999997</v>
      </c>
      <c r="DE183">
        <v>54.849997999999999</v>
      </c>
      <c r="DF183" s="13"/>
      <c r="DG183" s="1"/>
      <c r="DH183" s="1"/>
      <c r="DI183">
        <v>38.740001999999997</v>
      </c>
      <c r="DJ183">
        <v>37.900002000000001</v>
      </c>
      <c r="DK183" s="13"/>
      <c r="DM183" s="1"/>
    </row>
    <row r="184" spans="27:117">
      <c r="AA184" s="10">
        <v>42398</v>
      </c>
      <c r="AB184" s="13">
        <v>53.740001999999997</v>
      </c>
      <c r="AC184" s="13">
        <v>52.380001</v>
      </c>
      <c r="AD184" s="12">
        <f>(MAX(AB184:AB202)+MIN(AC184:AC202))/2</f>
        <v>51</v>
      </c>
      <c r="AE184" s="1">
        <f>0.52*4</f>
        <v>2.08</v>
      </c>
      <c r="AF184" s="9">
        <f>+AE184/AD184</f>
        <v>4.0784313725490198E-2</v>
      </c>
      <c r="AG184" s="14">
        <v>65.349997999999999</v>
      </c>
      <c r="AH184" s="14">
        <v>64.150002000000001</v>
      </c>
      <c r="AI184" s="12">
        <f>(MAX(AG184:AG202)+MIN(AH184:AH202))/2</f>
        <v>63.049999</v>
      </c>
      <c r="AJ184" s="1">
        <f>0.5875*4</f>
        <v>2.35</v>
      </c>
      <c r="AK184" s="9">
        <f>+AJ184/AI184</f>
        <v>3.7272006935321282E-2</v>
      </c>
      <c r="AL184">
        <v>17.940000999999999</v>
      </c>
      <c r="AM184">
        <v>17.68</v>
      </c>
      <c r="AN184" s="12">
        <f>(MAX(AL184:AL202)+MIN(AM184:AM202))/2</f>
        <v>17.4349995</v>
      </c>
      <c r="AO184" s="1">
        <f>0.2575*4</f>
        <v>1.03</v>
      </c>
      <c r="AP184" s="9">
        <f>+AO184/AN184</f>
        <v>5.9076571811774357E-2</v>
      </c>
      <c r="AQ184">
        <v>70.199996999999996</v>
      </c>
      <c r="AR184">
        <v>69.209998999999996</v>
      </c>
      <c r="AS184" s="12">
        <f>(MAX(AQ184:AQ202)+MIN(AR184:AR202))/2</f>
        <v>66.834998999999996</v>
      </c>
      <c r="AT184" s="1">
        <f>0.67*4</f>
        <v>2.68</v>
      </c>
      <c r="AU184" s="9">
        <f>+AT184/AS184</f>
        <v>4.0098751254563497E-2</v>
      </c>
      <c r="AV184">
        <v>85.18</v>
      </c>
      <c r="AW184">
        <v>82.809997999999993</v>
      </c>
      <c r="AX184" s="12">
        <f>(MAX(AV184:AV202)+MIN(AW184:AW202))/2</f>
        <v>81.595000999999996</v>
      </c>
      <c r="AY184" s="1">
        <f>0.73*4</f>
        <v>2.92</v>
      </c>
      <c r="AZ184" s="9">
        <f>+AY184/AX184</f>
        <v>3.578650608754818E-2</v>
      </c>
      <c r="BA184">
        <v>75.410004000000001</v>
      </c>
      <c r="BB184">
        <v>73.930000000000007</v>
      </c>
      <c r="BC184" s="12">
        <f>(MAX(BA184:BA202)+MIN(BB184:BB202))/2</f>
        <v>72.785004000000001</v>
      </c>
      <c r="BD184" s="13">
        <f>0.825*4</f>
        <v>3.3</v>
      </c>
      <c r="BE184" s="9">
        <f>+BD184/BC184</f>
        <v>4.5339009667430943E-2</v>
      </c>
      <c r="BF184">
        <v>62.34</v>
      </c>
      <c r="BG184">
        <v>61.48</v>
      </c>
      <c r="BH184" s="12">
        <f>(MAX(BF184:BF202)+MIN(BG184:BG202))/2</f>
        <v>60.1550005</v>
      </c>
      <c r="BI184" s="1">
        <f>0.48*4</f>
        <v>1.92</v>
      </c>
      <c r="BJ184" s="9">
        <f>+BI184/BH184</f>
        <v>3.1917546073331013E-2</v>
      </c>
      <c r="BK184">
        <v>54.150002000000001</v>
      </c>
      <c r="BL184">
        <v>53.369999</v>
      </c>
      <c r="BM184" s="12">
        <f>(MAX(BK184:BK202)+MIN(BL184:BL202))/2</f>
        <v>52.08</v>
      </c>
      <c r="BN184" s="1">
        <f>0.4175*4</f>
        <v>1.67</v>
      </c>
      <c r="BO184" s="9">
        <f>+BN184/BM184</f>
        <v>3.2066052227342552E-2</v>
      </c>
      <c r="BP184">
        <v>111.860001</v>
      </c>
      <c r="BQ184">
        <v>108.800003</v>
      </c>
      <c r="BR184" s="12">
        <f>(MAX(BP184:BP202)+MIN(BQ184:BQ202))/2</f>
        <v>107.029999</v>
      </c>
      <c r="BS184" s="1">
        <f>0.77*4</f>
        <v>3.08</v>
      </c>
      <c r="BT184" s="9">
        <f>+BS184/BR184</f>
        <v>2.8776978686134529E-2</v>
      </c>
      <c r="BU184">
        <v>55.849997999999999</v>
      </c>
      <c r="BV184">
        <v>54.77</v>
      </c>
      <c r="BW184" s="12">
        <f>(MAX(BU184:BU202)+MIN(BV184:BV202))/2</f>
        <v>54.004998999999998</v>
      </c>
      <c r="BX184">
        <f>0.48*4</f>
        <v>1.92</v>
      </c>
      <c r="BY184" s="9">
        <f>+BX184/BW184</f>
        <v>3.5552264337603265E-2</v>
      </c>
      <c r="BZ184">
        <v>26.26</v>
      </c>
      <c r="CA184">
        <v>25.34</v>
      </c>
      <c r="CB184" s="12">
        <f>(MAX(BZ184:BZ202)+MIN(CA184:CA202))/2</f>
        <v>24.945000499999999</v>
      </c>
      <c r="CC184" s="13">
        <f>0.275*4</f>
        <v>1.1000000000000001</v>
      </c>
      <c r="CD184" s="9">
        <f>+CC184/CB184</f>
        <v>4.4097012545660209E-2</v>
      </c>
      <c r="CE184">
        <v>66.489998</v>
      </c>
      <c r="CF184">
        <v>65.059997999999993</v>
      </c>
      <c r="CG184" s="12">
        <f>(MAX(CE184:CE202)+MIN(CF184:CF202))/2</f>
        <v>64.499998000000005</v>
      </c>
      <c r="CH184" s="13">
        <f>0.625*4</f>
        <v>2.5</v>
      </c>
      <c r="CI184" s="9">
        <f>+CH184/CG184</f>
        <v>3.8759691124331502E-2</v>
      </c>
      <c r="CJ184">
        <v>39.020000000000003</v>
      </c>
      <c r="CK184">
        <v>38.25</v>
      </c>
      <c r="CL184" s="12">
        <f>(MAX(CJ184:CJ202)+MIN(CK184:CK202))/2</f>
        <v>37.145000000000003</v>
      </c>
      <c r="CM184" s="13">
        <f>0.3*4</f>
        <v>1.2</v>
      </c>
      <c r="CN184" s="9">
        <f>+CM184/CL184</f>
        <v>3.2305828509893657E-2</v>
      </c>
      <c r="CO184">
        <v>35.150002000000001</v>
      </c>
      <c r="CP184">
        <v>34.5</v>
      </c>
      <c r="CQ184" s="12">
        <f>(MAX(CO184:CO202)+MIN(CP184:CP202))/2</f>
        <v>33.665001000000004</v>
      </c>
      <c r="CR184" s="1">
        <f>0.3775*4</f>
        <v>1.51</v>
      </c>
      <c r="CS184" s="9">
        <f>+CR184/CQ184</f>
        <v>4.4853704296637327E-2</v>
      </c>
      <c r="CT184">
        <v>49</v>
      </c>
      <c r="CU184">
        <v>48.48</v>
      </c>
      <c r="CV184" s="12">
        <f>(MAX(CT184:CT202)+MIN(CU184:CU202))/2</f>
        <v>47.5</v>
      </c>
      <c r="CW184" s="1">
        <f>0.5425*4</f>
        <v>2.17</v>
      </c>
      <c r="CX184" s="9">
        <f>+CW184/CV184</f>
        <v>4.5684210526315785E-2</v>
      </c>
      <c r="CY184">
        <v>42</v>
      </c>
      <c r="CZ184">
        <v>41.32</v>
      </c>
      <c r="DA184" s="12">
        <f>(MAX(CY184:CY202)+MIN(CZ184:CZ202))/2</f>
        <v>41.120000500000003</v>
      </c>
      <c r="DB184" s="13">
        <f>0.4*4</f>
        <v>1.6</v>
      </c>
      <c r="DC184" s="9">
        <f>+DB184/DA184</f>
        <v>3.8910505363442295E-2</v>
      </c>
      <c r="DD184">
        <v>55.720001000000003</v>
      </c>
      <c r="DE184">
        <v>54.919998</v>
      </c>
      <c r="DF184" s="12">
        <f>(MAX(DD184:DD202)+MIN(DE184:DE202))/2</f>
        <v>53.08</v>
      </c>
      <c r="DG184" s="1">
        <f>0.495*4</f>
        <v>1.98</v>
      </c>
      <c r="DH184" s="9">
        <f>+DG184/DF184</f>
        <v>3.7302185380557649E-2</v>
      </c>
      <c r="DI184">
        <v>38.259998000000003</v>
      </c>
      <c r="DJ184">
        <v>37.5</v>
      </c>
      <c r="DK184" s="12">
        <f>(MAX(DI184:DI202)+MIN(DJ184:DJ202))/2</f>
        <v>36.724998499999998</v>
      </c>
      <c r="DL184">
        <f>0.32*4</f>
        <v>1.28</v>
      </c>
      <c r="DM184" s="9">
        <f>+DL184/DK184</f>
        <v>3.4853643356854057E-2</v>
      </c>
    </row>
    <row r="185" spans="27:117">
      <c r="AA185" s="10">
        <v>42397</v>
      </c>
      <c r="AB185" s="13">
        <v>52.09</v>
      </c>
      <c r="AC185" s="13">
        <v>50.68</v>
      </c>
      <c r="AD185" s="13"/>
      <c r="AE185" s="1"/>
      <c r="AF185" s="1"/>
      <c r="AG185" s="14">
        <v>63.93</v>
      </c>
      <c r="AH185" s="14">
        <v>62.009998000000003</v>
      </c>
      <c r="AI185" s="13"/>
      <c r="AJ185" s="1"/>
      <c r="AK185" s="1"/>
      <c r="AL185">
        <v>17.68</v>
      </c>
      <c r="AM185">
        <v>17.260000000000002</v>
      </c>
      <c r="AN185" s="13"/>
      <c r="AO185" s="1"/>
      <c r="AP185" s="1"/>
      <c r="AQ185">
        <v>69.629997000000003</v>
      </c>
      <c r="AR185">
        <v>67.650002000000001</v>
      </c>
      <c r="AS185" s="13"/>
      <c r="AT185" s="1"/>
      <c r="AU185" s="1"/>
      <c r="AV185">
        <v>83.900002000000001</v>
      </c>
      <c r="AW185">
        <v>81.589995999999999</v>
      </c>
      <c r="AX185" s="13"/>
      <c r="AY185" s="1"/>
      <c r="AZ185" s="1"/>
      <c r="BA185">
        <v>73.959998999999996</v>
      </c>
      <c r="BB185">
        <v>71.830001999999993</v>
      </c>
      <c r="BC185" s="13"/>
      <c r="BD185" s="1"/>
      <c r="BE185" s="1"/>
      <c r="BF185">
        <v>62.110000999999997</v>
      </c>
      <c r="BG185">
        <v>60.009998000000003</v>
      </c>
      <c r="BH185" s="13"/>
      <c r="BI185" s="1"/>
      <c r="BJ185" s="1"/>
      <c r="BK185">
        <v>53.52</v>
      </c>
      <c r="BL185">
        <v>51.759998000000003</v>
      </c>
      <c r="BM185" s="13"/>
      <c r="BN185" s="1"/>
      <c r="BO185" s="1"/>
      <c r="BP185">
        <v>108.769997</v>
      </c>
      <c r="BQ185">
        <v>105.529999</v>
      </c>
      <c r="BR185" s="13"/>
      <c r="BS185" s="1"/>
      <c r="BT185" s="1"/>
      <c r="BU185">
        <v>54.82</v>
      </c>
      <c r="BV185">
        <v>53.200001</v>
      </c>
      <c r="BW185" s="13"/>
      <c r="BY185" s="1"/>
      <c r="BZ185">
        <v>25.27</v>
      </c>
      <c r="CA185">
        <v>24.780000999999999</v>
      </c>
      <c r="CB185" s="13"/>
      <c r="CC185" s="1"/>
      <c r="CD185" s="1"/>
      <c r="CE185">
        <v>65.110000999999997</v>
      </c>
      <c r="CF185">
        <v>62.82</v>
      </c>
      <c r="CG185" s="13"/>
      <c r="CH185" s="1"/>
      <c r="CI185" s="1"/>
      <c r="CJ185">
        <v>38.349997999999999</v>
      </c>
      <c r="CK185">
        <v>37.009998000000003</v>
      </c>
      <c r="CL185" s="13"/>
      <c r="CM185" s="1"/>
      <c r="CN185" s="1"/>
      <c r="CO185">
        <v>34.549999</v>
      </c>
      <c r="CP185">
        <v>33.599997999999999</v>
      </c>
      <c r="CQ185" s="13"/>
      <c r="CR185" s="1"/>
      <c r="CS185" s="1"/>
      <c r="CT185">
        <v>48.560001</v>
      </c>
      <c r="CU185">
        <v>47.25</v>
      </c>
      <c r="CV185" s="13"/>
      <c r="CW185" s="1"/>
      <c r="CX185" s="1"/>
      <c r="CY185">
        <v>41.400002000000001</v>
      </c>
      <c r="CZ185">
        <v>40.509998000000003</v>
      </c>
      <c r="DA185" s="13"/>
      <c r="DB185" s="1"/>
      <c r="DC185" s="1"/>
      <c r="DD185">
        <v>55.220001000000003</v>
      </c>
      <c r="DE185">
        <v>52.959999000000003</v>
      </c>
      <c r="DF185" s="13"/>
      <c r="DG185" s="1"/>
      <c r="DH185" s="1"/>
      <c r="DI185">
        <v>37.840000000000003</v>
      </c>
      <c r="DJ185">
        <v>36.099997999999999</v>
      </c>
      <c r="DK185" s="13"/>
      <c r="DM185" s="1"/>
    </row>
    <row r="186" spans="27:117">
      <c r="AA186" s="10">
        <v>42396</v>
      </c>
      <c r="AB186" s="13">
        <v>51.349997999999999</v>
      </c>
      <c r="AC186" s="13">
        <v>50.209999000000003</v>
      </c>
      <c r="AD186" s="13"/>
      <c r="AE186" s="1"/>
      <c r="AF186" s="1"/>
      <c r="AG186" s="14">
        <v>62.900002000000001</v>
      </c>
      <c r="AH186" s="14">
        <v>61.610000999999997</v>
      </c>
      <c r="AI186" s="13"/>
      <c r="AJ186" s="1"/>
      <c r="AK186" s="1"/>
      <c r="AL186">
        <v>17.450001</v>
      </c>
      <c r="AM186">
        <v>17.170000000000002</v>
      </c>
      <c r="AN186" s="13"/>
      <c r="AO186" s="1"/>
      <c r="AP186" s="1"/>
      <c r="AQ186">
        <v>68.639999000000003</v>
      </c>
      <c r="AR186">
        <v>67.480002999999996</v>
      </c>
      <c r="AS186" s="13"/>
      <c r="AT186" s="1"/>
      <c r="AU186" s="1"/>
      <c r="AV186">
        <v>82.540001000000004</v>
      </c>
      <c r="AW186">
        <v>81.040001000000004</v>
      </c>
      <c r="AX186" s="13"/>
      <c r="AY186" s="1"/>
      <c r="AZ186" s="1"/>
      <c r="BA186">
        <v>72.889999000000003</v>
      </c>
      <c r="BB186">
        <v>71.660004000000001</v>
      </c>
      <c r="BC186" s="13"/>
      <c r="BD186" s="1"/>
      <c r="BE186" s="1"/>
      <c r="BF186">
        <v>61.169998</v>
      </c>
      <c r="BG186">
        <v>60.049999</v>
      </c>
      <c r="BH186" s="13"/>
      <c r="BI186" s="1"/>
      <c r="BJ186" s="1"/>
      <c r="BK186">
        <v>52.68</v>
      </c>
      <c r="BL186">
        <v>51.84</v>
      </c>
      <c r="BM186" s="13"/>
      <c r="BN186" s="1"/>
      <c r="BO186" s="1"/>
      <c r="BP186">
        <v>107.800003</v>
      </c>
      <c r="BQ186">
        <v>106.209999</v>
      </c>
      <c r="BR186" s="13"/>
      <c r="BS186" s="1"/>
      <c r="BT186" s="1"/>
      <c r="BU186">
        <v>53.889999000000003</v>
      </c>
      <c r="BV186">
        <v>52.810001</v>
      </c>
      <c r="BW186" s="13"/>
      <c r="BY186" s="1"/>
      <c r="BZ186">
        <v>25.440000999999999</v>
      </c>
      <c r="CA186">
        <v>24.610001</v>
      </c>
      <c r="CB186" s="13"/>
      <c r="CC186" s="1"/>
      <c r="CD186" s="1"/>
      <c r="CE186">
        <v>64.629997000000003</v>
      </c>
      <c r="CF186">
        <v>63.52</v>
      </c>
      <c r="CG186" s="13"/>
      <c r="CH186" s="1"/>
      <c r="CI186" s="1"/>
      <c r="CJ186">
        <v>37.790000999999997</v>
      </c>
      <c r="CK186">
        <v>37.110000999999997</v>
      </c>
      <c r="CL186" s="13"/>
      <c r="CM186" s="1"/>
      <c r="CN186" s="1"/>
      <c r="CO186">
        <v>34.110000999999997</v>
      </c>
      <c r="CP186">
        <v>33.540000999999997</v>
      </c>
      <c r="CQ186" s="13"/>
      <c r="CR186" s="1"/>
      <c r="CS186" s="1"/>
      <c r="CT186">
        <v>47.889999000000003</v>
      </c>
      <c r="CU186">
        <v>47.240001999999997</v>
      </c>
      <c r="CV186" s="13"/>
      <c r="CW186" s="1"/>
      <c r="CX186" s="1"/>
      <c r="CY186">
        <v>41</v>
      </c>
      <c r="CZ186">
        <v>40.110000999999997</v>
      </c>
      <c r="DA186" s="13"/>
      <c r="DB186" s="1"/>
      <c r="DC186" s="1"/>
      <c r="DD186">
        <v>54.200001</v>
      </c>
      <c r="DE186">
        <v>52.950001</v>
      </c>
      <c r="DF186" s="13"/>
      <c r="DG186" s="1"/>
      <c r="DH186" s="1"/>
      <c r="DI186">
        <v>37.169998</v>
      </c>
      <c r="DJ186">
        <v>36.389999000000003</v>
      </c>
      <c r="DK186" s="13"/>
      <c r="DM186" s="1"/>
    </row>
    <row r="187" spans="27:117">
      <c r="AA187" s="10">
        <v>42395</v>
      </c>
      <c r="AB187" s="13">
        <v>50.57</v>
      </c>
      <c r="AC187" s="13">
        <v>49.669998</v>
      </c>
      <c r="AD187" s="13"/>
      <c r="AE187" s="1"/>
      <c r="AF187" s="1"/>
      <c r="AG187" s="14">
        <v>63.369999</v>
      </c>
      <c r="AH187" s="14">
        <v>62.43</v>
      </c>
      <c r="AI187" s="13"/>
      <c r="AJ187" s="1"/>
      <c r="AK187" s="1"/>
      <c r="AL187">
        <v>17.48</v>
      </c>
      <c r="AM187">
        <v>17.200001</v>
      </c>
      <c r="AN187" s="13"/>
      <c r="AO187" s="1"/>
      <c r="AP187" s="1"/>
      <c r="AQ187">
        <v>69.139999000000003</v>
      </c>
      <c r="AR187">
        <v>67.669998000000007</v>
      </c>
      <c r="AS187" s="13"/>
      <c r="AT187" s="1"/>
      <c r="AU187" s="1"/>
      <c r="AV187">
        <v>82.269997000000004</v>
      </c>
      <c r="AW187">
        <v>80.849997999999999</v>
      </c>
      <c r="AX187" s="13"/>
      <c r="AY187" s="1"/>
      <c r="AZ187" s="1"/>
      <c r="BA187">
        <v>73.199996999999996</v>
      </c>
      <c r="BB187">
        <v>71.739998</v>
      </c>
      <c r="BC187" s="13"/>
      <c r="BD187" s="1"/>
      <c r="BE187" s="1"/>
      <c r="BF187">
        <v>61.310001</v>
      </c>
      <c r="BG187">
        <v>60.23</v>
      </c>
      <c r="BH187" s="13"/>
      <c r="BI187" s="1"/>
      <c r="BJ187" s="1"/>
      <c r="BK187">
        <v>52.68</v>
      </c>
      <c r="BL187">
        <v>51.740001999999997</v>
      </c>
      <c r="BM187" s="13"/>
      <c r="BN187" s="1"/>
      <c r="BO187" s="1"/>
      <c r="BP187">
        <v>107.730003</v>
      </c>
      <c r="BQ187">
        <v>105.860001</v>
      </c>
      <c r="BR187" s="13"/>
      <c r="BS187" s="1"/>
      <c r="BT187" s="1"/>
      <c r="BU187">
        <v>53.82</v>
      </c>
      <c r="BV187">
        <v>53.060001</v>
      </c>
      <c r="BW187" s="13"/>
      <c r="BY187" s="1"/>
      <c r="BZ187">
        <v>25.42</v>
      </c>
      <c r="CA187">
        <v>24.620000999999998</v>
      </c>
      <c r="CB187" s="13"/>
      <c r="CC187" s="1"/>
      <c r="CD187" s="1"/>
      <c r="CE187">
        <v>64.779999000000004</v>
      </c>
      <c r="CF187">
        <v>62.509998000000003</v>
      </c>
      <c r="CG187" s="13"/>
      <c r="CH187" s="1"/>
      <c r="CI187" s="1"/>
      <c r="CJ187">
        <v>37.759998000000003</v>
      </c>
      <c r="CK187">
        <v>37.139999000000003</v>
      </c>
      <c r="CL187" s="13"/>
      <c r="CM187" s="1"/>
      <c r="CN187" s="1"/>
      <c r="CO187">
        <v>34.290000999999997</v>
      </c>
      <c r="CP187">
        <v>33.659999999999997</v>
      </c>
      <c r="CQ187" s="13"/>
      <c r="CR187" s="1"/>
      <c r="CS187" s="1"/>
      <c r="CT187">
        <v>48.080002</v>
      </c>
      <c r="CU187">
        <v>47.389999000000003</v>
      </c>
      <c r="CV187" s="13"/>
      <c r="CW187" s="1"/>
      <c r="CX187" s="1"/>
      <c r="CY187">
        <v>41.119999</v>
      </c>
      <c r="CZ187">
        <v>40.32</v>
      </c>
      <c r="DA187" s="13"/>
      <c r="DB187" s="1"/>
      <c r="DC187" s="1"/>
      <c r="DD187">
        <v>54.25</v>
      </c>
      <c r="DE187">
        <v>53.240001999999997</v>
      </c>
      <c r="DF187" s="13"/>
      <c r="DG187" s="1"/>
      <c r="DH187" s="1"/>
      <c r="DI187">
        <v>37.090000000000003</v>
      </c>
      <c r="DJ187">
        <v>36.400002000000001</v>
      </c>
      <c r="DK187" s="13"/>
      <c r="DM187" s="1"/>
    </row>
    <row r="188" spans="27:117">
      <c r="AA188" s="10">
        <v>42394</v>
      </c>
      <c r="AB188" s="13">
        <v>50.029998999999997</v>
      </c>
      <c r="AC188" s="13">
        <v>49.290000999999997</v>
      </c>
      <c r="AD188" s="13"/>
      <c r="AE188" s="1"/>
      <c r="AF188" s="1"/>
      <c r="AG188" s="14">
        <v>63.200001</v>
      </c>
      <c r="AH188" s="14">
        <v>62.07</v>
      </c>
      <c r="AI188" s="13"/>
      <c r="AJ188" s="1"/>
      <c r="AK188" s="1"/>
      <c r="AL188">
        <v>17.809999000000001</v>
      </c>
      <c r="AM188">
        <v>17.02</v>
      </c>
      <c r="AN188" s="13"/>
      <c r="AO188" s="1"/>
      <c r="AP188" s="1"/>
      <c r="AQ188">
        <v>68.230002999999996</v>
      </c>
      <c r="AR188">
        <v>67.480002999999996</v>
      </c>
      <c r="AS188" s="13"/>
      <c r="AT188" s="1"/>
      <c r="AU188" s="1"/>
      <c r="AV188">
        <v>81.430000000000007</v>
      </c>
      <c r="AW188">
        <v>80.529999000000004</v>
      </c>
      <c r="AX188" s="13"/>
      <c r="AY188" s="1"/>
      <c r="AZ188" s="1"/>
      <c r="BA188">
        <v>72.290001000000004</v>
      </c>
      <c r="BB188">
        <v>71.519997000000004</v>
      </c>
      <c r="BC188" s="13"/>
      <c r="BD188" s="1"/>
      <c r="BE188" s="1"/>
      <c r="BF188">
        <v>60.009998000000003</v>
      </c>
      <c r="BG188">
        <v>59.209999000000003</v>
      </c>
      <c r="BH188" s="13"/>
      <c r="BI188" s="1"/>
      <c r="BJ188" s="1"/>
      <c r="BK188">
        <v>51.970001000000003</v>
      </c>
      <c r="BL188">
        <v>51.220001000000003</v>
      </c>
      <c r="BM188" s="13"/>
      <c r="BN188" s="1"/>
      <c r="BO188" s="1"/>
      <c r="BP188">
        <v>107.029999</v>
      </c>
      <c r="BQ188">
        <v>105.470001</v>
      </c>
      <c r="BR188" s="13"/>
      <c r="BS188" s="1"/>
      <c r="BT188" s="1"/>
      <c r="BU188">
        <v>54.400002000000001</v>
      </c>
      <c r="BV188">
        <v>52.740001999999997</v>
      </c>
      <c r="BW188" s="13"/>
      <c r="BY188" s="1"/>
      <c r="BZ188">
        <v>24.82</v>
      </c>
      <c r="CA188">
        <v>24.389999</v>
      </c>
      <c r="CB188" s="13"/>
      <c r="CC188" s="1"/>
      <c r="CD188" s="1"/>
      <c r="CE188">
        <v>64.309997999999993</v>
      </c>
      <c r="CF188">
        <v>63.5</v>
      </c>
      <c r="CG188" s="13"/>
      <c r="CH188" s="1"/>
      <c r="CI188" s="1"/>
      <c r="CJ188">
        <v>37.709999000000003</v>
      </c>
      <c r="CK188">
        <v>36.900002000000001</v>
      </c>
      <c r="CL188" s="13"/>
      <c r="CM188" s="1"/>
      <c r="CN188" s="1"/>
      <c r="CO188">
        <v>34.169998</v>
      </c>
      <c r="CP188">
        <v>33.709999000000003</v>
      </c>
      <c r="CQ188" s="13"/>
      <c r="CR188" s="1"/>
      <c r="CS188" s="1"/>
      <c r="CT188">
        <v>47.52</v>
      </c>
      <c r="CU188">
        <v>47.09</v>
      </c>
      <c r="CV188" s="13"/>
      <c r="CW188" s="1"/>
      <c r="CX188" s="1"/>
      <c r="CY188">
        <v>40.770000000000003</v>
      </c>
      <c r="CZ188">
        <v>40.150002000000001</v>
      </c>
      <c r="DA188" s="13"/>
      <c r="DB188" s="1"/>
      <c r="DC188" s="1"/>
      <c r="DD188">
        <v>53.75</v>
      </c>
      <c r="DE188">
        <v>53.009998000000003</v>
      </c>
      <c r="DF188" s="13"/>
      <c r="DG188" s="1"/>
      <c r="DH188" s="1"/>
      <c r="DI188">
        <v>36.759998000000003</v>
      </c>
      <c r="DJ188">
        <v>36.299999</v>
      </c>
      <c r="DK188" s="13"/>
      <c r="DM188" s="1"/>
    </row>
    <row r="189" spans="27:117">
      <c r="AA189" s="10">
        <v>42391</v>
      </c>
      <c r="AB189" s="13">
        <v>50.150002000000001</v>
      </c>
      <c r="AC189" s="13">
        <v>49.02</v>
      </c>
      <c r="AD189" s="13"/>
      <c r="AE189" s="1"/>
      <c r="AF189" s="1"/>
      <c r="AG189" s="14">
        <v>63.220001000000003</v>
      </c>
      <c r="AH189" s="14">
        <v>61.619999</v>
      </c>
      <c r="AI189" s="13"/>
      <c r="AJ189" s="1"/>
      <c r="AK189" s="1"/>
      <c r="AL189">
        <v>17.870000999999998</v>
      </c>
      <c r="AM189">
        <v>17.610001</v>
      </c>
      <c r="AN189" s="13"/>
      <c r="AO189" s="1"/>
      <c r="AP189" s="1"/>
      <c r="AQ189">
        <v>68.319999999999993</v>
      </c>
      <c r="AR189">
        <v>66.669998000000007</v>
      </c>
      <c r="AS189" s="13"/>
      <c r="AT189" s="1"/>
      <c r="AU189" s="1"/>
      <c r="AV189">
        <v>81.419998000000007</v>
      </c>
      <c r="AW189">
        <v>79.379997000000003</v>
      </c>
      <c r="AX189" s="13"/>
      <c r="AY189" s="1"/>
      <c r="AZ189" s="1"/>
      <c r="BA189">
        <v>72.239998</v>
      </c>
      <c r="BB189">
        <v>70.949996999999996</v>
      </c>
      <c r="BC189" s="13"/>
      <c r="BD189" s="1"/>
      <c r="BE189" s="1"/>
      <c r="BF189">
        <v>59.880001</v>
      </c>
      <c r="BG189">
        <v>58.450001</v>
      </c>
      <c r="BH189" s="13"/>
      <c r="BI189" s="1"/>
      <c r="BJ189" s="1"/>
      <c r="BK189">
        <v>51.630001</v>
      </c>
      <c r="BL189">
        <v>50.16</v>
      </c>
      <c r="BM189" s="13"/>
      <c r="BN189" s="1"/>
      <c r="BO189" s="1"/>
      <c r="BP189">
        <v>106.68</v>
      </c>
      <c r="BQ189">
        <v>105.010002</v>
      </c>
      <c r="BR189" s="13"/>
      <c r="BS189" s="1"/>
      <c r="BT189" s="1"/>
      <c r="BU189">
        <v>53.599997999999999</v>
      </c>
      <c r="BV189">
        <v>52.330002</v>
      </c>
      <c r="BW189" s="13"/>
      <c r="BY189" s="1"/>
      <c r="BZ189">
        <v>24.84</v>
      </c>
      <c r="CA189">
        <v>24.040001</v>
      </c>
      <c r="CB189" s="13"/>
      <c r="CC189" s="1"/>
      <c r="CD189" s="1"/>
      <c r="CE189">
        <v>64.230002999999996</v>
      </c>
      <c r="CF189">
        <v>62.98</v>
      </c>
      <c r="CG189" s="13"/>
      <c r="CH189" s="1"/>
      <c r="CI189" s="1"/>
      <c r="CJ189">
        <v>37.659999999999997</v>
      </c>
      <c r="CK189">
        <v>36.590000000000003</v>
      </c>
      <c r="CL189" s="13"/>
      <c r="CM189" s="1"/>
      <c r="CN189" s="1"/>
      <c r="CO189">
        <v>34.099997999999999</v>
      </c>
      <c r="CP189">
        <v>33.240001999999997</v>
      </c>
      <c r="CQ189" s="13"/>
      <c r="CR189" s="1"/>
      <c r="CS189" s="1"/>
      <c r="CT189">
        <v>47.380001</v>
      </c>
      <c r="CU189">
        <v>46.560001</v>
      </c>
      <c r="CV189" s="13"/>
      <c r="CW189" s="1"/>
      <c r="CX189" s="1"/>
      <c r="CY189">
        <v>40.759998000000003</v>
      </c>
      <c r="CZ189">
        <v>39.75</v>
      </c>
      <c r="DA189" s="13"/>
      <c r="DB189" s="1"/>
      <c r="DC189" s="1"/>
      <c r="DD189">
        <v>53.720001000000003</v>
      </c>
      <c r="DE189">
        <v>52.400002000000001</v>
      </c>
      <c r="DF189" s="13"/>
      <c r="DG189" s="1"/>
      <c r="DH189" s="1"/>
      <c r="DI189">
        <v>36.669998</v>
      </c>
      <c r="DJ189">
        <v>36.009998000000003</v>
      </c>
      <c r="DK189" s="13"/>
      <c r="DM189" s="1"/>
    </row>
    <row r="190" spans="27:117">
      <c r="AA190" s="10">
        <v>42390</v>
      </c>
      <c r="AB190" s="13">
        <v>50.110000999999997</v>
      </c>
      <c r="AC190" s="13">
        <v>48.259998000000003</v>
      </c>
      <c r="AD190" s="13"/>
      <c r="AE190" s="1"/>
      <c r="AF190" s="1"/>
      <c r="AG190" s="14">
        <v>62.189999</v>
      </c>
      <c r="AH190" s="14">
        <v>61</v>
      </c>
      <c r="AI190" s="13"/>
      <c r="AJ190" s="1"/>
      <c r="AK190" s="1"/>
      <c r="AL190">
        <v>17.610001</v>
      </c>
      <c r="AM190">
        <v>16.899999999999999</v>
      </c>
      <c r="AN190" s="13"/>
      <c r="AO190" s="1"/>
      <c r="AP190" s="1"/>
      <c r="AQ190">
        <v>68.980002999999996</v>
      </c>
      <c r="AR190">
        <v>66.199996999999996</v>
      </c>
      <c r="AS190" s="13"/>
      <c r="AT190" s="1"/>
      <c r="AU190" s="1"/>
      <c r="AV190">
        <v>80.760002</v>
      </c>
      <c r="AW190">
        <v>78.720000999999996</v>
      </c>
      <c r="AX190" s="13"/>
      <c r="AY190" s="1"/>
      <c r="AZ190" s="1"/>
      <c r="BA190">
        <v>72.139999000000003</v>
      </c>
      <c r="BB190">
        <v>70.349997999999999</v>
      </c>
      <c r="BC190" s="13"/>
      <c r="BD190" s="1"/>
      <c r="BE190" s="1"/>
      <c r="BF190">
        <v>59.490001999999997</v>
      </c>
      <c r="BG190">
        <v>58.48</v>
      </c>
      <c r="BH190" s="13"/>
      <c r="BI190" s="1"/>
      <c r="BJ190" s="1"/>
      <c r="BK190">
        <v>51.470001000000003</v>
      </c>
      <c r="BL190">
        <v>50.209999000000003</v>
      </c>
      <c r="BM190" s="13"/>
      <c r="BN190" s="1"/>
      <c r="BO190" s="1"/>
      <c r="BP190">
        <v>105.779999</v>
      </c>
      <c r="BQ190">
        <v>103.860001</v>
      </c>
      <c r="BR190" s="13"/>
      <c r="BS190" s="1"/>
      <c r="BT190" s="1"/>
      <c r="BU190">
        <v>53.439999</v>
      </c>
      <c r="BV190">
        <v>52.169998</v>
      </c>
      <c r="BW190" s="13"/>
      <c r="BY190" s="1"/>
      <c r="BZ190">
        <v>24.16</v>
      </c>
      <c r="CA190">
        <v>23.66</v>
      </c>
      <c r="CB190" s="13"/>
      <c r="CC190" s="1"/>
      <c r="CD190" s="1"/>
      <c r="CE190">
        <v>64.169998000000007</v>
      </c>
      <c r="CF190">
        <v>62.720001000000003</v>
      </c>
      <c r="CG190" s="13"/>
      <c r="CH190" s="1"/>
      <c r="CI190" s="1"/>
      <c r="CJ190">
        <v>37</v>
      </c>
      <c r="CK190">
        <v>36.209999000000003</v>
      </c>
      <c r="CL190" s="13"/>
      <c r="CM190" s="1"/>
      <c r="CN190" s="1"/>
      <c r="CO190">
        <v>33.310001</v>
      </c>
      <c r="CP190">
        <v>32.619999</v>
      </c>
      <c r="CQ190" s="13"/>
      <c r="CR190" s="1"/>
      <c r="CS190" s="1"/>
      <c r="CT190">
        <v>47.549999</v>
      </c>
      <c r="CU190">
        <v>46.34</v>
      </c>
      <c r="CV190" s="13"/>
      <c r="CW190" s="1"/>
      <c r="CX190" s="1"/>
      <c r="CY190">
        <v>40.759998000000003</v>
      </c>
      <c r="CZ190">
        <v>39.490001999999997</v>
      </c>
      <c r="DA190" s="13"/>
      <c r="DB190" s="1"/>
      <c r="DC190" s="1"/>
      <c r="DD190">
        <v>53.57</v>
      </c>
      <c r="DE190">
        <v>52.009998000000003</v>
      </c>
      <c r="DF190" s="13"/>
      <c r="DG190" s="1"/>
      <c r="DH190" s="1"/>
      <c r="DI190">
        <v>37.060001</v>
      </c>
      <c r="DJ190">
        <v>35.909999999999997</v>
      </c>
      <c r="DK190" s="13"/>
      <c r="DM190" s="1"/>
    </row>
    <row r="191" spans="27:117">
      <c r="AA191" s="10">
        <v>42389</v>
      </c>
      <c r="AB191" s="13">
        <v>50.630001</v>
      </c>
      <c r="AC191" s="13">
        <v>49.169998</v>
      </c>
      <c r="AD191" s="13"/>
      <c r="AE191" s="1"/>
      <c r="AF191" s="1"/>
      <c r="AG191" s="14">
        <v>63.389999000000003</v>
      </c>
      <c r="AH191" s="14">
        <v>60.75</v>
      </c>
      <c r="AI191" s="13"/>
      <c r="AJ191" s="1"/>
      <c r="AK191" s="1"/>
      <c r="AL191">
        <v>17.440000999999999</v>
      </c>
      <c r="AM191">
        <v>16.379999000000002</v>
      </c>
      <c r="AN191" s="13"/>
      <c r="AO191" s="1"/>
      <c r="AP191" s="1"/>
      <c r="AQ191">
        <v>69.050003000000004</v>
      </c>
      <c r="AR191">
        <v>67.730002999999996</v>
      </c>
      <c r="AS191" s="13"/>
      <c r="AT191" s="1"/>
      <c r="AU191" s="1"/>
      <c r="AV191">
        <v>82.389999000000003</v>
      </c>
      <c r="AW191">
        <v>79.529999000000004</v>
      </c>
      <c r="AX191" s="13"/>
      <c r="AY191" s="1"/>
      <c r="AZ191" s="1"/>
      <c r="BA191">
        <v>72.989998</v>
      </c>
      <c r="BB191">
        <v>70.650002000000001</v>
      </c>
      <c r="BC191" s="13"/>
      <c r="BD191" s="1"/>
      <c r="BE191" s="1"/>
      <c r="BF191">
        <v>60.18</v>
      </c>
      <c r="BG191">
        <v>58.240001999999997</v>
      </c>
      <c r="BH191" s="13"/>
      <c r="BI191" s="1"/>
      <c r="BJ191" s="1"/>
      <c r="BK191">
        <v>52.650002000000001</v>
      </c>
      <c r="BL191">
        <v>50.52</v>
      </c>
      <c r="BM191" s="13"/>
      <c r="BN191" s="1"/>
      <c r="BO191" s="1"/>
      <c r="BP191">
        <v>107.540001</v>
      </c>
      <c r="BQ191">
        <v>103.349998</v>
      </c>
      <c r="BR191" s="13"/>
      <c r="BS191" s="1"/>
      <c r="BT191" s="1"/>
      <c r="BU191">
        <v>54.669998</v>
      </c>
      <c r="BV191">
        <v>52.16</v>
      </c>
      <c r="BW191" s="13"/>
      <c r="BY191" s="1"/>
      <c r="BZ191">
        <v>24.74</v>
      </c>
      <c r="CA191">
        <v>23.370000999999998</v>
      </c>
      <c r="CB191" s="13"/>
      <c r="CC191" s="1"/>
      <c r="CD191" s="1"/>
      <c r="CE191">
        <v>64.980002999999996</v>
      </c>
      <c r="CF191">
        <v>62.52</v>
      </c>
      <c r="CG191" s="13"/>
      <c r="CH191" s="1"/>
      <c r="CI191" s="1"/>
      <c r="CJ191">
        <v>37.740001999999997</v>
      </c>
      <c r="CK191">
        <v>36.229999999999997</v>
      </c>
      <c r="CL191" s="13"/>
      <c r="CM191" s="1"/>
      <c r="CN191" s="1"/>
      <c r="CO191">
        <v>33.549999</v>
      </c>
      <c r="CP191">
        <v>32.18</v>
      </c>
      <c r="CQ191" s="13"/>
      <c r="CR191" s="1"/>
      <c r="CS191" s="1"/>
      <c r="CT191">
        <v>47.990001999999997</v>
      </c>
      <c r="CU191">
        <v>46.66</v>
      </c>
      <c r="CV191" s="13"/>
      <c r="CW191" s="1"/>
      <c r="CX191" s="1"/>
      <c r="CY191">
        <v>41.610000999999997</v>
      </c>
      <c r="CZ191">
        <v>39.43</v>
      </c>
      <c r="DA191" s="13"/>
      <c r="DB191" s="1"/>
      <c r="DC191" s="1"/>
      <c r="DD191">
        <v>54.23</v>
      </c>
      <c r="DE191">
        <v>52.59</v>
      </c>
      <c r="DF191" s="13"/>
      <c r="DG191" s="1"/>
      <c r="DH191" s="1"/>
      <c r="DI191">
        <v>37.240001999999997</v>
      </c>
      <c r="DJ191">
        <v>36.110000999999997</v>
      </c>
      <c r="DK191" s="13"/>
      <c r="DM191" s="1"/>
    </row>
    <row r="192" spans="27:117">
      <c r="AA192" s="10">
        <v>42388</v>
      </c>
      <c r="AB192" s="13">
        <v>50.650002000000001</v>
      </c>
      <c r="AC192" s="13">
        <v>49.419998</v>
      </c>
      <c r="AD192" s="13"/>
      <c r="AE192" s="1"/>
      <c r="AF192" s="1"/>
      <c r="AG192" s="14">
        <v>63.25</v>
      </c>
      <c r="AH192" s="14">
        <v>62.419998</v>
      </c>
      <c r="AI192" s="13"/>
      <c r="AJ192" s="1"/>
      <c r="AK192" s="1"/>
      <c r="AL192">
        <v>17.530000999999999</v>
      </c>
      <c r="AM192">
        <v>17.32</v>
      </c>
      <c r="AN192" s="13"/>
      <c r="AO192" s="1"/>
      <c r="AP192" s="1"/>
      <c r="AQ192">
        <v>69.260002</v>
      </c>
      <c r="AR192">
        <v>67.650002000000001</v>
      </c>
      <c r="AS192" s="13"/>
      <c r="AT192" s="1"/>
      <c r="AU192" s="1"/>
      <c r="AV192">
        <v>82.43</v>
      </c>
      <c r="AW192">
        <v>80.870002999999997</v>
      </c>
      <c r="AX192" s="13"/>
      <c r="AY192" s="1"/>
      <c r="AZ192" s="1"/>
      <c r="BA192">
        <v>73.360000999999997</v>
      </c>
      <c r="BB192">
        <v>72.089995999999999</v>
      </c>
      <c r="BC192" s="13"/>
      <c r="BD192" s="1"/>
      <c r="BE192" s="1"/>
      <c r="BF192">
        <v>60.310001</v>
      </c>
      <c r="BG192">
        <v>59.080002</v>
      </c>
      <c r="BH192" s="13"/>
      <c r="BI192" s="1"/>
      <c r="BJ192" s="1"/>
      <c r="BK192">
        <v>52.75</v>
      </c>
      <c r="BL192">
        <v>51.380001</v>
      </c>
      <c r="BM192" s="13"/>
      <c r="BN192" s="1"/>
      <c r="BO192" s="1"/>
      <c r="BP192">
        <v>108.239998</v>
      </c>
      <c r="BQ192">
        <v>105.129997</v>
      </c>
      <c r="BR192" s="13"/>
      <c r="BS192" s="1"/>
      <c r="BT192" s="1"/>
      <c r="BU192">
        <v>54.75</v>
      </c>
      <c r="BV192">
        <v>53.330002</v>
      </c>
      <c r="BW192" s="13"/>
      <c r="BY192" s="1"/>
      <c r="BZ192">
        <v>25.32</v>
      </c>
      <c r="CA192">
        <v>24.67</v>
      </c>
      <c r="CB192" s="13"/>
      <c r="CC192" s="1"/>
      <c r="CD192" s="1"/>
      <c r="CE192">
        <v>65.139999000000003</v>
      </c>
      <c r="CF192">
        <v>63.939999</v>
      </c>
      <c r="CG192" s="13"/>
      <c r="CH192" s="1"/>
      <c r="CI192" s="1"/>
      <c r="CJ192">
        <v>37.849997999999999</v>
      </c>
      <c r="CK192">
        <v>36.770000000000003</v>
      </c>
      <c r="CL192" s="13"/>
      <c r="CM192" s="1"/>
      <c r="CN192" s="1"/>
      <c r="CO192">
        <v>33.759998000000003</v>
      </c>
      <c r="CP192">
        <v>33.259998000000003</v>
      </c>
      <c r="CQ192" s="13"/>
      <c r="CR192" s="1"/>
      <c r="CS192" s="1"/>
      <c r="CT192">
        <v>48.040000999999997</v>
      </c>
      <c r="CU192">
        <v>47.18</v>
      </c>
      <c r="CV192" s="13"/>
      <c r="CW192" s="1"/>
      <c r="CX192" s="1"/>
      <c r="CY192">
        <v>41.779998999999997</v>
      </c>
      <c r="CZ192">
        <v>41.209999000000003</v>
      </c>
      <c r="DA192" s="13"/>
      <c r="DB192" s="1"/>
      <c r="DC192" s="1"/>
      <c r="DD192">
        <v>54.349997999999999</v>
      </c>
      <c r="DE192">
        <v>52.650002000000001</v>
      </c>
      <c r="DF192" s="13"/>
      <c r="DG192" s="1"/>
      <c r="DH192" s="1"/>
      <c r="DI192">
        <v>37.349997999999999</v>
      </c>
      <c r="DJ192">
        <v>36.57</v>
      </c>
      <c r="DK192" s="13"/>
      <c r="DM192" s="1"/>
    </row>
    <row r="193" spans="27:117">
      <c r="AA193" s="10">
        <v>42384</v>
      </c>
      <c r="AB193" s="13">
        <v>50.080002</v>
      </c>
      <c r="AC193" s="13">
        <v>48.790000999999997</v>
      </c>
      <c r="AD193" s="13"/>
      <c r="AE193" s="1"/>
      <c r="AF193" s="1"/>
      <c r="AG193" s="14">
        <v>62.43</v>
      </c>
      <c r="AH193" s="14">
        <v>61.279998999999997</v>
      </c>
      <c r="AI193" s="13"/>
      <c r="AJ193" s="1"/>
      <c r="AK193" s="1"/>
      <c r="AL193">
        <v>17.43</v>
      </c>
      <c r="AM193">
        <v>17.010000000000002</v>
      </c>
      <c r="AN193" s="13"/>
      <c r="AO193" s="1"/>
      <c r="AP193" s="1"/>
      <c r="AQ193">
        <v>67.870002999999997</v>
      </c>
      <c r="AR193">
        <v>66.5</v>
      </c>
      <c r="AS193" s="13"/>
      <c r="AT193" s="1"/>
      <c r="AU193" s="1"/>
      <c r="AV193">
        <v>81.199996999999996</v>
      </c>
      <c r="AW193">
        <v>79.819999999999993</v>
      </c>
      <c r="AX193" s="13"/>
      <c r="AY193" s="1"/>
      <c r="AZ193" s="1"/>
      <c r="BA193">
        <v>72.300003000000004</v>
      </c>
      <c r="BB193">
        <v>71.019997000000004</v>
      </c>
      <c r="BC193" s="13"/>
      <c r="BD193" s="1"/>
      <c r="BE193" s="1"/>
      <c r="BF193">
        <v>59.48</v>
      </c>
      <c r="BG193">
        <v>58.59</v>
      </c>
      <c r="BH193" s="13"/>
      <c r="BI193" s="1"/>
      <c r="BJ193" s="1"/>
      <c r="BK193">
        <v>51.720001000000003</v>
      </c>
      <c r="BL193">
        <v>50.82</v>
      </c>
      <c r="BM193" s="13"/>
      <c r="BN193" s="1"/>
      <c r="BO193" s="1"/>
      <c r="BP193">
        <v>105.889999</v>
      </c>
      <c r="BQ193">
        <v>104.08000199999999</v>
      </c>
      <c r="BR193" s="13"/>
      <c r="BS193" s="1"/>
      <c r="BT193" s="1"/>
      <c r="BU193">
        <v>54.330002</v>
      </c>
      <c r="BV193">
        <v>52.68</v>
      </c>
      <c r="BW193" s="13"/>
      <c r="BY193" s="1"/>
      <c r="BZ193">
        <v>25.01</v>
      </c>
      <c r="CA193">
        <v>24.450001</v>
      </c>
      <c r="CB193" s="13"/>
      <c r="CC193" s="1"/>
      <c r="CD193" s="1"/>
      <c r="CE193">
        <v>64.819999999999993</v>
      </c>
      <c r="CF193">
        <v>63.130001</v>
      </c>
      <c r="CG193" s="13"/>
      <c r="CH193" s="1"/>
      <c r="CI193" s="1"/>
      <c r="CJ193">
        <v>36.909999999999997</v>
      </c>
      <c r="CK193">
        <v>36.029998999999997</v>
      </c>
      <c r="CL193" s="13"/>
      <c r="CM193" s="1"/>
      <c r="CN193" s="1"/>
      <c r="CO193">
        <v>33.990001999999997</v>
      </c>
      <c r="CP193">
        <v>32.970001000000003</v>
      </c>
      <c r="CQ193" s="13"/>
      <c r="CR193" s="1"/>
      <c r="CS193" s="1"/>
      <c r="CT193">
        <v>47.240001999999997</v>
      </c>
      <c r="CU193">
        <v>46.540000999999997</v>
      </c>
      <c r="CV193" s="13"/>
      <c r="CW193" s="1"/>
      <c r="CX193" s="1"/>
      <c r="CY193">
        <v>41.970001000000003</v>
      </c>
      <c r="CZ193">
        <v>40.450001</v>
      </c>
      <c r="DA193" s="13"/>
      <c r="DB193" s="1"/>
      <c r="DC193" s="1"/>
      <c r="DD193">
        <v>52.919998</v>
      </c>
      <c r="DE193">
        <v>52.02</v>
      </c>
      <c r="DF193" s="13"/>
      <c r="DG193" s="1"/>
      <c r="DH193" s="1"/>
      <c r="DI193">
        <v>36.729999999999997</v>
      </c>
      <c r="DJ193">
        <v>35.990001999999997</v>
      </c>
      <c r="DK193" s="13"/>
      <c r="DM193" s="1"/>
    </row>
    <row r="194" spans="27:117">
      <c r="AA194" s="10">
        <v>42383</v>
      </c>
      <c r="AB194" s="13">
        <v>50.66</v>
      </c>
      <c r="AC194" s="13">
        <v>49.560001</v>
      </c>
      <c r="AD194" s="13"/>
      <c r="AE194" s="1"/>
      <c r="AF194" s="1"/>
      <c r="AG194" s="14">
        <v>63.040000999999997</v>
      </c>
      <c r="AH194" s="14">
        <v>61.419998</v>
      </c>
      <c r="AI194" s="13"/>
      <c r="AJ194" s="1"/>
      <c r="AK194" s="1"/>
      <c r="AL194">
        <v>17.709999</v>
      </c>
      <c r="AM194">
        <v>16.940000999999999</v>
      </c>
      <c r="AN194" s="13"/>
      <c r="AO194" s="1"/>
      <c r="AP194" s="1"/>
      <c r="AQ194">
        <v>67.989998</v>
      </c>
      <c r="AR194">
        <v>66.080001999999993</v>
      </c>
      <c r="AS194" s="13"/>
      <c r="AT194" s="1"/>
      <c r="AU194" s="1"/>
      <c r="AV194">
        <v>81.819999999999993</v>
      </c>
      <c r="AW194">
        <v>79.870002999999997</v>
      </c>
      <c r="AX194" s="13"/>
      <c r="AY194" s="1"/>
      <c r="AZ194" s="1"/>
      <c r="BA194">
        <v>72.830001999999993</v>
      </c>
      <c r="BB194">
        <v>71.160004000000001</v>
      </c>
      <c r="BC194" s="13"/>
      <c r="BD194" s="1"/>
      <c r="BE194" s="1"/>
      <c r="BF194">
        <v>60.060001</v>
      </c>
      <c r="BG194">
        <v>58.889999000000003</v>
      </c>
      <c r="BH194" s="13"/>
      <c r="BI194" s="1"/>
      <c r="BJ194" s="1"/>
      <c r="BK194">
        <v>52.220001000000003</v>
      </c>
      <c r="BL194">
        <v>50.57</v>
      </c>
      <c r="BM194" s="13"/>
      <c r="BN194" s="1"/>
      <c r="BO194" s="1"/>
      <c r="BP194">
        <v>106.769997</v>
      </c>
      <c r="BQ194">
        <v>104.379997</v>
      </c>
      <c r="BR194" s="13"/>
      <c r="BS194" s="1"/>
      <c r="BT194" s="1"/>
      <c r="BU194">
        <v>54.970001000000003</v>
      </c>
      <c r="BV194">
        <v>53.630001</v>
      </c>
      <c r="BW194" s="13"/>
      <c r="BY194" s="1"/>
      <c r="BZ194">
        <v>25.389999</v>
      </c>
      <c r="CA194">
        <v>24.58</v>
      </c>
      <c r="CB194" s="13"/>
      <c r="CC194" s="1"/>
      <c r="CD194" s="1"/>
      <c r="CE194">
        <v>65.279999000000004</v>
      </c>
      <c r="CF194">
        <v>63.639999000000003</v>
      </c>
      <c r="CG194" s="13"/>
      <c r="CH194" s="1"/>
      <c r="CI194" s="1"/>
      <c r="CJ194">
        <v>37.57</v>
      </c>
      <c r="CK194">
        <v>36.290000999999997</v>
      </c>
      <c r="CL194" s="13"/>
      <c r="CM194" s="1"/>
      <c r="CN194" s="1"/>
      <c r="CO194">
        <v>34.409999999999997</v>
      </c>
      <c r="CP194">
        <v>33.229999999999997</v>
      </c>
      <c r="CQ194" s="13"/>
      <c r="CR194" s="1"/>
      <c r="CS194" s="1"/>
      <c r="CT194">
        <v>47.549999</v>
      </c>
      <c r="CU194">
        <v>46.439999</v>
      </c>
      <c r="CV194" s="13"/>
      <c r="CW194" s="1"/>
      <c r="CX194" s="1"/>
      <c r="CY194">
        <v>42.23</v>
      </c>
      <c r="CZ194">
        <v>40.610000999999997</v>
      </c>
      <c r="DA194" s="13"/>
      <c r="DB194" s="1"/>
      <c r="DC194" s="1"/>
      <c r="DD194">
        <v>53.400002000000001</v>
      </c>
      <c r="DE194">
        <v>51.41</v>
      </c>
      <c r="DF194" s="13"/>
      <c r="DG194" s="1"/>
      <c r="DH194" s="1"/>
      <c r="DI194">
        <v>36.93</v>
      </c>
      <c r="DJ194">
        <v>36.150002000000001</v>
      </c>
      <c r="DK194" s="13"/>
      <c r="DM194" s="1"/>
    </row>
    <row r="195" spans="27:117">
      <c r="AA195" s="10">
        <v>42382</v>
      </c>
      <c r="AB195" s="13">
        <v>50.630001</v>
      </c>
      <c r="AC195" s="13">
        <v>49.669998</v>
      </c>
      <c r="AD195" s="13"/>
      <c r="AE195" s="1"/>
      <c r="AF195" s="1"/>
      <c r="AG195" s="14">
        <v>62.330002</v>
      </c>
      <c r="AH195" s="14">
        <v>61.509998000000003</v>
      </c>
      <c r="AI195" s="13"/>
      <c r="AJ195" s="1"/>
      <c r="AK195" s="1"/>
      <c r="AL195">
        <v>17.510000000000002</v>
      </c>
      <c r="AM195">
        <v>17.030000999999999</v>
      </c>
      <c r="AN195" s="13"/>
      <c r="AO195" s="1"/>
      <c r="AP195" s="1"/>
      <c r="AQ195">
        <v>66.989998</v>
      </c>
      <c r="AR195">
        <v>65.589995999999999</v>
      </c>
      <c r="AS195" s="13"/>
      <c r="AT195" s="1"/>
      <c r="AU195" s="1"/>
      <c r="AV195">
        <v>81.180000000000007</v>
      </c>
      <c r="AW195">
        <v>80.010002</v>
      </c>
      <c r="AX195" s="13"/>
      <c r="AY195" s="1"/>
      <c r="AZ195" s="1"/>
      <c r="BA195">
        <v>72.349997999999999</v>
      </c>
      <c r="BB195">
        <v>71.290001000000004</v>
      </c>
      <c r="BC195" s="13"/>
      <c r="BD195" s="1"/>
      <c r="BE195" s="1"/>
      <c r="BF195">
        <v>60.200001</v>
      </c>
      <c r="BG195">
        <v>59.240001999999997</v>
      </c>
      <c r="BH195" s="13"/>
      <c r="BI195" s="1"/>
      <c r="BJ195" s="1"/>
      <c r="BK195">
        <v>51.73</v>
      </c>
      <c r="BL195">
        <v>51.060001</v>
      </c>
      <c r="BM195" s="13"/>
      <c r="BN195" s="1"/>
      <c r="BO195" s="1"/>
      <c r="BP195">
        <v>105.889999</v>
      </c>
      <c r="BQ195">
        <v>103.739998</v>
      </c>
      <c r="BR195" s="13"/>
      <c r="BS195" s="1"/>
      <c r="BT195" s="1"/>
      <c r="BU195">
        <v>54.400002000000001</v>
      </c>
      <c r="BV195">
        <v>53.349997999999999</v>
      </c>
      <c r="BW195" s="13"/>
      <c r="BY195" s="1"/>
      <c r="BZ195">
        <v>25.280000999999999</v>
      </c>
      <c r="CA195">
        <v>24.48</v>
      </c>
      <c r="CB195" s="13"/>
      <c r="CC195" s="1"/>
      <c r="CD195" s="1"/>
      <c r="CE195">
        <v>64.75</v>
      </c>
      <c r="CF195">
        <v>63.560001</v>
      </c>
      <c r="CG195" s="13"/>
      <c r="CH195" s="1"/>
      <c r="CI195" s="1"/>
      <c r="CJ195">
        <v>36.950001</v>
      </c>
      <c r="CK195">
        <v>36.18</v>
      </c>
      <c r="CL195" s="13"/>
      <c r="CM195" s="1"/>
      <c r="CN195" s="1"/>
      <c r="CO195">
        <v>33.849997999999999</v>
      </c>
      <c r="CP195">
        <v>33.400002000000001</v>
      </c>
      <c r="CQ195" s="13"/>
      <c r="CR195" s="1"/>
      <c r="CS195" s="1"/>
      <c r="CT195">
        <v>47.029998999999997</v>
      </c>
      <c r="CU195">
        <v>46.439999</v>
      </c>
      <c r="CV195" s="13"/>
      <c r="CW195" s="1"/>
      <c r="CX195" s="1"/>
      <c r="CY195">
        <v>41.669998</v>
      </c>
      <c r="CZ195">
        <v>40.590000000000003</v>
      </c>
      <c r="DA195" s="13"/>
      <c r="DB195" s="1"/>
      <c r="DC195" s="1"/>
      <c r="DD195">
        <v>52.459999000000003</v>
      </c>
      <c r="DE195">
        <v>51.669998</v>
      </c>
      <c r="DF195" s="13"/>
      <c r="DG195" s="1"/>
      <c r="DH195" s="1"/>
      <c r="DI195">
        <v>36.68</v>
      </c>
      <c r="DJ195">
        <v>36.049999</v>
      </c>
      <c r="DK195" s="13"/>
      <c r="DM195" s="1"/>
    </row>
    <row r="196" spans="27:117">
      <c r="AA196" s="10">
        <v>42381</v>
      </c>
      <c r="AB196" s="13">
        <v>50.970001000000003</v>
      </c>
      <c r="AC196" s="13">
        <v>49.720001000000003</v>
      </c>
      <c r="AD196" s="13"/>
      <c r="AE196" s="1"/>
      <c r="AF196" s="1"/>
      <c r="AG196" s="14">
        <v>62.540000999999997</v>
      </c>
      <c r="AH196" s="14">
        <v>61.200001</v>
      </c>
      <c r="AI196" s="13"/>
      <c r="AJ196" s="1"/>
      <c r="AK196" s="1"/>
      <c r="AL196">
        <v>17.690000999999999</v>
      </c>
      <c r="AM196">
        <v>17.129999000000002</v>
      </c>
      <c r="AN196" s="13"/>
      <c r="AO196" s="1"/>
      <c r="AP196" s="1"/>
      <c r="AQ196">
        <v>66.690002000000007</v>
      </c>
      <c r="AR196">
        <v>65.110000999999997</v>
      </c>
      <c r="AS196" s="13"/>
      <c r="AT196" s="1"/>
      <c r="AU196" s="1"/>
      <c r="AV196">
        <v>79.769997000000004</v>
      </c>
      <c r="AW196">
        <v>78.459998999999996</v>
      </c>
      <c r="AX196" s="13"/>
      <c r="AY196" s="1"/>
      <c r="AZ196" s="1"/>
      <c r="BA196">
        <v>72.260002</v>
      </c>
      <c r="BB196">
        <v>70.599997999999999</v>
      </c>
      <c r="BC196" s="13"/>
      <c r="BD196" s="1"/>
      <c r="BE196" s="1"/>
      <c r="BF196">
        <v>59.57</v>
      </c>
      <c r="BG196">
        <v>58.34</v>
      </c>
      <c r="BH196" s="13"/>
      <c r="BI196" s="1"/>
      <c r="BJ196" s="1"/>
      <c r="BK196">
        <v>51.439999</v>
      </c>
      <c r="BL196">
        <v>50.400002000000001</v>
      </c>
      <c r="BM196" s="13"/>
      <c r="BN196" s="1"/>
      <c r="BO196" s="1"/>
      <c r="BP196">
        <v>106.08000199999999</v>
      </c>
      <c r="BQ196">
        <v>104.339996</v>
      </c>
      <c r="BR196" s="13"/>
      <c r="BS196" s="1"/>
      <c r="BT196" s="1"/>
      <c r="BU196">
        <v>53.689999</v>
      </c>
      <c r="BV196">
        <v>52.779998999999997</v>
      </c>
      <c r="BW196" s="13"/>
      <c r="BY196" s="1"/>
      <c r="BZ196">
        <v>25.639999</v>
      </c>
      <c r="CA196">
        <v>24.74</v>
      </c>
      <c r="CB196" s="13"/>
      <c r="CC196" s="1"/>
      <c r="CD196" s="1"/>
      <c r="CE196">
        <v>64.559997999999993</v>
      </c>
      <c r="CF196">
        <v>62.849997999999999</v>
      </c>
      <c r="CG196" s="13"/>
      <c r="CH196" s="1"/>
      <c r="CI196" s="1"/>
      <c r="CJ196">
        <v>36.689999</v>
      </c>
      <c r="CK196">
        <v>35.439999</v>
      </c>
      <c r="CL196" s="13"/>
      <c r="CM196" s="1"/>
      <c r="CN196" s="1"/>
      <c r="CO196">
        <v>33.990001999999997</v>
      </c>
      <c r="CP196">
        <v>33.259998000000003</v>
      </c>
      <c r="CQ196" s="13"/>
      <c r="CR196" s="1"/>
      <c r="CS196" s="1"/>
      <c r="CT196">
        <v>46.919998</v>
      </c>
      <c r="CU196">
        <v>46</v>
      </c>
      <c r="CV196" s="13"/>
      <c r="CW196" s="1"/>
      <c r="CX196" s="1"/>
      <c r="CY196">
        <v>42.259998000000003</v>
      </c>
      <c r="CZ196">
        <v>41.290000999999997</v>
      </c>
      <c r="DA196" s="13"/>
      <c r="DB196" s="1"/>
      <c r="DC196" s="1"/>
      <c r="DD196">
        <v>52.119999</v>
      </c>
      <c r="DE196">
        <v>51.02</v>
      </c>
      <c r="DF196" s="13"/>
      <c r="DG196" s="1"/>
      <c r="DH196" s="1"/>
      <c r="DI196">
        <v>36.700001</v>
      </c>
      <c r="DJ196">
        <v>35.869999</v>
      </c>
      <c r="DK196" s="13"/>
      <c r="DM196" s="1"/>
    </row>
    <row r="197" spans="27:117">
      <c r="AA197" s="10">
        <v>42380</v>
      </c>
      <c r="AB197" s="13">
        <v>50.810001</v>
      </c>
      <c r="AC197" s="13">
        <v>50.009998000000003</v>
      </c>
      <c r="AD197" s="13"/>
      <c r="AE197" s="1"/>
      <c r="AF197" s="1"/>
      <c r="AG197" s="14">
        <v>62.450001</v>
      </c>
      <c r="AH197" s="14">
        <v>61.810001</v>
      </c>
      <c r="AI197" s="13"/>
      <c r="AJ197" s="1"/>
      <c r="AK197" s="1"/>
      <c r="AL197">
        <v>17.879999000000002</v>
      </c>
      <c r="AM197">
        <v>17.440000999999999</v>
      </c>
      <c r="AN197" s="13"/>
      <c r="AO197" s="1"/>
      <c r="AP197" s="1"/>
      <c r="AQ197">
        <v>67.449996999999996</v>
      </c>
      <c r="AR197">
        <v>66.169998000000007</v>
      </c>
      <c r="AS197" s="13"/>
      <c r="AT197" s="1"/>
      <c r="AU197" s="1"/>
      <c r="AV197">
        <v>79.370002999999997</v>
      </c>
      <c r="AW197">
        <v>78.580001999999993</v>
      </c>
      <c r="AX197" s="13"/>
      <c r="AY197" s="1"/>
      <c r="AZ197" s="1"/>
      <c r="BA197">
        <v>72.050003000000004</v>
      </c>
      <c r="BB197">
        <v>71.199996999999996</v>
      </c>
      <c r="BC197" s="13"/>
      <c r="BD197" s="1"/>
      <c r="BE197" s="1"/>
      <c r="BF197">
        <v>59.360000999999997</v>
      </c>
      <c r="BG197">
        <v>58.27</v>
      </c>
      <c r="BH197" s="13"/>
      <c r="BI197" s="1"/>
      <c r="BJ197" s="1"/>
      <c r="BK197">
        <v>51.32</v>
      </c>
      <c r="BL197">
        <v>50.580002</v>
      </c>
      <c r="BM197" s="13"/>
      <c r="BN197" s="1"/>
      <c r="BO197" s="1"/>
      <c r="BP197">
        <v>106.599998</v>
      </c>
      <c r="BQ197">
        <v>105.110001</v>
      </c>
      <c r="BR197" s="13"/>
      <c r="BS197" s="1"/>
      <c r="BT197" s="1"/>
      <c r="BU197">
        <v>53.490001999999997</v>
      </c>
      <c r="BV197">
        <v>52.959999000000003</v>
      </c>
      <c r="BW197" s="13"/>
      <c r="BY197" s="1"/>
      <c r="BZ197">
        <v>25.76</v>
      </c>
      <c r="CA197">
        <v>25.309999000000001</v>
      </c>
      <c r="CB197" s="13"/>
      <c r="CC197" s="1"/>
      <c r="CD197" s="1"/>
      <c r="CE197">
        <v>65.150002000000001</v>
      </c>
      <c r="CF197">
        <v>64.190002000000007</v>
      </c>
      <c r="CG197" s="13"/>
      <c r="CH197" s="1"/>
      <c r="CI197" s="1"/>
      <c r="CJ197">
        <v>36.389999000000003</v>
      </c>
      <c r="CK197">
        <v>35.93</v>
      </c>
      <c r="CL197" s="13"/>
      <c r="CM197" s="1"/>
      <c r="CN197" s="1"/>
      <c r="CO197">
        <v>34.009998000000003</v>
      </c>
      <c r="CP197">
        <v>33.450001</v>
      </c>
      <c r="CQ197" s="13"/>
      <c r="CR197" s="1"/>
      <c r="CS197" s="1"/>
      <c r="CT197">
        <v>47.009998000000003</v>
      </c>
      <c r="CU197">
        <v>46.630001</v>
      </c>
      <c r="CV197" s="13"/>
      <c r="CW197" s="1"/>
      <c r="CX197" s="1"/>
      <c r="CY197">
        <v>42.34</v>
      </c>
      <c r="CZ197">
        <v>41.810001</v>
      </c>
      <c r="DA197" s="13"/>
      <c r="DB197" s="1"/>
      <c r="DC197" s="1"/>
      <c r="DD197">
        <v>52.189999</v>
      </c>
      <c r="DE197">
        <v>51.540000999999997</v>
      </c>
      <c r="DF197" s="13"/>
      <c r="DG197" s="1"/>
      <c r="DH197" s="1"/>
      <c r="DI197">
        <v>36.610000999999997</v>
      </c>
      <c r="DJ197">
        <v>36.209999000000003</v>
      </c>
      <c r="DK197" s="13"/>
      <c r="DM197" s="1"/>
    </row>
    <row r="198" spans="27:117">
      <c r="AA198" s="10">
        <v>42377</v>
      </c>
      <c r="AB198" s="13">
        <v>50.52</v>
      </c>
      <c r="AC198" s="13">
        <v>49.700001</v>
      </c>
      <c r="AD198" s="13"/>
      <c r="AE198" s="1"/>
      <c r="AF198" s="1"/>
      <c r="AG198" s="14">
        <v>62.599997999999999</v>
      </c>
      <c r="AH198" s="14">
        <v>61.889999000000003</v>
      </c>
      <c r="AI198" s="13"/>
      <c r="AJ198" s="1"/>
      <c r="AK198" s="1"/>
      <c r="AL198">
        <v>18.239999999999998</v>
      </c>
      <c r="AM198">
        <v>17.77</v>
      </c>
      <c r="AN198" s="13"/>
      <c r="AO198" s="1"/>
      <c r="AP198" s="1"/>
      <c r="AQ198">
        <v>66.800003000000004</v>
      </c>
      <c r="AR198">
        <v>65.720000999999996</v>
      </c>
      <c r="AS198" s="13"/>
      <c r="AT198" s="1"/>
      <c r="AU198" s="1"/>
      <c r="AV198">
        <v>79.160004000000001</v>
      </c>
      <c r="AW198">
        <v>78.25</v>
      </c>
      <c r="AX198" s="13"/>
      <c r="AY198" s="1"/>
      <c r="AZ198" s="1"/>
      <c r="BA198">
        <v>71.680000000000007</v>
      </c>
      <c r="BB198">
        <v>70.910004000000001</v>
      </c>
      <c r="BC198" s="13"/>
      <c r="BD198" s="1"/>
      <c r="BE198" s="1"/>
      <c r="BF198">
        <v>58.700001</v>
      </c>
      <c r="BG198">
        <v>58.18</v>
      </c>
      <c r="BH198" s="13"/>
      <c r="BI198" s="1"/>
      <c r="BJ198" s="1"/>
      <c r="BK198">
        <v>51.490001999999997</v>
      </c>
      <c r="BL198">
        <v>50.720001000000003</v>
      </c>
      <c r="BM198" s="13"/>
      <c r="BN198" s="1"/>
      <c r="BO198" s="1"/>
      <c r="BP198">
        <v>105.900002</v>
      </c>
      <c r="BQ198">
        <v>104.75</v>
      </c>
      <c r="BR198" s="13"/>
      <c r="BS198" s="1"/>
      <c r="BT198" s="1"/>
      <c r="BU198">
        <v>53.959999000000003</v>
      </c>
      <c r="BV198">
        <v>52.75</v>
      </c>
      <c r="BW198" s="13"/>
      <c r="BY198" s="1"/>
      <c r="BZ198">
        <v>25.709999</v>
      </c>
      <c r="CA198">
        <v>25.18</v>
      </c>
      <c r="CB198" s="13"/>
      <c r="CC198" s="1"/>
      <c r="CD198" s="1"/>
      <c r="CE198">
        <v>65.019997000000004</v>
      </c>
      <c r="CF198">
        <v>63.93</v>
      </c>
      <c r="CG198" s="13"/>
      <c r="CH198" s="1"/>
      <c r="CI198" s="1"/>
      <c r="CJ198">
        <v>36.330002</v>
      </c>
      <c r="CK198">
        <v>35.860000999999997</v>
      </c>
      <c r="CL198" s="13"/>
      <c r="CM198" s="1"/>
      <c r="CN198" s="1"/>
      <c r="CO198">
        <v>33.82</v>
      </c>
      <c r="CP198">
        <v>33.330002</v>
      </c>
      <c r="CQ198" s="13"/>
      <c r="CR198" s="1"/>
      <c r="CS198" s="1"/>
      <c r="CT198">
        <v>47.290000999999997</v>
      </c>
      <c r="CU198">
        <v>46.560001</v>
      </c>
      <c r="CV198" s="13"/>
      <c r="CW198" s="1"/>
      <c r="CX198" s="1"/>
      <c r="CY198">
        <v>42.380001</v>
      </c>
      <c r="CZ198">
        <v>41.77</v>
      </c>
      <c r="DA198" s="13"/>
      <c r="DB198" s="1"/>
      <c r="DC198" s="1"/>
      <c r="DD198">
        <v>52.169998</v>
      </c>
      <c r="DE198">
        <v>51.369999</v>
      </c>
      <c r="DF198" s="13"/>
      <c r="DG198" s="1"/>
      <c r="DH198" s="1"/>
      <c r="DI198">
        <v>36.75</v>
      </c>
      <c r="DJ198">
        <v>36.080002</v>
      </c>
      <c r="DK198" s="13"/>
      <c r="DM198" s="1"/>
    </row>
    <row r="199" spans="27:117">
      <c r="AA199" s="10">
        <v>42376</v>
      </c>
      <c r="AB199" s="13">
        <v>50.200001</v>
      </c>
      <c r="AC199" s="13">
        <v>49.43</v>
      </c>
      <c r="AD199" s="13"/>
      <c r="AE199" s="1"/>
      <c r="AF199" s="1"/>
      <c r="AG199" s="14">
        <v>62.689999</v>
      </c>
      <c r="AH199" s="14">
        <v>61.900002000000001</v>
      </c>
      <c r="AI199" s="13"/>
      <c r="AJ199" s="1"/>
      <c r="AK199" s="1"/>
      <c r="AL199">
        <v>18.110001</v>
      </c>
      <c r="AM199">
        <v>17.780000999999999</v>
      </c>
      <c r="AN199" s="13"/>
      <c r="AO199" s="1"/>
      <c r="AP199" s="1"/>
      <c r="AQ199">
        <v>65.959998999999996</v>
      </c>
      <c r="AR199">
        <v>64.5</v>
      </c>
      <c r="AS199" s="13"/>
      <c r="AT199" s="1"/>
      <c r="AU199" s="1"/>
      <c r="AV199">
        <v>79.489998</v>
      </c>
      <c r="AW199">
        <v>78.489998</v>
      </c>
      <c r="AX199" s="13"/>
      <c r="AY199" s="1"/>
      <c r="AZ199" s="1"/>
      <c r="BA199">
        <v>71.769997000000004</v>
      </c>
      <c r="BB199">
        <v>70.889999000000003</v>
      </c>
      <c r="BC199" s="13"/>
      <c r="BD199" s="1"/>
      <c r="BE199" s="1"/>
      <c r="BF199">
        <v>58.630001</v>
      </c>
      <c r="BG199">
        <v>57.970001000000003</v>
      </c>
      <c r="BH199" s="13"/>
      <c r="BI199" s="1"/>
      <c r="BJ199" s="1"/>
      <c r="BK199">
        <v>51.290000999999997</v>
      </c>
      <c r="BL199">
        <v>50.759998000000003</v>
      </c>
      <c r="BM199" s="13"/>
      <c r="BN199" s="1"/>
      <c r="BO199" s="1"/>
      <c r="BP199">
        <v>105.05999799999999</v>
      </c>
      <c r="BQ199">
        <v>103.029999</v>
      </c>
      <c r="BR199" s="13"/>
      <c r="BS199" s="1"/>
      <c r="BT199" s="1"/>
      <c r="BU199">
        <v>53.98</v>
      </c>
      <c r="BV199">
        <v>53.189999</v>
      </c>
      <c r="BW199" s="13"/>
      <c r="BY199" s="1"/>
      <c r="BZ199">
        <v>25.65</v>
      </c>
      <c r="CA199">
        <v>25.18</v>
      </c>
      <c r="CB199" s="13"/>
      <c r="CC199" s="1"/>
      <c r="CD199" s="1"/>
      <c r="CE199">
        <v>64.620002999999997</v>
      </c>
      <c r="CF199">
        <v>63.700001</v>
      </c>
      <c r="CG199" s="13"/>
      <c r="CH199" s="1"/>
      <c r="CI199" s="1"/>
      <c r="CJ199">
        <v>35.979999999999997</v>
      </c>
      <c r="CK199">
        <v>35.5</v>
      </c>
      <c r="CL199" s="13"/>
      <c r="CM199" s="1"/>
      <c r="CN199" s="1"/>
      <c r="CO199">
        <v>33.830002</v>
      </c>
      <c r="CP199">
        <v>33.419998</v>
      </c>
      <c r="CQ199" s="13"/>
      <c r="CR199" s="1"/>
      <c r="CS199" s="1"/>
      <c r="CT199">
        <v>47.450001</v>
      </c>
      <c r="CU199">
        <v>46.790000999999997</v>
      </c>
      <c r="CV199" s="13"/>
      <c r="CW199" s="1"/>
      <c r="CX199" s="1"/>
      <c r="CY199">
        <v>42.43</v>
      </c>
      <c r="CZ199">
        <v>41.889999000000003</v>
      </c>
      <c r="DA199" s="13"/>
      <c r="DB199" s="1"/>
      <c r="DC199" s="1"/>
      <c r="DD199">
        <v>51.880001</v>
      </c>
      <c r="DE199">
        <v>51.110000999999997</v>
      </c>
      <c r="DF199" s="13"/>
      <c r="DG199" s="1"/>
      <c r="DH199" s="1"/>
      <c r="DI199">
        <v>36.659999999999997</v>
      </c>
      <c r="DJ199">
        <v>36.060001</v>
      </c>
      <c r="DK199" s="13"/>
      <c r="DM199" s="1"/>
    </row>
    <row r="200" spans="27:117">
      <c r="AA200" s="10">
        <v>42375</v>
      </c>
      <c r="AB200" s="13">
        <v>50.16</v>
      </c>
      <c r="AC200" s="13">
        <v>49.259998000000003</v>
      </c>
      <c r="AD200" s="13"/>
      <c r="AE200" s="1"/>
      <c r="AF200" s="1"/>
      <c r="AG200" s="14">
        <v>62.900002000000001</v>
      </c>
      <c r="AH200" s="14">
        <v>61.869999</v>
      </c>
      <c r="AI200" s="13"/>
      <c r="AJ200" s="1"/>
      <c r="AK200" s="1"/>
      <c r="AL200">
        <v>18.450001</v>
      </c>
      <c r="AM200">
        <v>18.100000000000001</v>
      </c>
      <c r="AN200" s="13"/>
      <c r="AO200" s="1"/>
      <c r="AP200" s="1"/>
      <c r="AQ200">
        <v>65.470000999999996</v>
      </c>
      <c r="AR200">
        <v>64.199996999999996</v>
      </c>
      <c r="AS200" s="13"/>
      <c r="AT200" s="1"/>
      <c r="AU200" s="1"/>
      <c r="AV200">
        <v>80.069999999999993</v>
      </c>
      <c r="AW200">
        <v>79.129997000000003</v>
      </c>
      <c r="AX200" s="13"/>
      <c r="AY200" s="1"/>
      <c r="AZ200" s="1"/>
      <c r="BA200">
        <v>72.180000000000007</v>
      </c>
      <c r="BB200">
        <v>70.870002999999997</v>
      </c>
      <c r="BC200" s="13"/>
      <c r="BD200" s="1"/>
      <c r="BE200" s="1"/>
      <c r="BF200">
        <v>58.77</v>
      </c>
      <c r="BG200">
        <v>58</v>
      </c>
      <c r="BH200" s="13"/>
      <c r="BI200" s="1"/>
      <c r="BJ200" s="1"/>
      <c r="BK200">
        <v>51.650002000000001</v>
      </c>
      <c r="BL200">
        <v>50.73</v>
      </c>
      <c r="BM200" s="13"/>
      <c r="BN200" s="1"/>
      <c r="BO200" s="1"/>
      <c r="BP200">
        <v>104.66999800000001</v>
      </c>
      <c r="BQ200">
        <v>103.5</v>
      </c>
      <c r="BR200" s="13"/>
      <c r="BS200" s="1"/>
      <c r="BT200" s="1"/>
      <c r="BU200">
        <v>54.529998999999997</v>
      </c>
      <c r="BV200">
        <v>53.48</v>
      </c>
      <c r="BW200" s="13"/>
      <c r="BY200" s="1"/>
      <c r="BZ200">
        <v>26.040001</v>
      </c>
      <c r="CA200">
        <v>25.700001</v>
      </c>
      <c r="CB200" s="13"/>
      <c r="CC200" s="1"/>
      <c r="CD200" s="1"/>
      <c r="CE200">
        <v>64.680000000000007</v>
      </c>
      <c r="CF200">
        <v>63.759998000000003</v>
      </c>
      <c r="CG200" s="13"/>
      <c r="CH200" s="1"/>
      <c r="CI200" s="1"/>
      <c r="CJ200">
        <v>36.040000999999997</v>
      </c>
      <c r="CK200">
        <v>35.639999000000003</v>
      </c>
      <c r="CL200" s="13"/>
      <c r="CM200" s="1"/>
      <c r="CN200" s="1"/>
      <c r="CO200">
        <v>34.130001</v>
      </c>
      <c r="CP200">
        <v>33.639999000000003</v>
      </c>
      <c r="CQ200" s="13"/>
      <c r="CR200" s="1"/>
      <c r="CS200" s="1"/>
      <c r="CT200">
        <v>47.5</v>
      </c>
      <c r="CU200">
        <v>46.82</v>
      </c>
      <c r="CV200" s="13"/>
      <c r="CW200" s="1"/>
      <c r="CX200" s="1"/>
      <c r="CY200">
        <v>42.810001</v>
      </c>
      <c r="CZ200">
        <v>42.27</v>
      </c>
      <c r="DA200" s="13"/>
      <c r="DB200" s="1"/>
      <c r="DC200" s="1"/>
      <c r="DD200">
        <v>51.970001000000003</v>
      </c>
      <c r="DE200">
        <v>51.360000999999997</v>
      </c>
      <c r="DF200" s="13"/>
      <c r="DG200" s="1"/>
      <c r="DH200" s="1"/>
      <c r="DI200">
        <v>36.599997999999999</v>
      </c>
      <c r="DJ200">
        <v>35.740001999999997</v>
      </c>
      <c r="DK200" s="13"/>
      <c r="DM200" s="1"/>
    </row>
    <row r="201" spans="27:117">
      <c r="AA201" s="10">
        <v>42374</v>
      </c>
      <c r="AB201" s="13">
        <v>50.18</v>
      </c>
      <c r="AC201" s="13">
        <v>49.07</v>
      </c>
      <c r="AD201" s="13"/>
      <c r="AE201" s="1"/>
      <c r="AF201" s="1"/>
      <c r="AG201" s="14">
        <v>62.75</v>
      </c>
      <c r="AH201" s="14">
        <v>61.200001</v>
      </c>
      <c r="AI201" s="13"/>
      <c r="AJ201" s="1"/>
      <c r="AK201" s="1"/>
      <c r="AL201">
        <v>18.489999999999998</v>
      </c>
      <c r="AM201">
        <v>18.040001</v>
      </c>
      <c r="AN201" s="13"/>
      <c r="AO201" s="1"/>
      <c r="AP201" s="1"/>
      <c r="AQ201">
        <v>65.169998000000007</v>
      </c>
      <c r="AR201">
        <v>63.580002</v>
      </c>
      <c r="AS201" s="13"/>
      <c r="AT201" s="1"/>
      <c r="AU201" s="1"/>
      <c r="AV201">
        <v>80.099997999999999</v>
      </c>
      <c r="AW201">
        <v>78.010002</v>
      </c>
      <c r="AX201" s="13"/>
      <c r="AY201" s="1"/>
      <c r="AZ201" s="1"/>
      <c r="BA201">
        <v>71.849997999999999</v>
      </c>
      <c r="BB201">
        <v>70.180000000000007</v>
      </c>
      <c r="BC201" s="13"/>
      <c r="BD201" s="1"/>
      <c r="BE201" s="1"/>
      <c r="BF201">
        <v>59.209999000000003</v>
      </c>
      <c r="BG201">
        <v>58.009998000000003</v>
      </c>
      <c r="BH201" s="13"/>
      <c r="BI201" s="1"/>
      <c r="BJ201" s="1"/>
      <c r="BK201">
        <v>51.43</v>
      </c>
      <c r="BL201">
        <v>50.009998000000003</v>
      </c>
      <c r="BM201" s="13"/>
      <c r="BN201" s="1"/>
      <c r="BO201" s="1"/>
      <c r="BP201">
        <v>104.94000200000001</v>
      </c>
      <c r="BQ201">
        <v>102.199997</v>
      </c>
      <c r="BR201" s="13"/>
      <c r="BS201" s="1"/>
      <c r="BT201" s="1"/>
      <c r="BU201">
        <v>54.02</v>
      </c>
      <c r="BV201">
        <v>52.380001</v>
      </c>
      <c r="BW201" s="13"/>
      <c r="BY201" s="1"/>
      <c r="BZ201">
        <v>26.52</v>
      </c>
      <c r="CA201">
        <v>25.709999</v>
      </c>
      <c r="CB201" s="13"/>
      <c r="CC201" s="1"/>
      <c r="CD201" s="1"/>
      <c r="CE201">
        <v>64.540001000000004</v>
      </c>
      <c r="CF201">
        <v>62.939999</v>
      </c>
      <c r="CG201" s="13"/>
      <c r="CH201" s="1"/>
      <c r="CI201" s="1"/>
      <c r="CJ201">
        <v>36.090000000000003</v>
      </c>
      <c r="CK201">
        <v>35.270000000000003</v>
      </c>
      <c r="CL201" s="13"/>
      <c r="CM201" s="1"/>
      <c r="CN201" s="1"/>
      <c r="CO201">
        <v>34.099997999999999</v>
      </c>
      <c r="CP201">
        <v>33.229999999999997</v>
      </c>
      <c r="CQ201" s="13"/>
      <c r="CR201" s="1"/>
      <c r="CS201" s="1"/>
      <c r="CT201">
        <v>47.380001</v>
      </c>
      <c r="CU201">
        <v>46.59</v>
      </c>
      <c r="CV201" s="13"/>
      <c r="CW201" s="1"/>
      <c r="CX201" s="1"/>
      <c r="CY201">
        <v>42.77</v>
      </c>
      <c r="CZ201">
        <v>41.650002000000001</v>
      </c>
      <c r="DA201" s="13"/>
      <c r="DB201" s="1"/>
      <c r="DC201" s="1"/>
      <c r="DD201">
        <v>52.02</v>
      </c>
      <c r="DE201">
        <v>50.439999</v>
      </c>
      <c r="DF201" s="13"/>
      <c r="DG201" s="1"/>
      <c r="DH201" s="1"/>
      <c r="DI201">
        <v>36.139999000000003</v>
      </c>
      <c r="DJ201">
        <v>35.189999</v>
      </c>
      <c r="DK201" s="13"/>
      <c r="DM201" s="1"/>
    </row>
    <row r="202" spans="27:117">
      <c r="AA202" s="10">
        <v>42373</v>
      </c>
      <c r="AB202" s="13">
        <v>50.82</v>
      </c>
      <c r="AC202" s="13">
        <v>49.380001</v>
      </c>
      <c r="AD202" s="13"/>
      <c r="AE202" s="1"/>
      <c r="AF202" s="1"/>
      <c r="AG202" s="14">
        <v>62.619999</v>
      </c>
      <c r="AH202" s="14">
        <v>61.689999</v>
      </c>
      <c r="AI202" s="13"/>
      <c r="AJ202" s="1"/>
      <c r="AK202" s="1"/>
      <c r="AL202">
        <v>18.290001</v>
      </c>
      <c r="AM202">
        <v>17.950001</v>
      </c>
      <c r="AN202" s="13"/>
      <c r="AO202" s="1"/>
      <c r="AP202" s="1"/>
      <c r="AQ202">
        <v>64.419998000000007</v>
      </c>
      <c r="AR202">
        <v>63.470001000000003</v>
      </c>
      <c r="AS202" s="13"/>
      <c r="AT202" s="1"/>
      <c r="AU202" s="1"/>
      <c r="AV202">
        <v>79.669998000000007</v>
      </c>
      <c r="AW202">
        <v>78.419998000000007</v>
      </c>
      <c r="AX202" s="13"/>
      <c r="AY202" s="1"/>
      <c r="AZ202" s="1"/>
      <c r="BA202">
        <v>71.209998999999996</v>
      </c>
      <c r="BB202">
        <v>70.160004000000001</v>
      </c>
      <c r="BC202" s="13"/>
      <c r="BD202" s="1"/>
      <c r="BE202" s="1"/>
      <c r="BF202">
        <v>59.07</v>
      </c>
      <c r="BG202">
        <v>58.240001999999997</v>
      </c>
      <c r="BH202" s="13"/>
      <c r="BI202" s="1"/>
      <c r="BJ202" s="1"/>
      <c r="BK202">
        <v>50.889999000000003</v>
      </c>
      <c r="BL202">
        <v>50.23</v>
      </c>
      <c r="BM202" s="13"/>
      <c r="BN202" s="1"/>
      <c r="BO202" s="1"/>
      <c r="BP202">
        <v>103.650002</v>
      </c>
      <c r="BQ202">
        <v>102.339996</v>
      </c>
      <c r="BR202" s="13"/>
      <c r="BS202" s="1"/>
      <c r="BT202" s="1"/>
      <c r="BU202">
        <v>54.060001</v>
      </c>
      <c r="BV202">
        <v>52.759998000000003</v>
      </c>
      <c r="BW202" s="13"/>
      <c r="BY202" s="1"/>
      <c r="BZ202">
        <v>26.51</v>
      </c>
      <c r="CA202">
        <v>25.91</v>
      </c>
      <c r="CB202" s="13"/>
      <c r="CC202" s="1"/>
      <c r="CD202" s="1"/>
      <c r="CE202">
        <v>64.489998</v>
      </c>
      <c r="CF202">
        <v>63.450001</v>
      </c>
      <c r="CG202" s="13"/>
      <c r="CH202" s="1"/>
      <c r="CI202" s="1"/>
      <c r="CJ202">
        <v>36.189999</v>
      </c>
      <c r="CK202">
        <v>35.490001999999997</v>
      </c>
      <c r="CL202" s="13"/>
      <c r="CM202" s="1"/>
      <c r="CN202" s="1"/>
      <c r="CO202">
        <v>33.93</v>
      </c>
      <c r="CP202">
        <v>33.369999</v>
      </c>
      <c r="CQ202" s="13"/>
      <c r="CR202" s="1"/>
      <c r="CS202" s="1"/>
      <c r="CT202">
        <v>47.07</v>
      </c>
      <c r="CU202">
        <v>46.25</v>
      </c>
      <c r="CV202" s="13"/>
      <c r="CW202" s="1"/>
      <c r="CX202" s="1"/>
      <c r="CY202">
        <v>42.279998999999997</v>
      </c>
      <c r="CZ202">
        <v>41.73</v>
      </c>
      <c r="DA202" s="13"/>
      <c r="DB202" s="1"/>
      <c r="DC202" s="1"/>
      <c r="DD202">
        <v>51.32</v>
      </c>
      <c r="DE202">
        <v>50.529998999999997</v>
      </c>
      <c r="DF202" s="13"/>
      <c r="DG202" s="1"/>
      <c r="DH202" s="1"/>
      <c r="DI202">
        <v>35.869999</v>
      </c>
      <c r="DJ202">
        <v>35.389999000000003</v>
      </c>
      <c r="DK202" s="13"/>
      <c r="DM202" s="1"/>
    </row>
    <row r="203" spans="27:117">
      <c r="AA203" s="10">
        <v>42369</v>
      </c>
      <c r="AB203" s="13">
        <v>51.66</v>
      </c>
      <c r="AC203" s="13">
        <v>50.529998999999997</v>
      </c>
      <c r="AD203" s="12">
        <f>(MAX(AB203:AB224)+MIN(AC203:AC224))/2</f>
        <v>49.889999000000003</v>
      </c>
      <c r="AE203" s="1">
        <f>0.505*4</f>
        <v>2.02</v>
      </c>
      <c r="AF203" s="9">
        <f>+AE203/AD203</f>
        <v>4.0489076778694663E-2</v>
      </c>
      <c r="AG203" s="14">
        <v>63.450001</v>
      </c>
      <c r="AH203" s="14">
        <v>61.900002000000001</v>
      </c>
      <c r="AI203" s="12">
        <f>(MAX(AG203:AG224)+MIN(AH203:AH224))/2</f>
        <v>61.190000499999996</v>
      </c>
      <c r="AJ203" s="1">
        <f>0.5875*4</f>
        <v>2.35</v>
      </c>
      <c r="AK203" s="9">
        <f>+AJ203/AI203</f>
        <v>3.8404967818230371E-2</v>
      </c>
      <c r="AL203">
        <v>18.48</v>
      </c>
      <c r="AM203">
        <v>18.059999000000001</v>
      </c>
      <c r="AN203" s="12">
        <f>(MAX(AL203:AL224)+MIN(AM203:AM224))/2</f>
        <v>17.264999500000002</v>
      </c>
      <c r="AO203" s="1">
        <f>0.2475*4</f>
        <v>0.99</v>
      </c>
      <c r="AP203" s="9">
        <f>+AO203/AN203</f>
        <v>5.7341443884779721E-2</v>
      </c>
      <c r="AQ203">
        <v>65.25</v>
      </c>
      <c r="AR203">
        <v>63.799999</v>
      </c>
      <c r="AS203" s="12">
        <f>(MAX(AQ203:AQ224)+MIN(AR203:AR224))/2</f>
        <v>62.9800015</v>
      </c>
      <c r="AT203" s="13">
        <f>0.65*4</f>
        <v>2.6</v>
      </c>
      <c r="AU203" s="9">
        <f>+AT203/AS203</f>
        <v>4.1282945984051779E-2</v>
      </c>
      <c r="AV203">
        <v>81.669998000000007</v>
      </c>
      <c r="AW203">
        <v>79.339995999999999</v>
      </c>
      <c r="AX203" s="12">
        <f>(MAX(AV203:AV224)+MIN(AW203:AW224))/2</f>
        <v>79.639999000000003</v>
      </c>
      <c r="AY203" s="1">
        <f>0.73*4</f>
        <v>2.92</v>
      </c>
      <c r="AZ203" s="9">
        <f>+AY203/AX203</f>
        <v>3.6664992926481579E-2</v>
      </c>
      <c r="BA203">
        <v>72.220000999999996</v>
      </c>
      <c r="BB203">
        <v>70.739998</v>
      </c>
      <c r="BC203" s="12">
        <f>(MAX(BA203:BA224)+MIN(BB203:BB224))/2</f>
        <v>69.125</v>
      </c>
      <c r="BD203" s="13">
        <f>0.825*4</f>
        <v>3.3</v>
      </c>
      <c r="BE203" s="9">
        <f>+BD203/BC203</f>
        <v>4.7739602169981916E-2</v>
      </c>
      <c r="BF203">
        <v>60.200001</v>
      </c>
      <c r="BG203">
        <v>58.740001999999997</v>
      </c>
      <c r="BH203" s="12">
        <f>(MAX(BF203:BF224)+MIN(BG203:BG224))/2</f>
        <v>59.599997999999999</v>
      </c>
      <c r="BI203" s="1">
        <f>0.48*4</f>
        <v>1.92</v>
      </c>
      <c r="BJ203" s="9">
        <f>+BI203/BH203</f>
        <v>3.2214766181703561E-2</v>
      </c>
      <c r="BK203">
        <v>51.900002000000001</v>
      </c>
      <c r="BL203">
        <v>50.549999</v>
      </c>
      <c r="BM203" s="12">
        <f>(MAX(BK203:BK224)+MIN(BL203:BL224))/2</f>
        <v>50.210000999999998</v>
      </c>
      <c r="BN203" s="1">
        <f>0.4175*4</f>
        <v>1.67</v>
      </c>
      <c r="BO203" s="9">
        <f>+BN203/BM203</f>
        <v>3.3260306049386457E-2</v>
      </c>
      <c r="BP203">
        <v>104.91999800000001</v>
      </c>
      <c r="BQ203">
        <v>103.029999</v>
      </c>
      <c r="BR203" s="12">
        <f>(MAX(BP203:BP224)+MIN(BQ203:BQ224))/2</f>
        <v>100.7450025</v>
      </c>
      <c r="BS203" s="1">
        <f>0.77*4</f>
        <v>3.08</v>
      </c>
      <c r="BT203" s="9">
        <f>+BS203/BR203</f>
        <v>3.0572236076921038E-2</v>
      </c>
      <c r="BU203">
        <v>55.25</v>
      </c>
      <c r="BV203">
        <v>53.91</v>
      </c>
      <c r="BW203" s="12">
        <f>(MAX(BU203:BU224)+MIN(BV203:BV224))/2</f>
        <v>53.8000015</v>
      </c>
      <c r="BX203">
        <f>0.48*4</f>
        <v>1.92</v>
      </c>
      <c r="BY203" s="9">
        <f>+BX203/BW203</f>
        <v>3.5687731346996335E-2</v>
      </c>
      <c r="BZ203">
        <v>26.73</v>
      </c>
      <c r="CA203">
        <v>26.08</v>
      </c>
      <c r="CB203" s="12">
        <f>(MAX(BZ203:BZ224)+MIN(CA203:CA224))/2</f>
        <v>25.595000499999998</v>
      </c>
      <c r="CC203" s="13">
        <f>0.275*4</f>
        <v>1.1000000000000001</v>
      </c>
      <c r="CD203" s="9">
        <f>+CC203/CB203</f>
        <v>4.2977143133871014E-2</v>
      </c>
      <c r="CE203">
        <v>65.099997999999999</v>
      </c>
      <c r="CF203">
        <v>63.779998999999997</v>
      </c>
      <c r="CG203" s="12">
        <f>(MAX(CE203:CE224)+MIN(CF203:CF224))/2</f>
        <v>63.1050015</v>
      </c>
      <c r="CH203" s="13">
        <f>0.625*4</f>
        <v>2.5</v>
      </c>
      <c r="CI203" s="9">
        <f>+CH203/CG203</f>
        <v>3.9616511220588436E-2</v>
      </c>
      <c r="CJ203">
        <v>37.200001</v>
      </c>
      <c r="CK203">
        <v>36.310001</v>
      </c>
      <c r="CL203" s="12">
        <f>(MAX(CJ203:CJ224)+MIN(CK203:CK224))/2</f>
        <v>36.42</v>
      </c>
      <c r="CM203" s="13">
        <f>0.3*4</f>
        <v>1.2</v>
      </c>
      <c r="CN203" s="9">
        <f>+CM203/CL203</f>
        <v>3.2948929159802305E-2</v>
      </c>
      <c r="CO203">
        <v>34.389999000000003</v>
      </c>
      <c r="CP203">
        <v>33.75</v>
      </c>
      <c r="CQ203" s="12">
        <f>(MAX(CO203:CO224)+MIN(CP203:CP224))/2</f>
        <v>33.4200005</v>
      </c>
      <c r="CR203" s="1">
        <f>0.3775*4</f>
        <v>1.51</v>
      </c>
      <c r="CS203" s="9">
        <f>+CR203/CQ203</f>
        <v>4.5182524757891612E-2</v>
      </c>
      <c r="CT203">
        <v>47.299999</v>
      </c>
      <c r="CU203">
        <v>46.389999000000003</v>
      </c>
      <c r="CV203" s="12">
        <f>(MAX(CT203:CT224)+MIN(CU203:CU224))/2</f>
        <v>45.610000499999998</v>
      </c>
      <c r="CW203" s="1">
        <f>0.5425*4</f>
        <v>2.17</v>
      </c>
      <c r="CX203" s="9">
        <f>+CW203/CV203</f>
        <v>4.7577285161397885E-2</v>
      </c>
      <c r="CY203">
        <v>43.48</v>
      </c>
      <c r="CZ203">
        <v>42.419998</v>
      </c>
      <c r="DA203" s="12">
        <f>(MAX(CY203:CY224)+MIN(CZ203:CZ224))/2</f>
        <v>41.889999500000002</v>
      </c>
      <c r="DB203" s="13">
        <f>0.4*4</f>
        <v>1.6</v>
      </c>
      <c r="DC203" s="9">
        <f>+DB203/DA203</f>
        <v>3.819527379082447E-2</v>
      </c>
      <c r="DD203">
        <v>52.099997999999999</v>
      </c>
      <c r="DE203">
        <v>51.009998000000003</v>
      </c>
      <c r="DF203" s="12">
        <f>(MAX(DD203:DD224)+MIN(DE203:DE224))/2</f>
        <v>50.430000499999998</v>
      </c>
      <c r="DG203" s="1">
        <f>0.4575*4</f>
        <v>1.83</v>
      </c>
      <c r="DH203" s="9">
        <f>+DG203/DF203</f>
        <v>3.6287923495063226E-2</v>
      </c>
      <c r="DI203">
        <v>36.380001</v>
      </c>
      <c r="DJ203">
        <v>35.630001</v>
      </c>
      <c r="DK203" s="12">
        <f>(MAX(DI203:DI224)+MIN(DJ203:DJ224))/2</f>
        <v>35.525001500000002</v>
      </c>
      <c r="DL203">
        <f>0.32*4</f>
        <v>1.28</v>
      </c>
      <c r="DM203" s="9">
        <f>+DL203/DK203</f>
        <v>3.6030962588418189E-2</v>
      </c>
    </row>
    <row r="204" spans="27:117">
      <c r="AA204" s="10">
        <v>42368</v>
      </c>
      <c r="AB204" s="13">
        <v>51.849997999999999</v>
      </c>
      <c r="AC204" s="13">
        <v>51.200001</v>
      </c>
      <c r="AD204" s="13"/>
      <c r="AE204" s="1"/>
      <c r="AF204" s="1"/>
      <c r="AG204" s="14">
        <v>63.650002000000001</v>
      </c>
      <c r="AH204" s="14">
        <v>63.200001</v>
      </c>
      <c r="AI204" s="13"/>
      <c r="AJ204" s="1"/>
      <c r="AK204" s="1"/>
      <c r="AL204">
        <v>18.48</v>
      </c>
      <c r="AM204">
        <v>18.219999000000001</v>
      </c>
      <c r="AN204" s="13"/>
      <c r="AO204" s="1"/>
      <c r="AP204" s="1"/>
      <c r="AQ204">
        <v>65.519997000000004</v>
      </c>
      <c r="AR204">
        <v>65.010002</v>
      </c>
      <c r="AS204" s="13"/>
      <c r="AT204" s="1"/>
      <c r="AU204" s="1"/>
      <c r="AV204">
        <v>81.93</v>
      </c>
      <c r="AW204">
        <v>81.230002999999996</v>
      </c>
      <c r="AX204" s="13"/>
      <c r="AY204" s="1"/>
      <c r="AZ204" s="1"/>
      <c r="BA204">
        <v>72.599997999999999</v>
      </c>
      <c r="BB204">
        <v>72.120002999999997</v>
      </c>
      <c r="BC204" s="13"/>
      <c r="BD204" s="1"/>
      <c r="BE204" s="1"/>
      <c r="BF204">
        <v>60.849997999999999</v>
      </c>
      <c r="BG204">
        <v>60.25</v>
      </c>
      <c r="BH204" s="13"/>
      <c r="BI204" s="1"/>
      <c r="BJ204" s="1"/>
      <c r="BK204">
        <v>52.240001999999997</v>
      </c>
      <c r="BL204">
        <v>51.84</v>
      </c>
      <c r="BM204" s="13"/>
      <c r="BN204" s="1"/>
      <c r="BO204" s="1"/>
      <c r="BP204">
        <v>105.260002</v>
      </c>
      <c r="BQ204">
        <v>104.459999</v>
      </c>
      <c r="BR204" s="13"/>
      <c r="BS204" s="1"/>
      <c r="BT204" s="1"/>
      <c r="BU204">
        <v>55.650002000000001</v>
      </c>
      <c r="BV204">
        <v>55.18</v>
      </c>
      <c r="BW204" s="13"/>
      <c r="BY204" s="1"/>
      <c r="BZ204">
        <v>26.9</v>
      </c>
      <c r="CA204">
        <v>26.559999000000001</v>
      </c>
      <c r="CB204" s="13"/>
      <c r="CC204" s="1"/>
      <c r="CD204" s="1"/>
      <c r="CE204">
        <v>65.510002</v>
      </c>
      <c r="CF204">
        <v>65.029999000000004</v>
      </c>
      <c r="CG204" s="13"/>
      <c r="CH204" s="1"/>
      <c r="CI204" s="1"/>
      <c r="CJ204">
        <v>37.450001</v>
      </c>
      <c r="CK204">
        <v>36.869999</v>
      </c>
      <c r="CL204" s="13"/>
      <c r="CM204" s="1"/>
      <c r="CN204" s="1"/>
      <c r="CO204">
        <v>34.470001000000003</v>
      </c>
      <c r="CP204">
        <v>34.159999999999997</v>
      </c>
      <c r="CQ204" s="13"/>
      <c r="CR204" s="1"/>
      <c r="CS204" s="1"/>
      <c r="CT204">
        <v>47.450001</v>
      </c>
      <c r="CU204">
        <v>47.200001</v>
      </c>
      <c r="CV204" s="13"/>
      <c r="CW204" s="1"/>
      <c r="CX204" s="1"/>
      <c r="CY204">
        <v>43.799999</v>
      </c>
      <c r="CZ204">
        <v>43.41</v>
      </c>
      <c r="DA204" s="13"/>
      <c r="DB204" s="1"/>
      <c r="DC204" s="1"/>
      <c r="DD204">
        <v>52.880001</v>
      </c>
      <c r="DE204">
        <v>52.119999</v>
      </c>
      <c r="DF204" s="13"/>
      <c r="DG204" s="1"/>
      <c r="DH204" s="1"/>
      <c r="DI204">
        <v>36.5</v>
      </c>
      <c r="DJ204">
        <v>36.189999</v>
      </c>
      <c r="DK204" s="13"/>
      <c r="DM204" s="1"/>
    </row>
    <row r="205" spans="27:117">
      <c r="AA205" s="10">
        <v>42367</v>
      </c>
      <c r="AB205" s="13">
        <v>51.73</v>
      </c>
      <c r="AC205" s="13">
        <v>51.16</v>
      </c>
      <c r="AD205" s="13"/>
      <c r="AE205" s="1"/>
      <c r="AF205" s="1"/>
      <c r="AG205" s="14">
        <v>63.810001</v>
      </c>
      <c r="AH205" s="14">
        <v>63.32</v>
      </c>
      <c r="AI205" s="13"/>
      <c r="AJ205" s="1"/>
      <c r="AK205" s="1"/>
      <c r="AL205">
        <v>18.48</v>
      </c>
      <c r="AM205">
        <v>18.239999999999998</v>
      </c>
      <c r="AN205" s="13"/>
      <c r="AO205" s="1"/>
      <c r="AP205" s="1"/>
      <c r="AQ205">
        <v>65.660004000000001</v>
      </c>
      <c r="AR205">
        <v>64.919998000000007</v>
      </c>
      <c r="AS205" s="13"/>
      <c r="AT205" s="1"/>
      <c r="AU205" s="1"/>
      <c r="AV205">
        <v>81.879997000000003</v>
      </c>
      <c r="AW205">
        <v>80.790001000000004</v>
      </c>
      <c r="AX205" s="13"/>
      <c r="AY205" s="1"/>
      <c r="AZ205" s="1"/>
      <c r="BA205">
        <v>72.75</v>
      </c>
      <c r="BB205">
        <v>72.169998000000007</v>
      </c>
      <c r="BC205" s="13"/>
      <c r="BD205" s="1"/>
      <c r="BE205" s="1"/>
      <c r="BF205">
        <v>60.84</v>
      </c>
      <c r="BG205">
        <v>60.16</v>
      </c>
      <c r="BH205" s="13"/>
      <c r="BI205" s="1"/>
      <c r="BJ205" s="1"/>
      <c r="BK205">
        <v>52.240001999999997</v>
      </c>
      <c r="BL205">
        <v>51.849997999999999</v>
      </c>
      <c r="BM205" s="13"/>
      <c r="BN205" s="1"/>
      <c r="BO205" s="1"/>
      <c r="BP205">
        <v>105.300003</v>
      </c>
      <c r="BQ205">
        <v>104.470001</v>
      </c>
      <c r="BR205" s="13"/>
      <c r="BS205" s="1"/>
      <c r="BT205" s="1"/>
      <c r="BU205">
        <v>55.48</v>
      </c>
      <c r="BV205">
        <v>55.119999</v>
      </c>
      <c r="BW205" s="13"/>
      <c r="BY205" s="1"/>
      <c r="BZ205">
        <v>26.99</v>
      </c>
      <c r="CA205">
        <v>26.709999</v>
      </c>
      <c r="CB205" s="13"/>
      <c r="CC205" s="1"/>
      <c r="CD205" s="1"/>
      <c r="CE205">
        <v>65.510002</v>
      </c>
      <c r="CF205">
        <v>64.919998000000007</v>
      </c>
      <c r="CG205" s="13"/>
      <c r="CH205" s="1"/>
      <c r="CI205" s="1"/>
      <c r="CJ205">
        <v>37.200001</v>
      </c>
      <c r="CK205">
        <v>36.82</v>
      </c>
      <c r="CL205" s="13"/>
      <c r="CM205" s="1"/>
      <c r="CN205" s="1"/>
      <c r="CO205">
        <v>34.479999999999997</v>
      </c>
      <c r="CP205">
        <v>34.240001999999997</v>
      </c>
      <c r="CQ205" s="13"/>
      <c r="CR205" s="1"/>
      <c r="CS205" s="1"/>
      <c r="CT205">
        <v>47.5</v>
      </c>
      <c r="CU205">
        <v>47.209999000000003</v>
      </c>
      <c r="CV205" s="13"/>
      <c r="CW205" s="1"/>
      <c r="CX205" s="1"/>
      <c r="CY205">
        <v>43.599997999999999</v>
      </c>
      <c r="CZ205">
        <v>43.209999000000003</v>
      </c>
      <c r="DA205" s="13"/>
      <c r="DB205" s="1"/>
      <c r="DC205" s="1"/>
      <c r="DD205">
        <v>52.540000999999997</v>
      </c>
      <c r="DE205">
        <v>51.98</v>
      </c>
      <c r="DF205" s="13"/>
      <c r="DG205" s="1"/>
      <c r="DH205" s="1"/>
      <c r="DI205">
        <v>36.470001000000003</v>
      </c>
      <c r="DJ205">
        <v>36.060001</v>
      </c>
      <c r="DK205" s="13"/>
      <c r="DM205" s="1"/>
    </row>
    <row r="206" spans="27:117">
      <c r="AA206" s="10">
        <v>42366</v>
      </c>
      <c r="AB206" s="13">
        <v>51.57</v>
      </c>
      <c r="AC206" s="13">
        <v>51</v>
      </c>
      <c r="AD206" s="13"/>
      <c r="AE206" s="1"/>
      <c r="AF206" s="1"/>
      <c r="AG206" s="14">
        <v>63.400002000000001</v>
      </c>
      <c r="AH206" s="14">
        <v>62.400002000000001</v>
      </c>
      <c r="AI206" s="13"/>
      <c r="AJ206" s="1"/>
      <c r="AK206" s="1"/>
      <c r="AL206">
        <v>18.209999</v>
      </c>
      <c r="AM206">
        <v>17.899999999999999</v>
      </c>
      <c r="AN206" s="13"/>
      <c r="AO206" s="1"/>
      <c r="AP206" s="1"/>
      <c r="AQ206">
        <v>65.129997000000003</v>
      </c>
      <c r="AR206">
        <v>64.169998000000007</v>
      </c>
      <c r="AS206" s="13"/>
      <c r="AT206" s="1"/>
      <c r="AU206" s="1"/>
      <c r="AV206">
        <v>80.690002000000007</v>
      </c>
      <c r="AW206">
        <v>79.589995999999999</v>
      </c>
      <c r="AX206" s="13"/>
      <c r="AY206" s="1"/>
      <c r="AZ206" s="1"/>
      <c r="BA206">
        <v>72.260002</v>
      </c>
      <c r="BB206">
        <v>71.599997999999999</v>
      </c>
      <c r="BC206" s="13"/>
      <c r="BD206" s="1"/>
      <c r="BE206" s="1"/>
      <c r="BF206">
        <v>60.52</v>
      </c>
      <c r="BG206">
        <v>59.91</v>
      </c>
      <c r="BH206" s="13"/>
      <c r="BI206" s="1"/>
      <c r="BJ206" s="1"/>
      <c r="BK206">
        <v>51.860000999999997</v>
      </c>
      <c r="BL206">
        <v>51.389999000000003</v>
      </c>
      <c r="BM206" s="13"/>
      <c r="BN206" s="1"/>
      <c r="BO206" s="1"/>
      <c r="BP206">
        <v>104.07</v>
      </c>
      <c r="BQ206">
        <v>103.300003</v>
      </c>
      <c r="BR206" s="13"/>
      <c r="BS206" s="1"/>
      <c r="BT206" s="1"/>
      <c r="BU206">
        <v>55.07</v>
      </c>
      <c r="BV206">
        <v>54.16</v>
      </c>
      <c r="BW206" s="13"/>
      <c r="BY206" s="1"/>
      <c r="BZ206">
        <v>26.889999</v>
      </c>
      <c r="CA206">
        <v>26.370000999999998</v>
      </c>
      <c r="CB206" s="13"/>
      <c r="CC206" s="1"/>
      <c r="CD206" s="1"/>
      <c r="CE206">
        <v>64.919998000000007</v>
      </c>
      <c r="CF206">
        <v>63.970001000000003</v>
      </c>
      <c r="CG206" s="13"/>
      <c r="CH206" s="1"/>
      <c r="CI206" s="1"/>
      <c r="CJ206">
        <v>36.849997999999999</v>
      </c>
      <c r="CK206">
        <v>36.240001999999997</v>
      </c>
      <c r="CL206" s="13"/>
      <c r="CM206" s="1"/>
      <c r="CN206" s="1"/>
      <c r="CO206">
        <v>34.299999</v>
      </c>
      <c r="CP206">
        <v>34.020000000000003</v>
      </c>
      <c r="CQ206" s="13"/>
      <c r="CR206" s="1"/>
      <c r="CS206" s="1"/>
      <c r="CT206">
        <v>47.299999</v>
      </c>
      <c r="CU206">
        <v>46.91</v>
      </c>
      <c r="CV206" s="13"/>
      <c r="CW206" s="1"/>
      <c r="CX206" s="1"/>
      <c r="CY206">
        <v>43.060001</v>
      </c>
      <c r="CZ206">
        <v>42.32</v>
      </c>
      <c r="DA206" s="13"/>
      <c r="DB206" s="1"/>
      <c r="DC206" s="1"/>
      <c r="DD206">
        <v>52</v>
      </c>
      <c r="DE206">
        <v>51.279998999999997</v>
      </c>
      <c r="DF206" s="13"/>
      <c r="DG206" s="1"/>
      <c r="DH206" s="1"/>
      <c r="DI206">
        <v>36.189999</v>
      </c>
      <c r="DJ206">
        <v>35.57</v>
      </c>
      <c r="DK206" s="13"/>
      <c r="DM206" s="1"/>
    </row>
    <row r="207" spans="27:117">
      <c r="AA207" s="10">
        <v>42362</v>
      </c>
      <c r="AB207" s="13">
        <v>51.459999000000003</v>
      </c>
      <c r="AC207" s="13">
        <v>50.869999</v>
      </c>
      <c r="AD207" s="13"/>
      <c r="AE207" s="1"/>
      <c r="AF207" s="1"/>
      <c r="AG207" s="14">
        <v>62.950001</v>
      </c>
      <c r="AH207" s="14">
        <v>62.439999</v>
      </c>
      <c r="AI207" s="13"/>
      <c r="AJ207" s="1"/>
      <c r="AK207" s="1"/>
      <c r="AL207">
        <v>18.219999000000001</v>
      </c>
      <c r="AM207">
        <v>17.98</v>
      </c>
      <c r="AN207" s="13"/>
      <c r="AO207" s="1"/>
      <c r="AP207" s="1"/>
      <c r="AQ207">
        <v>64.919998000000007</v>
      </c>
      <c r="AR207">
        <v>64.580001999999993</v>
      </c>
      <c r="AS207" s="13"/>
      <c r="AT207" s="1"/>
      <c r="AU207" s="1"/>
      <c r="AV207">
        <v>80.230002999999996</v>
      </c>
      <c r="AW207">
        <v>79.699996999999996</v>
      </c>
      <c r="AX207" s="13"/>
      <c r="AY207" s="1"/>
      <c r="AZ207" s="1"/>
      <c r="BA207">
        <v>72.389999000000003</v>
      </c>
      <c r="BB207">
        <v>71.900002000000001</v>
      </c>
      <c r="BC207" s="13"/>
      <c r="BD207" s="1"/>
      <c r="BE207" s="1"/>
      <c r="BF207">
        <v>60.610000999999997</v>
      </c>
      <c r="BG207">
        <v>60.119999</v>
      </c>
      <c r="BH207" s="13"/>
      <c r="BI207" s="1"/>
      <c r="BJ207" s="1"/>
      <c r="BK207">
        <v>51.919998</v>
      </c>
      <c r="BL207">
        <v>51.459999000000003</v>
      </c>
      <c r="BM207" s="13"/>
      <c r="BN207" s="1"/>
      <c r="BO207" s="1"/>
      <c r="BP207">
        <v>104.150002</v>
      </c>
      <c r="BQ207">
        <v>103.510002</v>
      </c>
      <c r="BR207" s="13"/>
      <c r="BS207" s="1"/>
      <c r="BT207" s="1"/>
      <c r="BU207">
        <v>54.75</v>
      </c>
      <c r="BV207">
        <v>54.34</v>
      </c>
      <c r="BW207" s="13"/>
      <c r="BY207" s="1"/>
      <c r="BZ207">
        <v>26.870000999999998</v>
      </c>
      <c r="CA207">
        <v>26.549999</v>
      </c>
      <c r="CB207" s="13"/>
      <c r="CC207" s="1"/>
      <c r="CD207" s="1"/>
      <c r="CE207">
        <v>64.540001000000004</v>
      </c>
      <c r="CF207">
        <v>63.950001</v>
      </c>
      <c r="CG207" s="13"/>
      <c r="CH207" s="1"/>
      <c r="CI207" s="1"/>
      <c r="CJ207">
        <v>36.580002</v>
      </c>
      <c r="CK207">
        <v>36.310001</v>
      </c>
      <c r="CL207" s="13"/>
      <c r="CM207" s="1"/>
      <c r="CN207" s="1"/>
      <c r="CO207">
        <v>34.419998</v>
      </c>
      <c r="CP207">
        <v>34.099997999999999</v>
      </c>
      <c r="CQ207" s="13"/>
      <c r="CR207" s="1"/>
      <c r="CS207" s="1"/>
      <c r="CT207">
        <v>47.25</v>
      </c>
      <c r="CU207">
        <v>46.93</v>
      </c>
      <c r="CV207" s="13"/>
      <c r="CW207" s="1"/>
      <c r="CX207" s="1"/>
      <c r="CY207">
        <v>42.900002000000001</v>
      </c>
      <c r="CZ207">
        <v>42.52</v>
      </c>
      <c r="DA207" s="13"/>
      <c r="DB207" s="1"/>
      <c r="DC207" s="1"/>
      <c r="DD207">
        <v>51.68</v>
      </c>
      <c r="DE207">
        <v>51.43</v>
      </c>
      <c r="DF207" s="13"/>
      <c r="DG207" s="1"/>
      <c r="DH207" s="1"/>
      <c r="DI207">
        <v>35.880001</v>
      </c>
      <c r="DJ207">
        <v>35.590000000000003</v>
      </c>
      <c r="DK207" s="13"/>
      <c r="DM207" s="1"/>
    </row>
    <row r="208" spans="27:117">
      <c r="AA208" s="10">
        <v>42361</v>
      </c>
      <c r="AB208" s="13">
        <v>51.639999000000003</v>
      </c>
      <c r="AC208" s="13">
        <v>50.939999</v>
      </c>
      <c r="AD208" s="13"/>
      <c r="AE208" s="1"/>
      <c r="AF208" s="1"/>
      <c r="AG208" s="14">
        <v>62.990001999999997</v>
      </c>
      <c r="AH208" s="14">
        <v>62.369999</v>
      </c>
      <c r="AI208" s="13"/>
      <c r="AJ208" s="1"/>
      <c r="AK208" s="1"/>
      <c r="AL208">
        <v>18.139999</v>
      </c>
      <c r="AM208">
        <v>17.68</v>
      </c>
      <c r="AN208" s="13"/>
      <c r="AO208" s="1"/>
      <c r="AP208" s="1"/>
      <c r="AQ208">
        <v>64.849997999999999</v>
      </c>
      <c r="AR208">
        <v>63.73</v>
      </c>
      <c r="AS208" s="13"/>
      <c r="AT208" s="1"/>
      <c r="AU208" s="1"/>
      <c r="AV208">
        <v>80.129997000000003</v>
      </c>
      <c r="AW208">
        <v>79.269997000000004</v>
      </c>
      <c r="AX208" s="13"/>
      <c r="AY208" s="1"/>
      <c r="AZ208" s="1"/>
      <c r="BA208">
        <v>72.309997999999993</v>
      </c>
      <c r="BB208">
        <v>71.080001999999993</v>
      </c>
      <c r="BC208" s="13"/>
      <c r="BD208" s="1"/>
      <c r="BE208" s="1"/>
      <c r="BF208">
        <v>60.490001999999997</v>
      </c>
      <c r="BG208">
        <v>59.790000999999997</v>
      </c>
      <c r="BH208" s="13"/>
      <c r="BI208" s="1"/>
      <c r="BJ208" s="1"/>
      <c r="BK208">
        <v>51.810001</v>
      </c>
      <c r="BL208">
        <v>50.610000999999997</v>
      </c>
      <c r="BM208" s="13"/>
      <c r="BN208" s="1"/>
      <c r="BO208" s="1"/>
      <c r="BP208">
        <v>104.30999799999999</v>
      </c>
      <c r="BQ208">
        <v>103</v>
      </c>
      <c r="BR208" s="13"/>
      <c r="BS208" s="1"/>
      <c r="BT208" s="1"/>
      <c r="BU208">
        <v>54.790000999999997</v>
      </c>
      <c r="BV208">
        <v>52.650002000000001</v>
      </c>
      <c r="BW208" s="13"/>
      <c r="BY208" s="1"/>
      <c r="BZ208">
        <v>27.040001</v>
      </c>
      <c r="CA208">
        <v>26.5</v>
      </c>
      <c r="CB208" s="13"/>
      <c r="CC208" s="1"/>
      <c r="CD208" s="1"/>
      <c r="CE208">
        <v>64.610000999999997</v>
      </c>
      <c r="CF208">
        <v>63.619999</v>
      </c>
      <c r="CG208" s="13"/>
      <c r="CH208" s="1"/>
      <c r="CI208" s="1"/>
      <c r="CJ208">
        <v>36.610000999999997</v>
      </c>
      <c r="CK208">
        <v>35.549999</v>
      </c>
      <c r="CL208" s="13"/>
      <c r="CM208" s="1"/>
      <c r="CN208" s="1"/>
      <c r="CO208">
        <v>34.400002000000001</v>
      </c>
      <c r="CP208">
        <v>33.950001</v>
      </c>
      <c r="CQ208" s="13"/>
      <c r="CR208" s="1"/>
      <c r="CS208" s="1"/>
      <c r="CT208">
        <v>47.25</v>
      </c>
      <c r="CU208">
        <v>46.540000999999997</v>
      </c>
      <c r="CV208" s="13"/>
      <c r="CW208" s="1"/>
      <c r="CX208" s="1"/>
      <c r="CY208">
        <v>42.889999000000003</v>
      </c>
      <c r="CZ208">
        <v>42.200001</v>
      </c>
      <c r="DA208" s="13"/>
      <c r="DB208" s="1"/>
      <c r="DC208" s="1"/>
      <c r="DD208">
        <v>51.639999000000003</v>
      </c>
      <c r="DE208">
        <v>50.790000999999997</v>
      </c>
      <c r="DF208" s="13"/>
      <c r="DG208" s="1"/>
      <c r="DH208" s="1"/>
      <c r="DI208">
        <v>35.919998</v>
      </c>
      <c r="DJ208">
        <v>35.450001</v>
      </c>
      <c r="DK208" s="13"/>
      <c r="DM208" s="1"/>
    </row>
    <row r="209" spans="27:117">
      <c r="AA209" s="10">
        <v>42360</v>
      </c>
      <c r="AB209" s="13">
        <v>51.150002000000001</v>
      </c>
      <c r="AC209" s="13">
        <v>49.490001999999997</v>
      </c>
      <c r="AD209" s="13"/>
      <c r="AE209" s="1"/>
      <c r="AF209" s="1"/>
      <c r="AG209" s="14">
        <v>62.439999</v>
      </c>
      <c r="AH209" s="14">
        <v>61.43</v>
      </c>
      <c r="AI209" s="13"/>
      <c r="AJ209" s="1"/>
      <c r="AK209" s="1"/>
      <c r="AL209">
        <v>17.709999</v>
      </c>
      <c r="AM209">
        <v>17.260000000000002</v>
      </c>
      <c r="AN209" s="13"/>
      <c r="AO209" s="1"/>
      <c r="AP209" s="1"/>
      <c r="AQ209">
        <v>63.880001</v>
      </c>
      <c r="AR209">
        <v>62.830002</v>
      </c>
      <c r="AS209" s="13"/>
      <c r="AT209" s="1"/>
      <c r="AU209" s="1"/>
      <c r="AV209">
        <v>79.300003000000004</v>
      </c>
      <c r="AW209">
        <v>77.970000999999996</v>
      </c>
      <c r="AX209" s="13"/>
      <c r="AY209" s="1"/>
      <c r="AZ209" s="1"/>
      <c r="BA209">
        <v>71.150002000000001</v>
      </c>
      <c r="BB209">
        <v>69.660004000000001</v>
      </c>
      <c r="BC209" s="13"/>
      <c r="BD209" s="1"/>
      <c r="BE209" s="1"/>
      <c r="BF209">
        <v>59.98</v>
      </c>
      <c r="BG209">
        <v>58.540000999999997</v>
      </c>
      <c r="BH209" s="13"/>
      <c r="BI209" s="1"/>
      <c r="BJ209" s="1"/>
      <c r="BK209">
        <v>50.830002</v>
      </c>
      <c r="BL209">
        <v>49.73</v>
      </c>
      <c r="BM209" s="13"/>
      <c r="BN209" s="1"/>
      <c r="BO209" s="1"/>
      <c r="BP209">
        <v>103.290001</v>
      </c>
      <c r="BQ209">
        <v>101.510002</v>
      </c>
      <c r="BR209" s="13"/>
      <c r="BS209" s="1"/>
      <c r="BT209" s="1"/>
      <c r="BU209">
        <v>54.099997999999999</v>
      </c>
      <c r="BV209">
        <v>52.860000999999997</v>
      </c>
      <c r="BW209" s="13"/>
      <c r="BY209" s="1"/>
      <c r="BZ209">
        <v>26.459999</v>
      </c>
      <c r="CA209">
        <v>25.719999000000001</v>
      </c>
      <c r="CB209" s="13"/>
      <c r="CC209" s="1"/>
      <c r="CD209" s="1"/>
      <c r="CE209">
        <v>63.669998</v>
      </c>
      <c r="CF209">
        <v>62.279998999999997</v>
      </c>
      <c r="CG209" s="13"/>
      <c r="CH209" s="1"/>
      <c r="CI209" s="1"/>
      <c r="CJ209">
        <v>36.349997999999999</v>
      </c>
      <c r="CK209">
        <v>35.040000999999997</v>
      </c>
      <c r="CL209" s="13"/>
      <c r="CM209" s="1"/>
      <c r="CN209" s="1"/>
      <c r="CO209">
        <v>33.909999999999997</v>
      </c>
      <c r="CP209">
        <v>33.150002000000001</v>
      </c>
      <c r="CQ209" s="13"/>
      <c r="CR209" s="1"/>
      <c r="CS209" s="1"/>
      <c r="CT209">
        <v>46.599997999999999</v>
      </c>
      <c r="CU209">
        <v>46</v>
      </c>
      <c r="CV209" s="13"/>
      <c r="CW209" s="1"/>
      <c r="CX209" s="1"/>
      <c r="CY209">
        <v>42.220001000000003</v>
      </c>
      <c r="CZ209">
        <v>41.48</v>
      </c>
      <c r="DA209" s="13"/>
      <c r="DB209" s="1"/>
      <c r="DC209" s="1"/>
      <c r="DD209">
        <v>50.93</v>
      </c>
      <c r="DE209">
        <v>49.900002000000001</v>
      </c>
      <c r="DF209" s="13"/>
      <c r="DG209" s="1"/>
      <c r="DH209" s="1"/>
      <c r="DI209">
        <v>35.479999999999997</v>
      </c>
      <c r="DJ209">
        <v>34.810001</v>
      </c>
      <c r="DK209" s="13"/>
      <c r="DM209" s="1"/>
    </row>
    <row r="210" spans="27:117">
      <c r="AA210" s="10">
        <v>42359</v>
      </c>
      <c r="AB210" s="13">
        <v>50.470001000000003</v>
      </c>
      <c r="AC210" s="13">
        <v>49.599997999999999</v>
      </c>
      <c r="AD210" s="13"/>
      <c r="AE210" s="1"/>
      <c r="AF210" s="1"/>
      <c r="AG210" s="14">
        <v>63.040000999999997</v>
      </c>
      <c r="AH210" s="14">
        <v>61.57</v>
      </c>
      <c r="AI210" s="13"/>
      <c r="AJ210" s="1"/>
      <c r="AK210" s="1"/>
      <c r="AL210">
        <v>17.540001</v>
      </c>
      <c r="AM210">
        <v>17.260000000000002</v>
      </c>
      <c r="AN210" s="13"/>
      <c r="AO210" s="1"/>
      <c r="AP210" s="1"/>
      <c r="AQ210">
        <v>63.82</v>
      </c>
      <c r="AR210">
        <v>63.040000999999997</v>
      </c>
      <c r="AS210" s="13"/>
      <c r="AT210" s="1"/>
      <c r="AU210" s="1"/>
      <c r="AV210">
        <v>79.610000999999997</v>
      </c>
      <c r="AW210">
        <v>77.980002999999996</v>
      </c>
      <c r="AX210" s="13"/>
      <c r="AY210" s="1"/>
      <c r="AZ210" s="1"/>
      <c r="BA210">
        <v>70.260002</v>
      </c>
      <c r="BB210">
        <v>69.330001999999993</v>
      </c>
      <c r="BC210" s="13"/>
      <c r="BD210" s="1"/>
      <c r="BE210" s="1"/>
      <c r="BF210">
        <v>60.060001</v>
      </c>
      <c r="BG210">
        <v>58.619999</v>
      </c>
      <c r="BH210" s="13"/>
      <c r="BI210" s="1"/>
      <c r="BJ210" s="1"/>
      <c r="BK210">
        <v>50.73</v>
      </c>
      <c r="BL210">
        <v>49.84</v>
      </c>
      <c r="BM210" s="13"/>
      <c r="BN210" s="1"/>
      <c r="BO210" s="1"/>
      <c r="BP210">
        <v>102.959999</v>
      </c>
      <c r="BQ210">
        <v>101.5</v>
      </c>
      <c r="BR210" s="13"/>
      <c r="BS210" s="1"/>
      <c r="BT210" s="1"/>
      <c r="BU210">
        <v>54.450001</v>
      </c>
      <c r="BV210">
        <v>53.110000999999997</v>
      </c>
      <c r="BW210" s="13"/>
      <c r="BY210" s="1"/>
      <c r="BZ210">
        <v>26.049999</v>
      </c>
      <c r="CA210">
        <v>25.299999</v>
      </c>
      <c r="CB210" s="13"/>
      <c r="CC210" s="1"/>
      <c r="CD210" s="1"/>
      <c r="CE210">
        <v>63.43</v>
      </c>
      <c r="CF210">
        <v>62.450001</v>
      </c>
      <c r="CG210" s="13"/>
      <c r="CH210" s="1"/>
      <c r="CI210" s="1"/>
      <c r="CJ210">
        <v>36.32</v>
      </c>
      <c r="CK210">
        <v>35.099997999999999</v>
      </c>
      <c r="CL210" s="13"/>
      <c r="CM210" s="1"/>
      <c r="CN210" s="1"/>
      <c r="CO210">
        <v>33.840000000000003</v>
      </c>
      <c r="CP210">
        <v>33.270000000000003</v>
      </c>
      <c r="CQ210" s="13"/>
      <c r="CR210" s="1"/>
      <c r="CS210" s="1"/>
      <c r="CT210">
        <v>46.580002</v>
      </c>
      <c r="CU210">
        <v>46</v>
      </c>
      <c r="CV210" s="13"/>
      <c r="CW210" s="1"/>
      <c r="CX210" s="1"/>
      <c r="CY210">
        <v>42.09</v>
      </c>
      <c r="CZ210">
        <v>41.349997999999999</v>
      </c>
      <c r="DA210" s="13"/>
      <c r="DB210" s="1"/>
      <c r="DC210" s="1"/>
      <c r="DD210">
        <v>50.860000999999997</v>
      </c>
      <c r="DE210">
        <v>50.040000999999997</v>
      </c>
      <c r="DF210" s="13"/>
      <c r="DG210" s="1"/>
      <c r="DH210" s="1"/>
      <c r="DI210">
        <v>35.909999999999997</v>
      </c>
      <c r="DJ210">
        <v>35.18</v>
      </c>
      <c r="DK210" s="13"/>
      <c r="DM210" s="1"/>
    </row>
    <row r="211" spans="27:117">
      <c r="AA211" s="10">
        <v>42356</v>
      </c>
      <c r="AB211" s="13">
        <v>51.09</v>
      </c>
      <c r="AC211" s="13">
        <v>49.779998999999997</v>
      </c>
      <c r="AD211" s="13"/>
      <c r="AE211" s="1"/>
      <c r="AF211" s="1"/>
      <c r="AG211" s="14">
        <v>63.709999000000003</v>
      </c>
      <c r="AH211" s="14">
        <v>62.41</v>
      </c>
      <c r="AI211" s="13"/>
      <c r="AJ211" s="1"/>
      <c r="AK211" s="1"/>
      <c r="AL211">
        <v>17.809999000000001</v>
      </c>
      <c r="AM211">
        <v>17.41</v>
      </c>
      <c r="AN211" s="13"/>
      <c r="AO211" s="1"/>
      <c r="AP211" s="1"/>
      <c r="AQ211">
        <v>64.150002000000001</v>
      </c>
      <c r="AR211">
        <v>62.950001</v>
      </c>
      <c r="AS211" s="13"/>
      <c r="AT211" s="1"/>
      <c r="AU211" s="1"/>
      <c r="AV211">
        <v>79.970000999999996</v>
      </c>
      <c r="AW211">
        <v>78.5</v>
      </c>
      <c r="AX211" s="13"/>
      <c r="AY211" s="1"/>
      <c r="AZ211" s="1"/>
      <c r="BA211">
        <v>70.349997999999999</v>
      </c>
      <c r="BB211">
        <v>68.779999000000004</v>
      </c>
      <c r="BC211" s="13"/>
      <c r="BD211" s="1"/>
      <c r="BE211" s="1"/>
      <c r="BF211">
        <v>60.740001999999997</v>
      </c>
      <c r="BG211">
        <v>59.419998</v>
      </c>
      <c r="BH211" s="13"/>
      <c r="BI211" s="1"/>
      <c r="BJ211" s="1"/>
      <c r="BK211">
        <v>51.549999</v>
      </c>
      <c r="BL211">
        <v>50.400002000000001</v>
      </c>
      <c r="BM211" s="13"/>
      <c r="BN211" s="1"/>
      <c r="BO211" s="1"/>
      <c r="BP211">
        <v>103.400002</v>
      </c>
      <c r="BQ211">
        <v>100.709999</v>
      </c>
      <c r="BR211" s="13"/>
      <c r="BS211" s="1"/>
      <c r="BT211" s="1"/>
      <c r="BU211">
        <v>55.389999000000003</v>
      </c>
      <c r="BV211">
        <v>53.849997999999999</v>
      </c>
      <c r="BW211" s="13"/>
      <c r="BY211" s="1"/>
      <c r="BZ211">
        <v>25.700001</v>
      </c>
      <c r="CA211">
        <v>25.370000999999998</v>
      </c>
      <c r="CB211" s="13"/>
      <c r="CC211" s="1"/>
      <c r="CD211" s="1"/>
      <c r="CE211">
        <v>63.490001999999997</v>
      </c>
      <c r="CF211">
        <v>62.330002</v>
      </c>
      <c r="CG211" s="13"/>
      <c r="CH211" s="1"/>
      <c r="CI211" s="1"/>
      <c r="CJ211">
        <v>37.110000999999997</v>
      </c>
      <c r="CK211">
        <v>36.119999</v>
      </c>
      <c r="CL211" s="13"/>
      <c r="CM211" s="1"/>
      <c r="CN211" s="1"/>
      <c r="CO211">
        <v>33.860000999999997</v>
      </c>
      <c r="CP211">
        <v>33.240001999999997</v>
      </c>
      <c r="CQ211" s="13"/>
      <c r="CR211" s="1"/>
      <c r="CS211" s="1"/>
      <c r="CT211">
        <v>46.509998000000003</v>
      </c>
      <c r="CU211">
        <v>45.77</v>
      </c>
      <c r="CV211" s="13"/>
      <c r="CW211" s="1"/>
      <c r="CX211" s="1"/>
      <c r="CY211">
        <v>42.139999000000003</v>
      </c>
      <c r="CZ211">
        <v>41.130001</v>
      </c>
      <c r="DA211" s="13"/>
      <c r="DB211" s="1"/>
      <c r="DC211" s="1"/>
      <c r="DD211">
        <v>51.09</v>
      </c>
      <c r="DE211">
        <v>49.98</v>
      </c>
      <c r="DF211" s="13"/>
      <c r="DG211" s="1"/>
      <c r="DH211" s="1"/>
      <c r="DI211">
        <v>36.330002</v>
      </c>
      <c r="DJ211">
        <v>35.349997999999999</v>
      </c>
      <c r="DK211" s="13"/>
      <c r="DM211" s="1"/>
    </row>
    <row r="212" spans="27:117">
      <c r="AA212" s="10">
        <v>42355</v>
      </c>
      <c r="AB212" s="13">
        <v>51.220001000000003</v>
      </c>
      <c r="AC212" s="13">
        <v>50.34</v>
      </c>
      <c r="AD212" s="13"/>
      <c r="AE212" s="1"/>
      <c r="AF212" s="1"/>
      <c r="AG212" s="14">
        <v>64.25</v>
      </c>
      <c r="AH212" s="14">
        <v>61.25</v>
      </c>
      <c r="AI212" s="13"/>
      <c r="AJ212" s="1"/>
      <c r="AK212" s="1"/>
      <c r="AL212">
        <v>17.889999</v>
      </c>
      <c r="AM212">
        <v>17.440000999999999</v>
      </c>
      <c r="AN212" s="13"/>
      <c r="AO212" s="1"/>
      <c r="AP212" s="1"/>
      <c r="AQ212">
        <v>64.720000999999996</v>
      </c>
      <c r="AR212">
        <v>63.689999</v>
      </c>
      <c r="AS212" s="13"/>
      <c r="AT212" s="1"/>
      <c r="AU212" s="1"/>
      <c r="AV212">
        <v>80.660004000000001</v>
      </c>
      <c r="AW212">
        <v>79.690002000000007</v>
      </c>
      <c r="AX212" s="13"/>
      <c r="AY212" s="1"/>
      <c r="AZ212" s="1"/>
      <c r="BA212">
        <v>71.019997000000004</v>
      </c>
      <c r="BB212">
        <v>69.699996999999996</v>
      </c>
      <c r="BC212" s="13"/>
      <c r="BD212" s="1"/>
      <c r="BE212" s="1"/>
      <c r="BF212">
        <v>61.349997999999999</v>
      </c>
      <c r="BG212">
        <v>60.310001</v>
      </c>
      <c r="BH212" s="13"/>
      <c r="BI212" s="1"/>
      <c r="BJ212" s="1"/>
      <c r="BK212">
        <v>51.919998</v>
      </c>
      <c r="BL212">
        <v>51.110000999999997</v>
      </c>
      <c r="BM212" s="13"/>
      <c r="BN212" s="1"/>
      <c r="BO212" s="1"/>
      <c r="BP212">
        <v>104.43</v>
      </c>
      <c r="BQ212">
        <v>103.010002</v>
      </c>
      <c r="BR212" s="13"/>
      <c r="BS212" s="1"/>
      <c r="BT212" s="1"/>
      <c r="BU212">
        <v>55.380001</v>
      </c>
      <c r="BV212">
        <v>54.689999</v>
      </c>
      <c r="BW212" s="13"/>
      <c r="BY212" s="1"/>
      <c r="BZ212">
        <v>25.68</v>
      </c>
      <c r="CA212">
        <v>25.370000999999998</v>
      </c>
      <c r="CB212" s="13"/>
      <c r="CC212" s="1"/>
      <c r="CD212" s="1"/>
      <c r="CE212">
        <v>64.120002999999997</v>
      </c>
      <c r="CF212">
        <v>63.369999</v>
      </c>
      <c r="CG212" s="13"/>
      <c r="CH212" s="1"/>
      <c r="CI212" s="1"/>
      <c r="CJ212">
        <v>37.799999</v>
      </c>
      <c r="CK212">
        <v>36.970001000000003</v>
      </c>
      <c r="CL212" s="13"/>
      <c r="CM212" s="1"/>
      <c r="CN212" s="1"/>
      <c r="CO212">
        <v>34.099997999999999</v>
      </c>
      <c r="CP212">
        <v>33.549999</v>
      </c>
      <c r="CQ212" s="13"/>
      <c r="CR212" s="1"/>
      <c r="CS212" s="1"/>
      <c r="CT212">
        <v>46.799999</v>
      </c>
      <c r="CU212">
        <v>46.040000999999997</v>
      </c>
      <c r="CV212" s="13"/>
      <c r="CW212" s="1"/>
      <c r="CX212" s="1"/>
      <c r="CY212">
        <v>42.290000999999997</v>
      </c>
      <c r="CZ212">
        <v>41.810001</v>
      </c>
      <c r="DA212" s="13"/>
      <c r="DB212" s="1"/>
      <c r="DC212" s="1"/>
      <c r="DD212">
        <v>51.580002</v>
      </c>
      <c r="DE212">
        <v>50.32</v>
      </c>
      <c r="DF212" s="13"/>
      <c r="DG212" s="1"/>
      <c r="DH212" s="1"/>
      <c r="DI212">
        <v>36.720001000000003</v>
      </c>
      <c r="DJ212">
        <v>36.18</v>
      </c>
      <c r="DK212" s="13"/>
      <c r="DM212" s="1"/>
    </row>
    <row r="213" spans="27:117">
      <c r="AA213" s="10">
        <v>42354</v>
      </c>
      <c r="AB213" s="13">
        <v>50.5</v>
      </c>
      <c r="AC213" s="13">
        <v>49.59</v>
      </c>
      <c r="AD213" s="13"/>
      <c r="AE213" s="1"/>
      <c r="AF213" s="1"/>
      <c r="AG213" s="14">
        <v>60.93</v>
      </c>
      <c r="AH213" s="14">
        <v>59.560001</v>
      </c>
      <c r="AI213" s="13"/>
      <c r="AJ213" s="1"/>
      <c r="AK213" s="1"/>
      <c r="AL213">
        <v>17.629999000000002</v>
      </c>
      <c r="AM213">
        <v>16.93</v>
      </c>
      <c r="AN213" s="13"/>
      <c r="AO213" s="1"/>
      <c r="AP213" s="1"/>
      <c r="AQ213">
        <v>64.300003000000004</v>
      </c>
      <c r="AR213">
        <v>62.880001</v>
      </c>
      <c r="AS213" s="13"/>
      <c r="AT213" s="1"/>
      <c r="AU213" s="1"/>
      <c r="AV213">
        <v>81.050003000000004</v>
      </c>
      <c r="AW213">
        <v>79.220000999999996</v>
      </c>
      <c r="AX213" s="13"/>
      <c r="AY213" s="1"/>
      <c r="AZ213" s="1"/>
      <c r="BA213">
        <v>70.290001000000004</v>
      </c>
      <c r="BB213">
        <v>69.110000999999997</v>
      </c>
      <c r="BC213" s="13"/>
      <c r="BD213" s="1"/>
      <c r="BE213" s="1"/>
      <c r="BF213">
        <v>60.990001999999997</v>
      </c>
      <c r="BG213">
        <v>59.689999</v>
      </c>
      <c r="BH213" s="13"/>
      <c r="BI213" s="1"/>
      <c r="BJ213" s="1"/>
      <c r="BK213">
        <v>51.310001</v>
      </c>
      <c r="BL213">
        <v>49.720001000000003</v>
      </c>
      <c r="BM213" s="13"/>
      <c r="BN213" s="1"/>
      <c r="BO213" s="1"/>
      <c r="BP213">
        <v>103.91999800000001</v>
      </c>
      <c r="BQ213">
        <v>99.400002000000001</v>
      </c>
      <c r="BR213" s="13"/>
      <c r="BS213" s="1"/>
      <c r="BT213" s="1"/>
      <c r="BU213">
        <v>55.150002000000001</v>
      </c>
      <c r="BV213">
        <v>53.610000999999997</v>
      </c>
      <c r="BW213" s="13"/>
      <c r="BY213" s="1"/>
      <c r="BZ213">
        <v>25.52</v>
      </c>
      <c r="CA213">
        <v>24.9</v>
      </c>
      <c r="CB213" s="13"/>
      <c r="CC213" s="1"/>
      <c r="CD213" s="1"/>
      <c r="CE213">
        <v>63.75</v>
      </c>
      <c r="CF213">
        <v>62.360000999999997</v>
      </c>
      <c r="CG213" s="13"/>
      <c r="CH213" s="1"/>
      <c r="CI213" s="1"/>
      <c r="CJ213">
        <v>37.330002</v>
      </c>
      <c r="CK213">
        <v>36.599997999999999</v>
      </c>
      <c r="CL213" s="13"/>
      <c r="CM213" s="1"/>
      <c r="CN213" s="1"/>
      <c r="CO213">
        <v>33.909999999999997</v>
      </c>
      <c r="CP213">
        <v>33.349997999999999</v>
      </c>
      <c r="CQ213" s="13"/>
      <c r="CR213" s="1"/>
      <c r="CS213" s="1"/>
      <c r="CT213">
        <v>46.380001</v>
      </c>
      <c r="CU213">
        <v>45.5</v>
      </c>
      <c r="CV213" s="13"/>
      <c r="CW213" s="1"/>
      <c r="CX213" s="1"/>
      <c r="CY213">
        <v>42.220001000000003</v>
      </c>
      <c r="CZ213">
        <v>40.840000000000003</v>
      </c>
      <c r="DA213" s="13"/>
      <c r="DB213" s="1"/>
      <c r="DC213" s="1"/>
      <c r="DD213">
        <v>51.369999</v>
      </c>
      <c r="DE213">
        <v>50.110000999999997</v>
      </c>
      <c r="DF213" s="13"/>
      <c r="DG213" s="1"/>
      <c r="DH213" s="1"/>
      <c r="DI213">
        <v>36.5</v>
      </c>
      <c r="DJ213">
        <v>35.650002000000001</v>
      </c>
      <c r="DK213" s="13"/>
      <c r="DM213" s="1"/>
    </row>
    <row r="214" spans="27:117">
      <c r="AA214" s="10">
        <v>42353</v>
      </c>
      <c r="AB214" s="13">
        <v>49.669998</v>
      </c>
      <c r="AC214" s="13">
        <v>48.790000999999997</v>
      </c>
      <c r="AD214" s="13"/>
      <c r="AE214" s="1"/>
      <c r="AF214" s="1"/>
      <c r="AG214" s="14">
        <v>59.720001000000003</v>
      </c>
      <c r="AH214" s="14">
        <v>58.720001000000003</v>
      </c>
      <c r="AI214" s="13"/>
      <c r="AJ214" s="1"/>
      <c r="AK214" s="1"/>
      <c r="AL214">
        <v>16.959999</v>
      </c>
      <c r="AM214">
        <v>16.59</v>
      </c>
      <c r="AN214" s="13"/>
      <c r="AO214" s="1"/>
      <c r="AP214" s="1"/>
      <c r="AQ214">
        <v>63.220001000000003</v>
      </c>
      <c r="AR214">
        <v>62.220001000000003</v>
      </c>
      <c r="AS214" s="13"/>
      <c r="AT214" s="1"/>
      <c r="AU214" s="1"/>
      <c r="AV214">
        <v>79.849997999999999</v>
      </c>
      <c r="AW214">
        <v>78.660004000000001</v>
      </c>
      <c r="AX214" s="13"/>
      <c r="AY214" s="1"/>
      <c r="AZ214" s="1"/>
      <c r="BA214">
        <v>69.529999000000004</v>
      </c>
      <c r="BB214">
        <v>68.260002</v>
      </c>
      <c r="BC214" s="13"/>
      <c r="BD214" s="1"/>
      <c r="BE214" s="1"/>
      <c r="BF214">
        <v>60.400002000000001</v>
      </c>
      <c r="BG214">
        <v>59.389999000000003</v>
      </c>
      <c r="BH214" s="13"/>
      <c r="BI214" s="1"/>
      <c r="BJ214" s="1"/>
      <c r="BK214">
        <v>50.029998999999997</v>
      </c>
      <c r="BL214">
        <v>49.279998999999997</v>
      </c>
      <c r="BM214" s="13"/>
      <c r="BN214" s="1"/>
      <c r="BO214" s="1"/>
      <c r="BP214">
        <v>99.269997000000004</v>
      </c>
      <c r="BQ214">
        <v>98.029999000000004</v>
      </c>
      <c r="BR214" s="13"/>
      <c r="BS214" s="1"/>
      <c r="BT214" s="1"/>
      <c r="BU214">
        <v>53.68</v>
      </c>
      <c r="BV214">
        <v>53.009998000000003</v>
      </c>
      <c r="BW214" s="13"/>
      <c r="BY214" s="1"/>
      <c r="BZ214">
        <v>25.1</v>
      </c>
      <c r="CA214">
        <v>24.65</v>
      </c>
      <c r="CB214" s="13"/>
      <c r="CC214" s="1"/>
      <c r="CD214" s="1"/>
      <c r="CE214">
        <v>62.75</v>
      </c>
      <c r="CF214">
        <v>61.57</v>
      </c>
      <c r="CG214" s="13"/>
      <c r="CH214" s="1"/>
      <c r="CI214" s="1"/>
      <c r="CJ214">
        <v>36.779998999999997</v>
      </c>
      <c r="CK214">
        <v>36.029998999999997</v>
      </c>
      <c r="CL214" s="13"/>
      <c r="CM214" s="1"/>
      <c r="CN214" s="1"/>
      <c r="CO214">
        <v>33.349997999999999</v>
      </c>
      <c r="CP214">
        <v>32.810001</v>
      </c>
      <c r="CQ214" s="13"/>
      <c r="CR214" s="1"/>
      <c r="CS214" s="1"/>
      <c r="CT214">
        <v>45.59</v>
      </c>
      <c r="CU214">
        <v>45.009998000000003</v>
      </c>
      <c r="CV214" s="13"/>
      <c r="CW214" s="1"/>
      <c r="CX214" s="1"/>
      <c r="CY214">
        <v>40.880001</v>
      </c>
      <c r="CZ214">
        <v>40.549999</v>
      </c>
      <c r="DA214" s="13"/>
      <c r="DB214" s="1"/>
      <c r="DC214" s="1"/>
      <c r="DD214">
        <v>50.459999000000003</v>
      </c>
      <c r="DE214">
        <v>49.650002000000001</v>
      </c>
      <c r="DF214" s="13"/>
      <c r="DG214" s="1"/>
      <c r="DH214" s="1"/>
      <c r="DI214">
        <v>35.790000999999997</v>
      </c>
      <c r="DJ214">
        <v>35.349997999999999</v>
      </c>
      <c r="DK214" s="13"/>
      <c r="DM214" s="1"/>
    </row>
    <row r="215" spans="27:117">
      <c r="AA215" s="10">
        <v>42352</v>
      </c>
      <c r="AB215" s="13">
        <v>49</v>
      </c>
      <c r="AC215" s="13">
        <v>48.279998999999997</v>
      </c>
      <c r="AD215" s="13"/>
      <c r="AE215" s="1"/>
      <c r="AF215" s="1"/>
      <c r="AG215" s="14">
        <v>58.990001999999997</v>
      </c>
      <c r="AH215" s="14">
        <v>58.130001</v>
      </c>
      <c r="AI215" s="13"/>
      <c r="AJ215" s="1"/>
      <c r="AK215" s="1"/>
      <c r="AL215">
        <v>16.84</v>
      </c>
      <c r="AM215">
        <v>16.299999</v>
      </c>
      <c r="AN215" s="13"/>
      <c r="AO215" s="1"/>
      <c r="AP215" s="1"/>
      <c r="AQ215">
        <v>62.049999</v>
      </c>
      <c r="AR215">
        <v>61.07</v>
      </c>
      <c r="AS215" s="13"/>
      <c r="AT215" s="1"/>
      <c r="AU215" s="1"/>
      <c r="AV215">
        <v>78.720000999999996</v>
      </c>
      <c r="AW215">
        <v>77.349997999999999</v>
      </c>
      <c r="AX215" s="13"/>
      <c r="AY215" s="1"/>
      <c r="AZ215" s="1"/>
      <c r="BA215">
        <v>68.5</v>
      </c>
      <c r="BB215">
        <v>67.25</v>
      </c>
      <c r="BC215" s="13"/>
      <c r="BD215" s="1"/>
      <c r="BE215" s="1"/>
      <c r="BF215">
        <v>59.77</v>
      </c>
      <c r="BG215">
        <v>58.810001</v>
      </c>
      <c r="BH215" s="13"/>
      <c r="BI215" s="1"/>
      <c r="BJ215" s="1"/>
      <c r="BK215">
        <v>49.209999000000003</v>
      </c>
      <c r="BL215">
        <v>48.599997999999999</v>
      </c>
      <c r="BM215" s="13"/>
      <c r="BN215" s="1"/>
      <c r="BO215" s="1"/>
      <c r="BP215">
        <v>98.389999000000003</v>
      </c>
      <c r="BQ215">
        <v>97.07</v>
      </c>
      <c r="BR215" s="13"/>
      <c r="BS215" s="1"/>
      <c r="BT215" s="1"/>
      <c r="BU215">
        <v>53.09</v>
      </c>
      <c r="BV215">
        <v>52.57</v>
      </c>
      <c r="BW215" s="13"/>
      <c r="BY215" s="1"/>
      <c r="BZ215">
        <v>25.1</v>
      </c>
      <c r="CA215">
        <v>24.450001</v>
      </c>
      <c r="CB215" s="13"/>
      <c r="CC215" s="1"/>
      <c r="CD215" s="1"/>
      <c r="CE215">
        <v>61.68</v>
      </c>
      <c r="CF215">
        <v>60.849997999999999</v>
      </c>
      <c r="CG215" s="13"/>
      <c r="CH215" s="1"/>
      <c r="CI215" s="1"/>
      <c r="CJ215">
        <v>36.299999</v>
      </c>
      <c r="CK215">
        <v>35.919998</v>
      </c>
      <c r="CL215" s="13"/>
      <c r="CM215" s="1"/>
      <c r="CN215" s="1"/>
      <c r="CO215">
        <v>32.889999000000003</v>
      </c>
      <c r="CP215">
        <v>32.360000999999997</v>
      </c>
      <c r="CQ215" s="13"/>
      <c r="CR215" s="1"/>
      <c r="CS215" s="1"/>
      <c r="CT215">
        <v>45.060001</v>
      </c>
      <c r="CU215">
        <v>44.389999000000003</v>
      </c>
      <c r="CV215" s="13"/>
      <c r="CW215" s="1"/>
      <c r="CX215" s="1"/>
      <c r="CY215">
        <v>40.560001</v>
      </c>
      <c r="CZ215">
        <v>39.979999999999997</v>
      </c>
      <c r="DA215" s="13"/>
      <c r="DB215" s="1"/>
      <c r="DC215" s="1"/>
      <c r="DD215">
        <v>49.619999</v>
      </c>
      <c r="DE215">
        <v>48.709999000000003</v>
      </c>
      <c r="DF215" s="13"/>
      <c r="DG215" s="1"/>
      <c r="DH215" s="1"/>
      <c r="DI215">
        <v>35.349997999999999</v>
      </c>
      <c r="DJ215">
        <v>34.830002</v>
      </c>
      <c r="DK215" s="13"/>
      <c r="DM215" s="1"/>
    </row>
    <row r="216" spans="27:117">
      <c r="AA216" s="10">
        <v>42349</v>
      </c>
      <c r="AB216" s="13">
        <v>48.93</v>
      </c>
      <c r="AC216" s="13">
        <v>48.18</v>
      </c>
      <c r="AD216" s="13"/>
      <c r="AE216" s="1"/>
      <c r="AF216" s="1"/>
      <c r="AG216" s="14">
        <v>59.279998999999997</v>
      </c>
      <c r="AH216" s="14">
        <v>58.16</v>
      </c>
      <c r="AI216" s="13"/>
      <c r="AJ216" s="1"/>
      <c r="AK216" s="1"/>
      <c r="AL216">
        <v>17.469999000000001</v>
      </c>
      <c r="AM216">
        <v>16.049999</v>
      </c>
      <c r="AN216" s="13"/>
      <c r="AO216" s="1"/>
      <c r="AP216" s="1"/>
      <c r="AQ216">
        <v>61.439999</v>
      </c>
      <c r="AR216">
        <v>60.32</v>
      </c>
      <c r="AS216" s="13"/>
      <c r="AT216" s="1"/>
      <c r="AU216" s="1"/>
      <c r="AV216">
        <v>79.25</v>
      </c>
      <c r="AW216">
        <v>78.239998</v>
      </c>
      <c r="AX216" s="13"/>
      <c r="AY216" s="1"/>
      <c r="AZ216" s="1"/>
      <c r="BA216">
        <v>67.980002999999996</v>
      </c>
      <c r="BB216">
        <v>66.989998</v>
      </c>
      <c r="BC216" s="13"/>
      <c r="BD216" s="1"/>
      <c r="BE216" s="1"/>
      <c r="BF216">
        <v>59.720001000000003</v>
      </c>
      <c r="BG216">
        <v>58.490001999999997</v>
      </c>
      <c r="BH216" s="13"/>
      <c r="BI216" s="1"/>
      <c r="BJ216" s="1"/>
      <c r="BK216">
        <v>49.330002</v>
      </c>
      <c r="BL216">
        <v>48.18</v>
      </c>
      <c r="BM216" s="13"/>
      <c r="BN216" s="1"/>
      <c r="BO216" s="1"/>
      <c r="BP216">
        <v>97.730002999999996</v>
      </c>
      <c r="BQ216">
        <v>96.309997999999993</v>
      </c>
      <c r="BR216" s="13"/>
      <c r="BS216" s="1"/>
      <c r="BT216" s="1"/>
      <c r="BU216">
        <v>53.200001</v>
      </c>
      <c r="BV216">
        <v>51.950001</v>
      </c>
      <c r="BW216" s="13"/>
      <c r="BY216" s="1"/>
      <c r="BZ216">
        <v>25.290001</v>
      </c>
      <c r="CA216">
        <v>24.15</v>
      </c>
      <c r="CB216" s="13"/>
      <c r="CC216" s="1"/>
      <c r="CD216" s="1"/>
      <c r="CE216">
        <v>61.810001</v>
      </c>
      <c r="CF216">
        <v>60.700001</v>
      </c>
      <c r="CG216" s="13"/>
      <c r="CH216" s="1"/>
      <c r="CI216" s="1"/>
      <c r="CJ216">
        <v>36.220001000000003</v>
      </c>
      <c r="CK216">
        <v>35.490001999999997</v>
      </c>
      <c r="CL216" s="13"/>
      <c r="CM216" s="1"/>
      <c r="CN216" s="1"/>
      <c r="CO216">
        <v>33.020000000000003</v>
      </c>
      <c r="CP216">
        <v>32.57</v>
      </c>
      <c r="CQ216" s="13"/>
      <c r="CR216" s="1"/>
      <c r="CS216" s="1"/>
      <c r="CT216">
        <v>44.639999000000003</v>
      </c>
      <c r="CU216">
        <v>43.93</v>
      </c>
      <c r="CV216" s="13"/>
      <c r="CW216" s="1"/>
      <c r="CX216" s="1"/>
      <c r="CY216">
        <v>40.889999000000003</v>
      </c>
      <c r="CZ216">
        <v>40.200001</v>
      </c>
      <c r="DA216" s="13"/>
      <c r="DB216" s="1"/>
      <c r="DC216" s="1"/>
      <c r="DD216">
        <v>49.029998999999997</v>
      </c>
      <c r="DE216">
        <v>48.049999</v>
      </c>
      <c r="DF216" s="13"/>
      <c r="DG216" s="1"/>
      <c r="DH216" s="1"/>
      <c r="DI216">
        <v>35.139999000000003</v>
      </c>
      <c r="DJ216">
        <v>34.470001000000003</v>
      </c>
      <c r="DK216" s="13"/>
      <c r="DM216" s="1"/>
    </row>
    <row r="217" spans="27:117">
      <c r="AA217" s="10">
        <v>42348</v>
      </c>
      <c r="AB217" s="13">
        <v>50.150002000000001</v>
      </c>
      <c r="AC217" s="13">
        <v>48.880001</v>
      </c>
      <c r="AD217" s="13"/>
      <c r="AE217" s="1"/>
      <c r="AF217" s="1"/>
      <c r="AG217" s="14">
        <v>60.349997999999999</v>
      </c>
      <c r="AH217" s="14">
        <v>58.68</v>
      </c>
      <c r="AI217" s="13"/>
      <c r="AJ217" s="1"/>
      <c r="AK217" s="1"/>
      <c r="AL217">
        <v>16.530000999999999</v>
      </c>
      <c r="AM217">
        <v>16.07</v>
      </c>
      <c r="AN217" s="13"/>
      <c r="AO217" s="1"/>
      <c r="AP217" s="1"/>
      <c r="AQ217">
        <v>62.990001999999997</v>
      </c>
      <c r="AR217">
        <v>60.959999000000003</v>
      </c>
      <c r="AS217" s="13"/>
      <c r="AT217" s="1"/>
      <c r="AU217" s="1"/>
      <c r="AV217">
        <v>80.269997000000004</v>
      </c>
      <c r="AW217">
        <v>78.610000999999997</v>
      </c>
      <c r="AX217" s="13"/>
      <c r="AY217" s="1"/>
      <c r="AZ217" s="1"/>
      <c r="BA217">
        <v>68.459998999999996</v>
      </c>
      <c r="BB217">
        <v>67.309997999999993</v>
      </c>
      <c r="BC217" s="13"/>
      <c r="BD217" s="1"/>
      <c r="BE217" s="1"/>
      <c r="BF217">
        <v>59.560001</v>
      </c>
      <c r="BG217">
        <v>58.869999</v>
      </c>
      <c r="BH217" s="13"/>
      <c r="BI217" s="1"/>
      <c r="BJ217" s="1"/>
      <c r="BK217">
        <v>50.349997999999999</v>
      </c>
      <c r="BL217">
        <v>48.740001999999997</v>
      </c>
      <c r="BM217" s="13"/>
      <c r="BN217" s="1"/>
      <c r="BO217" s="1"/>
      <c r="BP217">
        <v>98.989998</v>
      </c>
      <c r="BQ217">
        <v>97.489998</v>
      </c>
      <c r="BR217" s="13"/>
      <c r="BS217" s="1"/>
      <c r="BT217" s="1"/>
      <c r="BU217">
        <v>54.32</v>
      </c>
      <c r="BV217">
        <v>53.130001</v>
      </c>
      <c r="BW217" s="13"/>
      <c r="BY217" s="1"/>
      <c r="BZ217">
        <v>24.84</v>
      </c>
      <c r="CA217">
        <v>24.33</v>
      </c>
      <c r="CB217" s="13"/>
      <c r="CC217" s="1"/>
      <c r="CD217" s="1"/>
      <c r="CE217">
        <v>62.959999000000003</v>
      </c>
      <c r="CF217">
        <v>60.990001999999997</v>
      </c>
      <c r="CG217" s="13"/>
      <c r="CH217" s="1"/>
      <c r="CI217" s="1"/>
      <c r="CJ217">
        <v>36.439999</v>
      </c>
      <c r="CK217">
        <v>35.720001000000003</v>
      </c>
      <c r="CL217" s="13"/>
      <c r="CM217" s="1"/>
      <c r="CN217" s="1"/>
      <c r="CO217">
        <v>33.409999999999997</v>
      </c>
      <c r="CP217">
        <v>32.869999</v>
      </c>
      <c r="CQ217" s="13"/>
      <c r="CR217" s="1"/>
      <c r="CS217" s="1"/>
      <c r="CT217">
        <v>45.290000999999997</v>
      </c>
      <c r="CU217">
        <v>44.43</v>
      </c>
      <c r="CV217" s="13"/>
      <c r="CW217" s="1"/>
      <c r="CX217" s="1"/>
      <c r="CY217">
        <v>41.59</v>
      </c>
      <c r="CZ217">
        <v>40.580002</v>
      </c>
      <c r="DA217" s="13"/>
      <c r="DB217" s="1"/>
      <c r="DC217" s="1"/>
      <c r="DD217">
        <v>49.900002000000001</v>
      </c>
      <c r="DE217">
        <v>48.52</v>
      </c>
      <c r="DF217" s="13"/>
      <c r="DG217" s="1"/>
      <c r="DH217" s="1"/>
      <c r="DI217">
        <v>35.229999999999997</v>
      </c>
      <c r="DJ217">
        <v>34.659999999999997</v>
      </c>
      <c r="DK217" s="13"/>
      <c r="DM217" s="1"/>
    </row>
    <row r="218" spans="27:117">
      <c r="AA218" s="10">
        <v>42347</v>
      </c>
      <c r="AB218" s="13">
        <v>50.5</v>
      </c>
      <c r="AC218" s="13">
        <v>49.5</v>
      </c>
      <c r="AD218" s="13"/>
      <c r="AE218" s="1"/>
      <c r="AF218" s="1"/>
      <c r="AG218" s="14">
        <v>61.34</v>
      </c>
      <c r="AH218" s="14">
        <v>60.259998000000003</v>
      </c>
      <c r="AI218" s="13"/>
      <c r="AJ218" s="1"/>
      <c r="AK218" s="1"/>
      <c r="AL218">
        <v>16.639999</v>
      </c>
      <c r="AM218">
        <v>16.260000000000002</v>
      </c>
      <c r="AN218" s="13"/>
      <c r="AO218" s="1"/>
      <c r="AP218" s="1"/>
      <c r="AQ218">
        <v>63.939999</v>
      </c>
      <c r="AR218">
        <v>62.610000999999997</v>
      </c>
      <c r="AS218" s="13"/>
      <c r="AT218" s="1"/>
      <c r="AU218" s="1"/>
      <c r="AV218">
        <v>81.349997999999999</v>
      </c>
      <c r="AW218">
        <v>79.779999000000004</v>
      </c>
      <c r="AX218" s="13"/>
      <c r="AY218" s="1"/>
      <c r="AZ218" s="1"/>
      <c r="BA218">
        <v>69.5</v>
      </c>
      <c r="BB218">
        <v>67.900002000000001</v>
      </c>
      <c r="BC218" s="13"/>
      <c r="BD218" s="1"/>
      <c r="BE218" s="1"/>
      <c r="BF218">
        <v>60.02</v>
      </c>
      <c r="BG218">
        <v>58.959999000000003</v>
      </c>
      <c r="BH218" s="13"/>
      <c r="BI218" s="1"/>
      <c r="BJ218" s="1"/>
      <c r="BK218">
        <v>51.68</v>
      </c>
      <c r="BL218">
        <v>50.66</v>
      </c>
      <c r="BM218" s="13"/>
      <c r="BN218" s="1"/>
      <c r="BO218" s="1"/>
      <c r="BP218">
        <v>99.809997999999993</v>
      </c>
      <c r="BQ218">
        <v>98</v>
      </c>
      <c r="BR218" s="13"/>
      <c r="BS218" s="1"/>
      <c r="BT218" s="1"/>
      <c r="BU218">
        <v>55.07</v>
      </c>
      <c r="BV218">
        <v>54.220001000000003</v>
      </c>
      <c r="BW218" s="13"/>
      <c r="BY218" s="1"/>
      <c r="BZ218">
        <v>25.01</v>
      </c>
      <c r="CA218">
        <v>24.48</v>
      </c>
      <c r="CB218" s="13"/>
      <c r="CC218" s="1"/>
      <c r="CD218" s="1"/>
      <c r="CE218">
        <v>63.990001999999997</v>
      </c>
      <c r="CF218">
        <v>62.889999000000003</v>
      </c>
      <c r="CG218" s="13"/>
      <c r="CH218" s="1"/>
      <c r="CI218" s="1"/>
      <c r="CJ218">
        <v>36.959999000000003</v>
      </c>
      <c r="CK218">
        <v>36.340000000000003</v>
      </c>
      <c r="CL218" s="13"/>
      <c r="CM218" s="1"/>
      <c r="CN218" s="1"/>
      <c r="CO218">
        <v>33.68</v>
      </c>
      <c r="CP218">
        <v>32.939999</v>
      </c>
      <c r="CQ218" s="13"/>
      <c r="CR218" s="1"/>
      <c r="CS218" s="1"/>
      <c r="CT218">
        <v>45.75</v>
      </c>
      <c r="CU218">
        <v>44.810001</v>
      </c>
      <c r="CV218" s="13"/>
      <c r="CW218" s="1"/>
      <c r="CX218" s="1"/>
      <c r="CY218">
        <v>42.189999</v>
      </c>
      <c r="CZ218">
        <v>41.450001</v>
      </c>
      <c r="DA218" s="13"/>
      <c r="DB218" s="1"/>
      <c r="DC218" s="1"/>
      <c r="DD218">
        <v>50.77</v>
      </c>
      <c r="DE218">
        <v>49.830002</v>
      </c>
      <c r="DF218" s="13"/>
      <c r="DG218" s="1"/>
      <c r="DH218" s="1"/>
      <c r="DI218">
        <v>35.529998999999997</v>
      </c>
      <c r="DJ218">
        <v>34.900002000000001</v>
      </c>
      <c r="DK218" s="13"/>
      <c r="DM218" s="1"/>
    </row>
    <row r="219" spans="27:117">
      <c r="AA219" s="10">
        <v>42346</v>
      </c>
      <c r="AB219" s="13">
        <v>50.799999</v>
      </c>
      <c r="AC219" s="13">
        <v>49.66</v>
      </c>
      <c r="AD219" s="13"/>
      <c r="AE219" s="1"/>
      <c r="AF219" s="1"/>
      <c r="AG219" s="14">
        <v>60.830002</v>
      </c>
      <c r="AH219" s="14">
        <v>59.830002</v>
      </c>
      <c r="AI219" s="13"/>
      <c r="AJ219" s="1"/>
      <c r="AK219" s="1"/>
      <c r="AL219">
        <v>16.379999000000002</v>
      </c>
      <c r="AM219">
        <v>16.149999999999999</v>
      </c>
      <c r="AN219" s="13"/>
      <c r="AO219" s="1"/>
      <c r="AP219" s="1"/>
      <c r="AQ219">
        <v>63.619999</v>
      </c>
      <c r="AR219">
        <v>62.290000999999997</v>
      </c>
      <c r="AS219" s="13"/>
      <c r="AT219" s="1"/>
      <c r="AU219" s="1"/>
      <c r="AV219">
        <v>81.220000999999996</v>
      </c>
      <c r="AW219">
        <v>80</v>
      </c>
      <c r="AX219" s="13"/>
      <c r="AY219" s="1"/>
      <c r="AZ219" s="1"/>
      <c r="BA219">
        <v>68.599997999999999</v>
      </c>
      <c r="BB219">
        <v>67.809997999999993</v>
      </c>
      <c r="BC219" s="13"/>
      <c r="BD219" s="1"/>
      <c r="BE219" s="1"/>
      <c r="BF219">
        <v>60.25</v>
      </c>
      <c r="BG219">
        <v>59.349997999999999</v>
      </c>
      <c r="BH219" s="13"/>
      <c r="BI219" s="1"/>
      <c r="BJ219" s="1"/>
      <c r="BK219">
        <v>51.299999</v>
      </c>
      <c r="BL219">
        <v>50.73</v>
      </c>
      <c r="BM219" s="13"/>
      <c r="BN219" s="1"/>
      <c r="BO219" s="1"/>
      <c r="BP219">
        <v>99.480002999999996</v>
      </c>
      <c r="BQ219">
        <v>98.089995999999999</v>
      </c>
      <c r="BR219" s="13"/>
      <c r="BS219" s="1"/>
      <c r="BT219" s="1"/>
      <c r="BU219">
        <v>55.07</v>
      </c>
      <c r="BV219">
        <v>54.330002</v>
      </c>
      <c r="BW219" s="13"/>
      <c r="BY219" s="1"/>
      <c r="BZ219">
        <v>24.790001</v>
      </c>
      <c r="CA219">
        <v>24.389999</v>
      </c>
      <c r="CB219" s="13"/>
      <c r="CC219" s="1"/>
      <c r="CD219" s="1"/>
      <c r="CE219">
        <v>63.619999</v>
      </c>
      <c r="CF219">
        <v>62.310001</v>
      </c>
      <c r="CG219" s="13"/>
      <c r="CH219" s="1"/>
      <c r="CI219" s="1"/>
      <c r="CJ219">
        <v>36.900002000000001</v>
      </c>
      <c r="CK219">
        <v>36.419998</v>
      </c>
      <c r="CL219" s="13"/>
      <c r="CM219" s="1"/>
      <c r="CN219" s="1"/>
      <c r="CO219">
        <v>33.220001000000003</v>
      </c>
      <c r="CP219">
        <v>32.950001</v>
      </c>
      <c r="CQ219" s="13"/>
      <c r="CR219" s="1"/>
      <c r="CS219" s="1"/>
      <c r="CT219">
        <v>45.380001</v>
      </c>
      <c r="CU219">
        <v>44.990001999999997</v>
      </c>
      <c r="CV219" s="13"/>
      <c r="CW219" s="1"/>
      <c r="CX219" s="1"/>
      <c r="CY219">
        <v>41.84</v>
      </c>
      <c r="CZ219">
        <v>41.139999000000003</v>
      </c>
      <c r="DA219" s="13"/>
      <c r="DB219" s="1"/>
      <c r="DC219" s="1"/>
      <c r="DD219">
        <v>50.580002</v>
      </c>
      <c r="DE219">
        <v>49.919998</v>
      </c>
      <c r="DF219" s="13"/>
      <c r="DG219" s="1"/>
      <c r="DH219" s="1"/>
      <c r="DI219">
        <v>35.419998</v>
      </c>
      <c r="DJ219">
        <v>35</v>
      </c>
      <c r="DK219" s="13"/>
      <c r="DM219" s="1"/>
    </row>
    <row r="220" spans="27:117">
      <c r="AA220" s="10">
        <v>42345</v>
      </c>
      <c r="AB220" s="13">
        <v>49.830002</v>
      </c>
      <c r="AC220" s="13">
        <v>49.110000999999997</v>
      </c>
      <c r="AD220" s="13"/>
      <c r="AE220" s="1"/>
      <c r="AF220" s="1"/>
      <c r="AG220" s="14">
        <v>60.389999000000003</v>
      </c>
      <c r="AH220" s="14">
        <v>59.799999</v>
      </c>
      <c r="AI220" s="13"/>
      <c r="AJ220" s="1"/>
      <c r="AK220" s="1"/>
      <c r="AL220">
        <v>16.5</v>
      </c>
      <c r="AM220">
        <v>16.209999</v>
      </c>
      <c r="AN220" s="13"/>
      <c r="AO220" s="1"/>
      <c r="AP220" s="1"/>
      <c r="AQ220">
        <v>62.810001</v>
      </c>
      <c r="AR220">
        <v>61.849997999999999</v>
      </c>
      <c r="AS220" s="13"/>
      <c r="AT220" s="1"/>
      <c r="AU220" s="1"/>
      <c r="AV220">
        <v>81.199996999999996</v>
      </c>
      <c r="AW220">
        <v>80.019997000000004</v>
      </c>
      <c r="AX220" s="13"/>
      <c r="AY220" s="1"/>
      <c r="AZ220" s="1"/>
      <c r="BA220">
        <v>68.559997999999993</v>
      </c>
      <c r="BB220">
        <v>66.769997000000004</v>
      </c>
      <c r="BC220" s="13"/>
      <c r="BD220" s="1"/>
      <c r="BE220" s="1"/>
      <c r="BF220">
        <v>60.240001999999997</v>
      </c>
      <c r="BG220">
        <v>59.48</v>
      </c>
      <c r="BH220" s="13"/>
      <c r="BI220" s="1"/>
      <c r="BJ220" s="1"/>
      <c r="BK220">
        <v>51.200001</v>
      </c>
      <c r="BL220">
        <v>50.299999</v>
      </c>
      <c r="BM220" s="13"/>
      <c r="BN220" s="1"/>
      <c r="BO220" s="1"/>
      <c r="BP220">
        <v>98.709998999999996</v>
      </c>
      <c r="BQ220">
        <v>97.730002999999996</v>
      </c>
      <c r="BR220" s="13"/>
      <c r="BS220" s="1"/>
      <c r="BT220" s="1"/>
      <c r="BU220">
        <v>55.200001</v>
      </c>
      <c r="BV220">
        <v>54.5</v>
      </c>
      <c r="BW220" s="13"/>
      <c r="BY220" s="1"/>
      <c r="BZ220">
        <v>24.889999</v>
      </c>
      <c r="CA220">
        <v>24.5</v>
      </c>
      <c r="CB220" s="13"/>
      <c r="CC220" s="1"/>
      <c r="CD220" s="1"/>
      <c r="CE220">
        <v>63.169998</v>
      </c>
      <c r="CF220">
        <v>62.09</v>
      </c>
      <c r="CG220" s="13"/>
      <c r="CH220" s="1"/>
      <c r="CI220" s="1"/>
      <c r="CJ220">
        <v>36.959999000000003</v>
      </c>
      <c r="CK220">
        <v>36.490001999999997</v>
      </c>
      <c r="CL220" s="13"/>
      <c r="CM220" s="1"/>
      <c r="CN220" s="1"/>
      <c r="CO220">
        <v>33.799999</v>
      </c>
      <c r="CP220">
        <v>33.270000000000003</v>
      </c>
      <c r="CQ220" s="13"/>
      <c r="CR220" s="1"/>
      <c r="CS220" s="1"/>
      <c r="CT220">
        <v>45.349997999999999</v>
      </c>
      <c r="CU220">
        <v>44.630001</v>
      </c>
      <c r="CV220" s="13"/>
      <c r="CW220" s="1"/>
      <c r="CX220" s="1"/>
      <c r="CY220">
        <v>41.77</v>
      </c>
      <c r="CZ220">
        <v>41.240001999999997</v>
      </c>
      <c r="DA220" s="13"/>
      <c r="DB220" s="1"/>
      <c r="DC220" s="1"/>
      <c r="DD220">
        <v>50.189999</v>
      </c>
      <c r="DE220">
        <v>49.279998999999997</v>
      </c>
      <c r="DF220" s="13"/>
      <c r="DG220" s="1"/>
      <c r="DH220" s="1"/>
      <c r="DI220">
        <v>35.279998999999997</v>
      </c>
      <c r="DJ220">
        <v>34.880001</v>
      </c>
      <c r="DK220" s="13"/>
      <c r="DM220" s="1"/>
    </row>
    <row r="221" spans="27:117">
      <c r="AA221" s="10">
        <v>42342</v>
      </c>
      <c r="AB221" s="13">
        <v>49.450001</v>
      </c>
      <c r="AC221" s="13">
        <v>48.060001</v>
      </c>
      <c r="AD221" s="13"/>
      <c r="AE221" s="1"/>
      <c r="AF221" s="1"/>
      <c r="AG221" s="14">
        <v>60.389999000000003</v>
      </c>
      <c r="AH221" s="14">
        <v>59.560001</v>
      </c>
      <c r="AI221" s="13"/>
      <c r="AJ221" s="1"/>
      <c r="AK221" s="1"/>
      <c r="AL221">
        <v>16.629999000000002</v>
      </c>
      <c r="AM221">
        <v>16.370000999999998</v>
      </c>
      <c r="AN221" s="13"/>
      <c r="AO221" s="1"/>
      <c r="AP221" s="1"/>
      <c r="AQ221">
        <v>62.169998</v>
      </c>
      <c r="AR221">
        <v>60.720001000000003</v>
      </c>
      <c r="AS221" s="13"/>
      <c r="AT221" s="1"/>
      <c r="AU221" s="1"/>
      <c r="AV221">
        <v>80.800003000000004</v>
      </c>
      <c r="AW221">
        <v>78.529999000000004</v>
      </c>
      <c r="AX221" s="13"/>
      <c r="AY221" s="1"/>
      <c r="AZ221" s="1"/>
      <c r="BA221">
        <v>67.099997999999999</v>
      </c>
      <c r="BB221">
        <v>66.300003000000004</v>
      </c>
      <c r="BC221" s="13"/>
      <c r="BD221" s="1"/>
      <c r="BE221" s="1"/>
      <c r="BF221">
        <v>60.34</v>
      </c>
      <c r="BG221">
        <v>58.869999</v>
      </c>
      <c r="BH221" s="13"/>
      <c r="BI221" s="1"/>
      <c r="BJ221" s="1"/>
      <c r="BK221">
        <v>50.669998</v>
      </c>
      <c r="BL221">
        <v>49.509998000000003</v>
      </c>
      <c r="BM221" s="13"/>
      <c r="BN221" s="1"/>
      <c r="BO221" s="1"/>
      <c r="BP221">
        <v>98.309997999999993</v>
      </c>
      <c r="BQ221">
        <v>96.419998000000007</v>
      </c>
      <c r="BR221" s="13"/>
      <c r="BS221" s="1"/>
      <c r="BT221" s="1"/>
      <c r="BU221">
        <v>54.66</v>
      </c>
      <c r="BV221">
        <v>53.48</v>
      </c>
      <c r="BW221" s="13"/>
      <c r="BY221" s="1"/>
      <c r="BZ221">
        <v>25.049999</v>
      </c>
      <c r="CA221">
        <v>24.530000999999999</v>
      </c>
      <c r="CB221" s="13"/>
      <c r="CC221" s="1"/>
      <c r="CD221" s="1"/>
      <c r="CE221">
        <v>62.509998000000003</v>
      </c>
      <c r="CF221">
        <v>61.220001000000003</v>
      </c>
      <c r="CG221" s="13"/>
      <c r="CH221" s="1"/>
      <c r="CI221" s="1"/>
      <c r="CJ221">
        <v>36.889999000000003</v>
      </c>
      <c r="CK221">
        <v>36.18</v>
      </c>
      <c r="CL221" s="13"/>
      <c r="CM221" s="1"/>
      <c r="CN221" s="1"/>
      <c r="CO221">
        <v>33.799999</v>
      </c>
      <c r="CP221">
        <v>33.139999000000003</v>
      </c>
      <c r="CQ221" s="13"/>
      <c r="CR221" s="1"/>
      <c r="CS221" s="1"/>
      <c r="CT221">
        <v>44.939999</v>
      </c>
      <c r="CU221">
        <v>44.439999</v>
      </c>
      <c r="CV221" s="13"/>
      <c r="CW221" s="1"/>
      <c r="CX221" s="1"/>
      <c r="CY221">
        <v>41.919998</v>
      </c>
      <c r="CZ221">
        <v>41.209999000000003</v>
      </c>
      <c r="DA221" s="13"/>
      <c r="DB221" s="1"/>
      <c r="DC221" s="1"/>
      <c r="DD221">
        <v>49.5</v>
      </c>
      <c r="DE221">
        <v>48.25</v>
      </c>
      <c r="DF221" s="13"/>
      <c r="DG221" s="1"/>
      <c r="DH221" s="1"/>
      <c r="DI221">
        <v>35.119999</v>
      </c>
      <c r="DJ221">
        <v>34.5</v>
      </c>
      <c r="DK221" s="13"/>
      <c r="DM221" s="1"/>
    </row>
    <row r="222" spans="27:117">
      <c r="AA222" s="10">
        <v>42341</v>
      </c>
      <c r="AB222" s="13">
        <v>49.07</v>
      </c>
      <c r="AC222" s="13">
        <v>47.93</v>
      </c>
      <c r="AD222" s="13"/>
      <c r="AE222" s="1"/>
      <c r="AF222" s="1"/>
      <c r="AG222" s="14">
        <v>60.52</v>
      </c>
      <c r="AH222" s="14">
        <v>59.169998</v>
      </c>
      <c r="AI222" s="13"/>
      <c r="AJ222" s="1"/>
      <c r="AK222" s="1"/>
      <c r="AL222">
        <v>16.629999000000002</v>
      </c>
      <c r="AM222">
        <v>16.350000000000001</v>
      </c>
      <c r="AN222" s="13"/>
      <c r="AO222" s="1"/>
      <c r="AP222" s="1"/>
      <c r="AQ222">
        <v>61.279998999999997</v>
      </c>
      <c r="AR222">
        <v>60.299999</v>
      </c>
      <c r="AS222" s="13"/>
      <c r="AT222" s="1"/>
      <c r="AU222" s="1"/>
      <c r="AV222">
        <v>78.959998999999996</v>
      </c>
      <c r="AW222">
        <v>77.949996999999996</v>
      </c>
      <c r="AX222" s="13"/>
      <c r="AY222" s="1"/>
      <c r="AZ222" s="1"/>
      <c r="BA222">
        <v>66.730002999999996</v>
      </c>
      <c r="BB222">
        <v>65.5</v>
      </c>
      <c r="BC222" s="13"/>
      <c r="BD222" s="1"/>
      <c r="BE222" s="1"/>
      <c r="BF222">
        <v>58.720001000000003</v>
      </c>
      <c r="BG222">
        <v>57.849997999999999</v>
      </c>
      <c r="BH222" s="13"/>
      <c r="BI222" s="1"/>
      <c r="BJ222" s="1"/>
      <c r="BK222">
        <v>49.720001000000003</v>
      </c>
      <c r="BL222">
        <v>49.150002000000001</v>
      </c>
      <c r="BM222" s="13"/>
      <c r="BN222" s="1"/>
      <c r="BO222" s="1"/>
      <c r="BP222">
        <v>98.010002</v>
      </c>
      <c r="BQ222">
        <v>96.190002000000007</v>
      </c>
      <c r="BR222" s="13"/>
      <c r="BS222" s="1"/>
      <c r="BT222" s="1"/>
      <c r="BU222">
        <v>54.419998</v>
      </c>
      <c r="BV222">
        <v>53.330002</v>
      </c>
      <c r="BW222" s="13"/>
      <c r="BY222" s="1"/>
      <c r="BZ222">
        <v>24.98</v>
      </c>
      <c r="CA222">
        <v>24.469999000000001</v>
      </c>
      <c r="CB222" s="13"/>
      <c r="CC222" s="1"/>
      <c r="CD222" s="1"/>
      <c r="CE222">
        <v>61.939999</v>
      </c>
      <c r="CF222">
        <v>60.93</v>
      </c>
      <c r="CG222" s="13"/>
      <c r="CH222" s="1"/>
      <c r="CI222" s="1"/>
      <c r="CJ222">
        <v>36.580002</v>
      </c>
      <c r="CK222">
        <v>36.009998000000003</v>
      </c>
      <c r="CL222" s="13"/>
      <c r="CM222" s="1"/>
      <c r="CN222" s="1"/>
      <c r="CO222">
        <v>33.18</v>
      </c>
      <c r="CP222">
        <v>32.849997999999999</v>
      </c>
      <c r="CQ222" s="13"/>
      <c r="CR222" s="1"/>
      <c r="CS222" s="1"/>
      <c r="CT222">
        <v>44.52</v>
      </c>
      <c r="CU222">
        <v>43.720001000000003</v>
      </c>
      <c r="CV222" s="13"/>
      <c r="CW222" s="1"/>
      <c r="CX222" s="1"/>
      <c r="CY222">
        <v>42.209999000000003</v>
      </c>
      <c r="CZ222">
        <v>41.240001999999997</v>
      </c>
      <c r="DA222" s="13"/>
      <c r="DB222" s="1"/>
      <c r="DC222" s="1"/>
      <c r="DD222">
        <v>48.650002000000001</v>
      </c>
      <c r="DE222">
        <v>47.98</v>
      </c>
      <c r="DF222" s="13"/>
      <c r="DG222" s="1"/>
      <c r="DH222" s="1"/>
      <c r="DI222">
        <v>35.080002</v>
      </c>
      <c r="DJ222">
        <v>34.330002</v>
      </c>
      <c r="DK222" s="13"/>
      <c r="DM222" s="1"/>
    </row>
    <row r="223" spans="27:117">
      <c r="AA223" s="10">
        <v>42340</v>
      </c>
      <c r="AB223" s="13">
        <v>50.779998999999997</v>
      </c>
      <c r="AC223" s="13">
        <v>49.080002</v>
      </c>
      <c r="AD223" s="13"/>
      <c r="AE223" s="1"/>
      <c r="AF223" s="1"/>
      <c r="AG223" s="14">
        <v>61.34</v>
      </c>
      <c r="AH223" s="14">
        <v>60.209999000000003</v>
      </c>
      <c r="AI223" s="13"/>
      <c r="AJ223" s="1"/>
      <c r="AK223" s="1"/>
      <c r="AL223">
        <v>17</v>
      </c>
      <c r="AM223">
        <v>16.57</v>
      </c>
      <c r="AN223" s="13"/>
      <c r="AO223" s="1"/>
      <c r="AP223" s="1"/>
      <c r="AQ223">
        <v>62.57</v>
      </c>
      <c r="AR223">
        <v>61.41</v>
      </c>
      <c r="AS223" s="13"/>
      <c r="AT223" s="1"/>
      <c r="AU223" s="1"/>
      <c r="AV223">
        <v>80.510002</v>
      </c>
      <c r="AW223">
        <v>78.610000999999997</v>
      </c>
      <c r="AX223" s="13"/>
      <c r="AY223" s="1"/>
      <c r="AZ223" s="1"/>
      <c r="BA223">
        <v>67.940002000000007</v>
      </c>
      <c r="BB223">
        <v>66.059997999999993</v>
      </c>
      <c r="BC223" s="13"/>
      <c r="BD223" s="1"/>
      <c r="BE223" s="1"/>
      <c r="BF223">
        <v>59.360000999999997</v>
      </c>
      <c r="BG223">
        <v>58.580002</v>
      </c>
      <c r="BH223" s="13"/>
      <c r="BI223" s="1"/>
      <c r="BJ223" s="1"/>
      <c r="BK223">
        <v>50.790000999999997</v>
      </c>
      <c r="BL223">
        <v>49.66</v>
      </c>
      <c r="BM223" s="13"/>
      <c r="BN223" s="1"/>
      <c r="BO223" s="1"/>
      <c r="BP223">
        <v>100.43</v>
      </c>
      <c r="BQ223">
        <v>97.910004000000001</v>
      </c>
      <c r="BR223" s="13"/>
      <c r="BS223" s="1"/>
      <c r="BT223" s="1"/>
      <c r="BU223">
        <v>54.779998999999997</v>
      </c>
      <c r="BV223">
        <v>53.900002000000001</v>
      </c>
      <c r="BW223" s="13"/>
      <c r="BY223" s="1"/>
      <c r="BZ223">
        <v>25.969999000000001</v>
      </c>
      <c r="CA223">
        <v>25.059999000000001</v>
      </c>
      <c r="CB223" s="13"/>
      <c r="CC223" s="1"/>
      <c r="CD223" s="1"/>
      <c r="CE223">
        <v>63.560001</v>
      </c>
      <c r="CF223">
        <v>61.950001</v>
      </c>
      <c r="CG223" s="13"/>
      <c r="CH223" s="1"/>
      <c r="CI223" s="1"/>
      <c r="CJ223">
        <v>37.299999</v>
      </c>
      <c r="CK223">
        <v>36.549999</v>
      </c>
      <c r="CL223" s="13"/>
      <c r="CM223" s="1"/>
      <c r="CN223" s="1"/>
      <c r="CO223">
        <v>34.150002000000001</v>
      </c>
      <c r="CP223">
        <v>33.090000000000003</v>
      </c>
      <c r="CQ223" s="13"/>
      <c r="CR223" s="1"/>
      <c r="CS223" s="1"/>
      <c r="CT223">
        <v>45.09</v>
      </c>
      <c r="CU223">
        <v>44.18</v>
      </c>
      <c r="CV223" s="13"/>
      <c r="CW223" s="1"/>
      <c r="CX223" s="1"/>
      <c r="CY223">
        <v>42.889999000000003</v>
      </c>
      <c r="CZ223">
        <v>42.189999</v>
      </c>
      <c r="DA223" s="13"/>
      <c r="DB223" s="1"/>
      <c r="DC223" s="1"/>
      <c r="DD223">
        <v>49.970001000000003</v>
      </c>
      <c r="DE223">
        <v>48.639999000000003</v>
      </c>
      <c r="DF223" s="13"/>
      <c r="DG223" s="1"/>
      <c r="DH223" s="1"/>
      <c r="DI223">
        <v>35.93</v>
      </c>
      <c r="DJ223">
        <v>35.18</v>
      </c>
      <c r="DK223" s="13"/>
      <c r="DM223" s="1"/>
    </row>
    <row r="224" spans="27:117">
      <c r="AA224" s="10">
        <v>42339</v>
      </c>
      <c r="AB224" s="13">
        <v>51.330002</v>
      </c>
      <c r="AC224" s="13">
        <v>50.57</v>
      </c>
      <c r="AD224" s="13"/>
      <c r="AE224" s="1"/>
      <c r="AF224" s="1"/>
      <c r="AG224" s="14">
        <v>61.419998</v>
      </c>
      <c r="AH224" s="14">
        <v>60.57</v>
      </c>
      <c r="AI224" s="13"/>
      <c r="AJ224" s="1"/>
      <c r="AK224" s="1"/>
      <c r="AL224">
        <v>17.149999999999999</v>
      </c>
      <c r="AM224">
        <v>16.84</v>
      </c>
      <c r="AN224" s="13"/>
      <c r="AO224" s="1"/>
      <c r="AP224" s="1"/>
      <c r="AQ224">
        <v>62.66</v>
      </c>
      <c r="AR224">
        <v>62.009998000000003</v>
      </c>
      <c r="AS224" s="13"/>
      <c r="AT224" s="1"/>
      <c r="AU224" s="1"/>
      <c r="AV224">
        <v>81.050003000000004</v>
      </c>
      <c r="AW224">
        <v>80</v>
      </c>
      <c r="AX224" s="13"/>
      <c r="AY224" s="1"/>
      <c r="AZ224" s="1"/>
      <c r="BA224">
        <v>68.440002000000007</v>
      </c>
      <c r="BB224">
        <v>67.389999000000003</v>
      </c>
      <c r="BC224" s="13"/>
      <c r="BD224" s="1"/>
      <c r="BE224" s="1"/>
      <c r="BF224">
        <v>59.68</v>
      </c>
      <c r="BG224">
        <v>58.900002000000001</v>
      </c>
      <c r="BH224" s="13"/>
      <c r="BI224" s="1"/>
      <c r="BJ224" s="1"/>
      <c r="BK224">
        <v>51.189999</v>
      </c>
      <c r="BL224">
        <v>50.189999</v>
      </c>
      <c r="BM224" s="13"/>
      <c r="BN224" s="1"/>
      <c r="BO224" s="1"/>
      <c r="BP224">
        <v>100.959999</v>
      </c>
      <c r="BQ224">
        <v>99.650002000000001</v>
      </c>
      <c r="BR224" s="13"/>
      <c r="BS224" s="1"/>
      <c r="BT224" s="1"/>
      <c r="BU224">
        <v>55.290000999999997</v>
      </c>
      <c r="BV224">
        <v>54.240001999999997</v>
      </c>
      <c r="BW224" s="13"/>
      <c r="BY224" s="1"/>
      <c r="BZ224">
        <v>26.379999000000002</v>
      </c>
      <c r="CA224">
        <v>25.700001</v>
      </c>
      <c r="CB224" s="13"/>
      <c r="CC224" s="1"/>
      <c r="CD224" s="1"/>
      <c r="CE224">
        <v>63.990001999999997</v>
      </c>
      <c r="CF224">
        <v>63.169998</v>
      </c>
      <c r="CG224" s="13"/>
      <c r="CH224" s="1"/>
      <c r="CI224" s="1"/>
      <c r="CJ224">
        <v>37.459999000000003</v>
      </c>
      <c r="CK224">
        <v>36.939999</v>
      </c>
      <c r="CL224" s="13"/>
      <c r="CM224" s="1"/>
      <c r="CN224" s="1"/>
      <c r="CO224">
        <v>34.340000000000003</v>
      </c>
      <c r="CP224">
        <v>33.82</v>
      </c>
      <c r="CQ224" s="13"/>
      <c r="CR224" s="1"/>
      <c r="CS224" s="1"/>
      <c r="CT224">
        <v>45.240001999999997</v>
      </c>
      <c r="CU224">
        <v>44.68</v>
      </c>
      <c r="CV224" s="13"/>
      <c r="CW224" s="1"/>
      <c r="CX224" s="1"/>
      <c r="CY224">
        <v>43.09</v>
      </c>
      <c r="CZ224">
        <v>42.43</v>
      </c>
      <c r="DA224" s="13"/>
      <c r="DB224" s="1"/>
      <c r="DC224" s="1"/>
      <c r="DD224">
        <v>49.939999</v>
      </c>
      <c r="DE224">
        <v>49.25</v>
      </c>
      <c r="DF224" s="13"/>
      <c r="DG224" s="1"/>
      <c r="DH224" s="1"/>
      <c r="DI224">
        <v>36.009998000000003</v>
      </c>
      <c r="DJ224">
        <v>35.709999000000003</v>
      </c>
      <c r="DK224" s="13"/>
      <c r="DM224" s="1"/>
    </row>
    <row r="225" spans="27:117">
      <c r="AA225" s="10">
        <v>42338</v>
      </c>
      <c r="AB225" s="13">
        <v>51.59</v>
      </c>
      <c r="AC225" s="13">
        <v>50.919998</v>
      </c>
      <c r="AD225" s="12">
        <f>(MAX(AB225:AB244)+MIN(AC225:AC244))/2</f>
        <v>50.92</v>
      </c>
      <c r="AE225" s="1">
        <f>0.505*4</f>
        <v>2.02</v>
      </c>
      <c r="AF225" s="9">
        <f>+AE225/AD225</f>
        <v>3.9670070699135897E-2</v>
      </c>
      <c r="AG225" s="14">
        <v>60.549999</v>
      </c>
      <c r="AH225" s="14">
        <v>59.759998000000003</v>
      </c>
      <c r="AI225" s="12">
        <f>(MAX(AG225:AG244)+MIN(AH225:AH244))/2</f>
        <v>58.6499995</v>
      </c>
      <c r="AJ225" s="1">
        <f>0.5875*4</f>
        <v>2.35</v>
      </c>
      <c r="AK225" s="9">
        <f>+AJ225/AI225</f>
        <v>4.0068201535108282E-2</v>
      </c>
      <c r="AL225">
        <v>17.09</v>
      </c>
      <c r="AM225">
        <v>16.940000999999999</v>
      </c>
      <c r="AN225" s="12">
        <f>(MAX(AL225:AL244)+MIN(AM225:AM244))/2</f>
        <v>17.875</v>
      </c>
      <c r="AO225" s="1">
        <f>0.2475*4</f>
        <v>0.99</v>
      </c>
      <c r="AP225" s="9">
        <f>+AO225/AN225</f>
        <v>5.5384615384615386E-2</v>
      </c>
      <c r="AQ225">
        <v>62.599997999999999</v>
      </c>
      <c r="AR225">
        <v>62.049999</v>
      </c>
      <c r="AS225" s="12">
        <f>(MAX(AQ225:AQ244)+MIN(AR225:AR244))/2</f>
        <v>63.749998499999997</v>
      </c>
      <c r="AT225" s="13">
        <f>0.65*4</f>
        <v>2.6</v>
      </c>
      <c r="AU225" s="9">
        <f>+AT225/AS225</f>
        <v>4.0784314685121136E-2</v>
      </c>
      <c r="AV225">
        <v>81.120002999999997</v>
      </c>
      <c r="AW225">
        <v>80.139999000000003</v>
      </c>
      <c r="AX225" s="12">
        <f>(MAX(AV225:AV244)+MIN(AW225:AW244))/2</f>
        <v>80.870002499999998</v>
      </c>
      <c r="AY225" s="1">
        <f>0.73*4</f>
        <v>2.92</v>
      </c>
      <c r="AZ225" s="9">
        <f>+AY225/AX225</f>
        <v>3.6107331640060233E-2</v>
      </c>
      <c r="BA225">
        <v>68.230002999999996</v>
      </c>
      <c r="BB225">
        <v>67.550003000000004</v>
      </c>
      <c r="BC225" s="12">
        <f>(MAX(BA225:BA244)+MIN(BB225:BB244))/2</f>
        <v>69.100002500000002</v>
      </c>
      <c r="BD225" s="13">
        <f>0.825*4</f>
        <v>3.3</v>
      </c>
      <c r="BE225" s="9">
        <f>+BD225/BC225</f>
        <v>4.7756872367696365E-2</v>
      </c>
      <c r="BF225">
        <v>59.830002</v>
      </c>
      <c r="BG225">
        <v>59.310001</v>
      </c>
      <c r="BH225" s="12">
        <f>(MAX(BF225:BF244)+MIN(BG225:BG244))/2</f>
        <v>59.334998999999996</v>
      </c>
      <c r="BI225" s="1">
        <f>0.4175*4</f>
        <v>1.67</v>
      </c>
      <c r="BJ225" s="9">
        <f>+BI225/BH225</f>
        <v>2.8145277292412191E-2</v>
      </c>
      <c r="BK225">
        <v>51.540000999999997</v>
      </c>
      <c r="BL225">
        <v>50.41</v>
      </c>
      <c r="BM225" s="12">
        <f>(MAX(BK225:BK244)+MIN(BL225:BL244))/2</f>
        <v>50.319999999999993</v>
      </c>
      <c r="BN225" s="1">
        <f>0.4175*4</f>
        <v>1.67</v>
      </c>
      <c r="BO225" s="9">
        <f>+BN225/BM225</f>
        <v>3.3187599364069953E-2</v>
      </c>
      <c r="BP225">
        <v>100.5</v>
      </c>
      <c r="BQ225">
        <v>99.260002</v>
      </c>
      <c r="BR225" s="12">
        <f>(MAX(BP225:BP244)+MIN(BQ225:BQ244))/2</f>
        <v>100.47999949999999</v>
      </c>
      <c r="BS225" s="1">
        <f>0.77*4</f>
        <v>3.08</v>
      </c>
      <c r="BT225" s="9">
        <f>+BS225/BR225</f>
        <v>3.0652866394570398E-2</v>
      </c>
      <c r="BU225">
        <v>54.830002</v>
      </c>
      <c r="BV225">
        <v>54.240001999999997</v>
      </c>
      <c r="BW225" s="12">
        <f>(MAX(BU225:BU244)+MIN(BV225:BV244))/2</f>
        <v>53.385000000000005</v>
      </c>
      <c r="BX225">
        <f>0.48*4</f>
        <v>1.92</v>
      </c>
      <c r="BY225" s="9">
        <f>+BX225/BW225</f>
        <v>3.5965158752458551E-2</v>
      </c>
      <c r="BZ225">
        <v>26.27</v>
      </c>
      <c r="CA225">
        <v>25.879999000000002</v>
      </c>
      <c r="CB225" s="12">
        <f>(MAX(BZ225:BZ244)+MIN(CA225:CA244))/2</f>
        <v>27.055000499999998</v>
      </c>
      <c r="CC225" s="13">
        <f>0.275*4</f>
        <v>1.1000000000000001</v>
      </c>
      <c r="CD225" s="9">
        <f>+CC225/CB225</f>
        <v>4.0657918302385548E-2</v>
      </c>
      <c r="CE225">
        <v>63.959999000000003</v>
      </c>
      <c r="CF225">
        <v>62.98</v>
      </c>
      <c r="CG225" s="12">
        <f>(MAX(CE225:CE244)+MIN(CF225:CF244))/2</f>
        <v>63.234998500000003</v>
      </c>
      <c r="CH225" s="13">
        <f>0.625*4</f>
        <v>2.5</v>
      </c>
      <c r="CI225" s="9">
        <f>+CH225/CG225</f>
        <v>3.9535068542778565E-2</v>
      </c>
      <c r="CJ225">
        <v>37.150002000000001</v>
      </c>
      <c r="CK225">
        <v>36.689999</v>
      </c>
      <c r="CL225" s="12">
        <f>(MAX(CJ225:CJ244)+MIN(CK225:CK244))/2</f>
        <v>36.200000500000002</v>
      </c>
      <c r="CM225" s="13">
        <f>0.3*4</f>
        <v>1.2</v>
      </c>
      <c r="CN225" s="9">
        <f>+CM225/CL225</f>
        <v>3.3149170812856753E-2</v>
      </c>
      <c r="CO225">
        <v>34.310001</v>
      </c>
      <c r="CP225">
        <v>33.639999000000003</v>
      </c>
      <c r="CQ225" s="12">
        <f>(MAX(CO225:CO244)+MIN(CP225:CP244))/2</f>
        <v>33.809999500000004</v>
      </c>
      <c r="CR225" s="1">
        <f>0.3775*4</f>
        <v>1.51</v>
      </c>
      <c r="CS225" s="9">
        <f>+CR225/CQ225</f>
        <v>4.4661343458464113E-2</v>
      </c>
      <c r="CT225">
        <v>44.919998</v>
      </c>
      <c r="CU225">
        <v>44.540000999999997</v>
      </c>
      <c r="CV225" s="12">
        <f>(MAX(CT225:CT244)+MIN(CU225:CU244))/2</f>
        <v>44.710000999999998</v>
      </c>
      <c r="CW225" s="1">
        <f>0.5425*4</f>
        <v>2.17</v>
      </c>
      <c r="CX225" s="9">
        <f>+CW225/CV225</f>
        <v>4.8535002269402765E-2</v>
      </c>
      <c r="CY225">
        <v>42.990001999999997</v>
      </c>
      <c r="CZ225">
        <v>42.310001</v>
      </c>
      <c r="DA225" s="12">
        <f>(MAX(CY225:CY244)+MIN(CZ225:CZ244))/2</f>
        <v>43.325001</v>
      </c>
      <c r="DB225" s="13">
        <f>0.4*4</f>
        <v>1.6</v>
      </c>
      <c r="DC225" s="9">
        <f>+DB225/DA225</f>
        <v>3.6930178028155153E-2</v>
      </c>
      <c r="DD225">
        <v>49.889999000000003</v>
      </c>
      <c r="DE225">
        <v>49.299999</v>
      </c>
      <c r="DF225" s="12">
        <f>(MAX(DD225:DD244)+MIN(DE225:DE244))/2</f>
        <v>51.004998999999998</v>
      </c>
      <c r="DG225" s="1">
        <f>0.4575*4</f>
        <v>1.83</v>
      </c>
      <c r="DH225" s="9">
        <f>+DG225/DF225</f>
        <v>3.5878836111730934E-2</v>
      </c>
      <c r="DI225">
        <v>35.919998</v>
      </c>
      <c r="DJ225">
        <v>35.560001</v>
      </c>
      <c r="DK225" s="12">
        <f>(MAX(DI225:DI244)+MIN(DJ225:DJ244))/2</f>
        <v>35.325001</v>
      </c>
      <c r="DL225">
        <f>0.32*4</f>
        <v>1.28</v>
      </c>
      <c r="DM225" s="9">
        <f>+DL225/DK225</f>
        <v>3.6234960049965743E-2</v>
      </c>
    </row>
    <row r="226" spans="27:117">
      <c r="AA226" s="10">
        <v>42335</v>
      </c>
      <c r="AB226" s="13">
        <v>51.330002</v>
      </c>
      <c r="AC226" s="13">
        <v>50.68</v>
      </c>
      <c r="AD226" s="13"/>
      <c r="AE226" s="1"/>
      <c r="AF226" s="1"/>
      <c r="AG226" s="14">
        <v>60.279998999999997</v>
      </c>
      <c r="AH226" s="14">
        <v>59.779998999999997</v>
      </c>
      <c r="AI226" s="13"/>
      <c r="AJ226" s="1"/>
      <c r="AK226" s="1"/>
      <c r="AL226">
        <v>17.16</v>
      </c>
      <c r="AM226">
        <v>17</v>
      </c>
      <c r="AN226" s="13"/>
      <c r="AO226" s="1"/>
      <c r="AP226" s="1"/>
      <c r="AQ226">
        <v>62.419998</v>
      </c>
      <c r="AR226">
        <v>62.029998999999997</v>
      </c>
      <c r="AS226" s="13"/>
      <c r="AT226" s="1"/>
      <c r="AU226" s="1"/>
      <c r="AV226">
        <v>80.620002999999997</v>
      </c>
      <c r="AW226">
        <v>79.580001999999993</v>
      </c>
      <c r="AX226" s="13"/>
      <c r="AY226" s="1"/>
      <c r="AZ226" s="1"/>
      <c r="BA226">
        <v>68.300003000000004</v>
      </c>
      <c r="BB226">
        <v>67.489998</v>
      </c>
      <c r="BC226" s="13"/>
      <c r="BD226" s="1"/>
      <c r="BE226" s="1"/>
      <c r="BF226">
        <v>59.889999000000003</v>
      </c>
      <c r="BG226">
        <v>59.27</v>
      </c>
      <c r="BH226" s="13"/>
      <c r="BI226" s="1"/>
      <c r="BJ226" s="1"/>
      <c r="BK226">
        <v>50.91</v>
      </c>
      <c r="BL226">
        <v>50.299999</v>
      </c>
      <c r="BM226" s="13"/>
      <c r="BN226" s="1"/>
      <c r="BO226" s="1"/>
      <c r="BP226">
        <v>99.699996999999996</v>
      </c>
      <c r="BQ226">
        <v>99.019997000000004</v>
      </c>
      <c r="BR226" s="13"/>
      <c r="BS226" s="1"/>
      <c r="BT226" s="1"/>
      <c r="BU226">
        <v>54.59</v>
      </c>
      <c r="BV226">
        <v>54.130001</v>
      </c>
      <c r="BW226" s="13"/>
      <c r="BY226" s="1"/>
      <c r="BZ226">
        <v>26</v>
      </c>
      <c r="CA226">
        <v>25.76</v>
      </c>
      <c r="CB226" s="13"/>
      <c r="CC226" s="1"/>
      <c r="CD226" s="1"/>
      <c r="CE226">
        <v>63.099997999999999</v>
      </c>
      <c r="CF226">
        <v>62.650002000000001</v>
      </c>
      <c r="CG226" s="13"/>
      <c r="CH226" s="1"/>
      <c r="CI226" s="1"/>
      <c r="CJ226">
        <v>36.849997999999999</v>
      </c>
      <c r="CK226">
        <v>36.520000000000003</v>
      </c>
      <c r="CL226" s="13"/>
      <c r="CM226" s="1"/>
      <c r="CN226" s="1"/>
      <c r="CO226">
        <v>33.790000999999997</v>
      </c>
      <c r="CP226">
        <v>33.580002</v>
      </c>
      <c r="CQ226" s="13"/>
      <c r="CR226" s="1"/>
      <c r="CS226" s="1"/>
      <c r="CT226">
        <v>44.790000999999997</v>
      </c>
      <c r="CU226">
        <v>44.5</v>
      </c>
      <c r="CV226" s="13"/>
      <c r="CW226" s="1"/>
      <c r="CX226" s="1"/>
      <c r="CY226">
        <v>42.59</v>
      </c>
      <c r="CZ226">
        <v>42.16</v>
      </c>
      <c r="DA226" s="13"/>
      <c r="DB226" s="1"/>
      <c r="DC226" s="1"/>
      <c r="DD226">
        <v>49.82</v>
      </c>
      <c r="DE226">
        <v>49.07</v>
      </c>
      <c r="DF226" s="13"/>
      <c r="DG226" s="1"/>
      <c r="DH226" s="1"/>
      <c r="DI226">
        <v>35.830002</v>
      </c>
      <c r="DJ226">
        <v>35.369999</v>
      </c>
      <c r="DK226" s="13"/>
      <c r="DM226" s="1"/>
    </row>
    <row r="227" spans="27:117">
      <c r="AA227" s="10">
        <v>42333</v>
      </c>
      <c r="AB227" s="13">
        <v>50.93</v>
      </c>
      <c r="AC227" s="13">
        <v>50.509998000000003</v>
      </c>
      <c r="AD227" s="13"/>
      <c r="AE227" s="1"/>
      <c r="AF227" s="1"/>
      <c r="AG227" s="14">
        <v>60.02</v>
      </c>
      <c r="AH227" s="14">
        <v>59.509998000000003</v>
      </c>
      <c r="AI227" s="13"/>
      <c r="AJ227" s="1"/>
      <c r="AK227" s="1"/>
      <c r="AL227">
        <v>17.149999999999999</v>
      </c>
      <c r="AM227">
        <v>16.920000000000002</v>
      </c>
      <c r="AN227" s="13"/>
      <c r="AO227" s="1"/>
      <c r="AP227" s="1"/>
      <c r="AQ227">
        <v>62.439999</v>
      </c>
      <c r="AR227">
        <v>61.860000999999997</v>
      </c>
      <c r="AS227" s="13"/>
      <c r="AT227" s="1"/>
      <c r="AU227" s="1"/>
      <c r="AV227">
        <v>80.209998999999996</v>
      </c>
      <c r="AW227">
        <v>79.480002999999996</v>
      </c>
      <c r="AX227" s="13"/>
      <c r="AY227" s="1"/>
      <c r="AZ227" s="1"/>
      <c r="BA227">
        <v>68.160004000000001</v>
      </c>
      <c r="BB227">
        <v>67.580001999999993</v>
      </c>
      <c r="BC227" s="13"/>
      <c r="BD227" s="1"/>
      <c r="BE227" s="1"/>
      <c r="BF227">
        <v>59.75</v>
      </c>
      <c r="BG227">
        <v>58.98</v>
      </c>
      <c r="BH227" s="13"/>
      <c r="BI227" s="1"/>
      <c r="BJ227" s="1"/>
      <c r="BK227">
        <v>50.630001</v>
      </c>
      <c r="BL227">
        <v>50.209999000000003</v>
      </c>
      <c r="BM227" s="13"/>
      <c r="BN227" s="1"/>
      <c r="BO227" s="1"/>
      <c r="BP227">
        <v>99.269997000000004</v>
      </c>
      <c r="BQ227">
        <v>98.529999000000004</v>
      </c>
      <c r="BR227" s="13"/>
      <c r="BS227" s="1"/>
      <c r="BT227" s="1"/>
      <c r="BU227">
        <v>54.369999</v>
      </c>
      <c r="BV227">
        <v>53.709999000000003</v>
      </c>
      <c r="BW227" s="13"/>
      <c r="BY227" s="1"/>
      <c r="BZ227">
        <v>26.030000999999999</v>
      </c>
      <c r="CA227">
        <v>25.629999000000002</v>
      </c>
      <c r="CB227" s="13"/>
      <c r="CC227" s="1"/>
      <c r="CD227" s="1"/>
      <c r="CE227">
        <v>63.130001</v>
      </c>
      <c r="CF227">
        <v>62.439999</v>
      </c>
      <c r="CG227" s="13"/>
      <c r="CH227" s="1"/>
      <c r="CI227" s="1"/>
      <c r="CJ227">
        <v>36.759998000000003</v>
      </c>
      <c r="CK227">
        <v>36.389999000000003</v>
      </c>
      <c r="CL227" s="13"/>
      <c r="CM227" s="1"/>
      <c r="CN227" s="1"/>
      <c r="CO227">
        <v>33.93</v>
      </c>
      <c r="CP227">
        <v>33.419998</v>
      </c>
      <c r="CQ227" s="13"/>
      <c r="CR227" s="1"/>
      <c r="CS227" s="1"/>
      <c r="CT227">
        <v>44.799999</v>
      </c>
      <c r="CU227">
        <v>44.32</v>
      </c>
      <c r="CV227" s="13"/>
      <c r="CW227" s="1"/>
      <c r="CX227" s="1"/>
      <c r="CY227">
        <v>42.41</v>
      </c>
      <c r="CZ227">
        <v>41.82</v>
      </c>
      <c r="DA227" s="13"/>
      <c r="DB227" s="1"/>
      <c r="DC227" s="1"/>
      <c r="DD227">
        <v>49.509998000000003</v>
      </c>
      <c r="DE227">
        <v>48.880001</v>
      </c>
      <c r="DF227" s="13"/>
      <c r="DG227" s="1"/>
      <c r="DH227" s="1"/>
      <c r="DI227">
        <v>35.729999999999997</v>
      </c>
      <c r="DJ227">
        <v>35.330002</v>
      </c>
      <c r="DK227" s="13"/>
      <c r="DM227" s="1"/>
    </row>
    <row r="228" spans="27:117">
      <c r="AA228" s="10">
        <v>42332</v>
      </c>
      <c r="AB228" s="13">
        <v>51.200001</v>
      </c>
      <c r="AC228" s="13">
        <v>50.240001999999997</v>
      </c>
      <c r="AD228" s="13"/>
      <c r="AE228" s="1"/>
      <c r="AF228" s="1"/>
      <c r="AG228" s="14">
        <v>60.34</v>
      </c>
      <c r="AH228" s="14">
        <v>59.509998000000003</v>
      </c>
      <c r="AI228" s="13"/>
      <c r="AJ228" s="1"/>
      <c r="AK228" s="1"/>
      <c r="AL228">
        <v>17.100000000000001</v>
      </c>
      <c r="AM228">
        <v>16.850000000000001</v>
      </c>
      <c r="AN228" s="13"/>
      <c r="AO228" s="1"/>
      <c r="AP228" s="1"/>
      <c r="AQ228">
        <v>62.740001999999997</v>
      </c>
      <c r="AR228">
        <v>61.939999</v>
      </c>
      <c r="AS228" s="13"/>
      <c r="AT228" s="1"/>
      <c r="AU228" s="1"/>
      <c r="AV228">
        <v>80.400002000000001</v>
      </c>
      <c r="AW228">
        <v>79.360000999999997</v>
      </c>
      <c r="AX228" s="13"/>
      <c r="AY228" s="1"/>
      <c r="AZ228" s="1"/>
      <c r="BA228">
        <v>68.190002000000007</v>
      </c>
      <c r="BB228">
        <v>67.360000999999997</v>
      </c>
      <c r="BC228" s="13"/>
      <c r="BD228" s="1"/>
      <c r="BE228" s="1"/>
      <c r="BF228">
        <v>59.900002000000001</v>
      </c>
      <c r="BG228">
        <v>59.16</v>
      </c>
      <c r="BH228" s="13"/>
      <c r="BI228" s="1"/>
      <c r="BJ228" s="1"/>
      <c r="BK228">
        <v>50.91</v>
      </c>
      <c r="BL228">
        <v>50.380001</v>
      </c>
      <c r="BM228" s="13"/>
      <c r="BN228" s="1"/>
      <c r="BO228" s="1"/>
      <c r="BP228">
        <v>99.910004000000001</v>
      </c>
      <c r="BQ228">
        <v>98.650002000000001</v>
      </c>
      <c r="BR228" s="13"/>
      <c r="BS228" s="1"/>
      <c r="BT228" s="1"/>
      <c r="BU228">
        <v>54.290000999999997</v>
      </c>
      <c r="BV228">
        <v>53.560001</v>
      </c>
      <c r="BW228" s="13"/>
      <c r="BY228" s="1"/>
      <c r="BZ228">
        <v>25.870000999999998</v>
      </c>
      <c r="CA228">
        <v>25.450001</v>
      </c>
      <c r="CB228" s="13"/>
      <c r="CC228" s="1"/>
      <c r="CD228" s="1"/>
      <c r="CE228">
        <v>63.349997999999999</v>
      </c>
      <c r="CF228">
        <v>62.209999000000003</v>
      </c>
      <c r="CG228" s="13"/>
      <c r="CH228" s="1"/>
      <c r="CI228" s="1"/>
      <c r="CJ228">
        <v>36.860000999999997</v>
      </c>
      <c r="CK228">
        <v>36.18</v>
      </c>
      <c r="CL228" s="13"/>
      <c r="CM228" s="1"/>
      <c r="CN228" s="1"/>
      <c r="CO228">
        <v>33.979999999999997</v>
      </c>
      <c r="CP228">
        <v>33.479999999999997</v>
      </c>
      <c r="CQ228" s="13"/>
      <c r="CR228" s="1"/>
      <c r="CS228" s="1"/>
      <c r="CT228">
        <v>44.939999</v>
      </c>
      <c r="CU228">
        <v>44.419998</v>
      </c>
      <c r="CV228" s="13"/>
      <c r="CW228" s="1"/>
      <c r="CX228" s="1"/>
      <c r="CY228">
        <v>42.32</v>
      </c>
      <c r="CZ228">
        <v>41.43</v>
      </c>
      <c r="DA228" s="13"/>
      <c r="DB228" s="1"/>
      <c r="DC228" s="1"/>
      <c r="DD228">
        <v>49.889999000000003</v>
      </c>
      <c r="DE228">
        <v>49.02</v>
      </c>
      <c r="DF228" s="13"/>
      <c r="DG228" s="1"/>
      <c r="DH228" s="1"/>
      <c r="DI228">
        <v>35.790000999999997</v>
      </c>
      <c r="DJ228">
        <v>35.200001</v>
      </c>
      <c r="DK228" s="13"/>
      <c r="DM228" s="1"/>
    </row>
    <row r="229" spans="27:117">
      <c r="AA229" s="10">
        <v>42331</v>
      </c>
      <c r="AB229" s="13">
        <v>51.950001</v>
      </c>
      <c r="AC229" s="13">
        <v>51.189999</v>
      </c>
      <c r="AD229" s="13"/>
      <c r="AE229" s="1"/>
      <c r="AF229" s="1"/>
      <c r="AG229" s="14">
        <v>61.119999</v>
      </c>
      <c r="AH229" s="14">
        <v>60.220001000000003</v>
      </c>
      <c r="AI229" s="13"/>
      <c r="AJ229" s="1"/>
      <c r="AK229" s="1"/>
      <c r="AL229">
        <v>17.219999000000001</v>
      </c>
      <c r="AM229">
        <v>16.959999</v>
      </c>
      <c r="AN229" s="13"/>
      <c r="AO229" s="1"/>
      <c r="AP229" s="1"/>
      <c r="AQ229">
        <v>63.669998</v>
      </c>
      <c r="AR229">
        <v>62.779998999999997</v>
      </c>
      <c r="AS229" s="13"/>
      <c r="AT229" s="1"/>
      <c r="AU229" s="1"/>
      <c r="AV229">
        <v>81.669998000000007</v>
      </c>
      <c r="AW229">
        <v>80.360000999999997</v>
      </c>
      <c r="AX229" s="13"/>
      <c r="AY229" s="1"/>
      <c r="AZ229" s="1"/>
      <c r="BA229">
        <v>69.25</v>
      </c>
      <c r="BB229">
        <v>67.790001000000004</v>
      </c>
      <c r="BC229" s="13"/>
      <c r="BD229" s="1"/>
      <c r="BE229" s="1"/>
      <c r="BF229">
        <v>60.82</v>
      </c>
      <c r="BG229">
        <v>60.080002</v>
      </c>
      <c r="BH229" s="13"/>
      <c r="BI229" s="1"/>
      <c r="BJ229" s="1"/>
      <c r="BK229">
        <v>51.689999</v>
      </c>
      <c r="BL229">
        <v>50.98</v>
      </c>
      <c r="BM229" s="13"/>
      <c r="BN229" s="1"/>
      <c r="BO229" s="1"/>
      <c r="BP229">
        <v>101.339996</v>
      </c>
      <c r="BQ229">
        <v>100.230003</v>
      </c>
      <c r="BR229" s="13"/>
      <c r="BS229" s="1"/>
      <c r="BT229" s="1"/>
      <c r="BU229">
        <v>54.259998000000003</v>
      </c>
      <c r="BV229">
        <v>53.93</v>
      </c>
      <c r="BW229" s="13"/>
      <c r="BY229" s="1"/>
      <c r="BZ229">
        <v>26.23</v>
      </c>
      <c r="CA229">
        <v>25.83</v>
      </c>
      <c r="CB229" s="13"/>
      <c r="CC229" s="1"/>
      <c r="CD229" s="1"/>
      <c r="CE229">
        <v>63.84</v>
      </c>
      <c r="CF229">
        <v>62.73</v>
      </c>
      <c r="CG229" s="13"/>
      <c r="CH229" s="1"/>
      <c r="CI229" s="1"/>
      <c r="CJ229">
        <v>37.25</v>
      </c>
      <c r="CK229">
        <v>36.529998999999997</v>
      </c>
      <c r="CL229" s="13"/>
      <c r="CM229" s="1"/>
      <c r="CN229" s="1"/>
      <c r="CO229">
        <v>35</v>
      </c>
      <c r="CP229">
        <v>33.849997999999999</v>
      </c>
      <c r="CQ229" s="13"/>
      <c r="CR229" s="1"/>
      <c r="CS229" s="1"/>
      <c r="CT229">
        <v>45.439999</v>
      </c>
      <c r="CU229">
        <v>44.77</v>
      </c>
      <c r="CV229" s="13"/>
      <c r="CW229" s="1"/>
      <c r="CX229" s="1"/>
      <c r="CY229">
        <v>42.189999</v>
      </c>
      <c r="CZ229">
        <v>41.75</v>
      </c>
      <c r="DA229" s="13"/>
      <c r="DB229" s="1"/>
      <c r="DC229" s="1"/>
      <c r="DD229">
        <v>50.669998</v>
      </c>
      <c r="DE229">
        <v>49.82</v>
      </c>
      <c r="DF229" s="13"/>
      <c r="DG229" s="1"/>
      <c r="DH229" s="1"/>
      <c r="DI229">
        <v>36.029998999999997</v>
      </c>
      <c r="DJ229">
        <v>35.540000999999997</v>
      </c>
      <c r="DK229" s="13"/>
      <c r="DM229" s="1"/>
    </row>
    <row r="230" spans="27:117">
      <c r="AA230" s="10">
        <v>42328</v>
      </c>
      <c r="AB230" s="13">
        <v>52.189999</v>
      </c>
      <c r="AC230" s="13">
        <v>51.459999000000003</v>
      </c>
      <c r="AD230" s="13"/>
      <c r="AE230" s="1"/>
      <c r="AF230" s="1"/>
      <c r="AG230" s="14">
        <v>61.16</v>
      </c>
      <c r="AH230" s="14">
        <v>60.529998999999997</v>
      </c>
      <c r="AI230" s="13"/>
      <c r="AJ230" s="1"/>
      <c r="AK230" s="1"/>
      <c r="AL230">
        <v>17.32</v>
      </c>
      <c r="AM230">
        <v>16.989999999999998</v>
      </c>
      <c r="AN230" s="13"/>
      <c r="AO230" s="1"/>
      <c r="AP230" s="1"/>
      <c r="AQ230">
        <v>63.82</v>
      </c>
      <c r="AR230">
        <v>62.98</v>
      </c>
      <c r="AS230" s="13"/>
      <c r="AT230" s="1"/>
      <c r="AU230" s="1"/>
      <c r="AV230">
        <v>81.889999000000003</v>
      </c>
      <c r="AW230">
        <v>81.019997000000004</v>
      </c>
      <c r="AX230" s="13"/>
      <c r="AY230" s="1"/>
      <c r="AZ230" s="1"/>
      <c r="BA230">
        <v>69.459998999999996</v>
      </c>
      <c r="BB230">
        <v>68.639999000000003</v>
      </c>
      <c r="BC230" s="13"/>
      <c r="BD230" s="1"/>
      <c r="BE230" s="1"/>
      <c r="BF230">
        <v>61.16</v>
      </c>
      <c r="BG230">
        <v>60.400002000000001</v>
      </c>
      <c r="BH230" s="13"/>
      <c r="BI230" s="1"/>
      <c r="BJ230" s="1"/>
      <c r="BK230">
        <v>51.900002000000001</v>
      </c>
      <c r="BL230">
        <v>51.189999</v>
      </c>
      <c r="BM230" s="13"/>
      <c r="BN230" s="1"/>
      <c r="BO230" s="1"/>
      <c r="BP230">
        <v>101.870003</v>
      </c>
      <c r="BQ230">
        <v>100.57</v>
      </c>
      <c r="BR230" s="13"/>
      <c r="BS230" s="1"/>
      <c r="BT230" s="1"/>
      <c r="BU230">
        <v>54.330002</v>
      </c>
      <c r="BV230">
        <v>53.5</v>
      </c>
      <c r="BW230" s="13"/>
      <c r="BY230" s="1"/>
      <c r="BZ230">
        <v>26.549999</v>
      </c>
      <c r="CA230">
        <v>25.959999</v>
      </c>
      <c r="CB230" s="13"/>
      <c r="CC230" s="1"/>
      <c r="CD230" s="1"/>
      <c r="CE230">
        <v>63.849997999999999</v>
      </c>
      <c r="CF230">
        <v>63.060001</v>
      </c>
      <c r="CG230" s="13"/>
      <c r="CH230" s="1"/>
      <c r="CI230" s="1"/>
      <c r="CJ230">
        <v>37.119999</v>
      </c>
      <c r="CK230">
        <v>36.669998</v>
      </c>
      <c r="CL230" s="13"/>
      <c r="CM230" s="1"/>
      <c r="CN230" s="1"/>
      <c r="CO230">
        <v>34.799999</v>
      </c>
      <c r="CP230">
        <v>34.18</v>
      </c>
      <c r="CQ230" s="13"/>
      <c r="CR230" s="1"/>
      <c r="CS230" s="1"/>
      <c r="CT230">
        <v>45.669998</v>
      </c>
      <c r="CU230">
        <v>45.049999</v>
      </c>
      <c r="CV230" s="13"/>
      <c r="CW230" s="1"/>
      <c r="CX230" s="1"/>
      <c r="CY230">
        <v>42.02</v>
      </c>
      <c r="CZ230">
        <v>41.490001999999997</v>
      </c>
      <c r="DA230" s="13"/>
      <c r="DB230" s="1"/>
      <c r="DC230" s="1"/>
      <c r="DD230">
        <v>50.889999000000003</v>
      </c>
      <c r="DE230">
        <v>50.299999</v>
      </c>
      <c r="DF230" s="13"/>
      <c r="DG230" s="1"/>
      <c r="DH230" s="1"/>
      <c r="DI230">
        <v>36.159999999999997</v>
      </c>
      <c r="DJ230">
        <v>35.740001999999997</v>
      </c>
      <c r="DK230" s="13"/>
      <c r="DM230" s="1"/>
    </row>
    <row r="231" spans="27:117">
      <c r="AA231" s="10">
        <v>42327</v>
      </c>
      <c r="AB231" s="13">
        <v>51.419998</v>
      </c>
      <c r="AC231" s="13">
        <v>50.830002</v>
      </c>
      <c r="AD231" s="13"/>
      <c r="AE231" s="1"/>
      <c r="AF231" s="1"/>
      <c r="AG231" s="14">
        <v>60.59</v>
      </c>
      <c r="AH231" s="14">
        <v>59.310001</v>
      </c>
      <c r="AI231" s="13"/>
      <c r="AJ231" s="1"/>
      <c r="AK231" s="1"/>
      <c r="AL231">
        <v>17.290001</v>
      </c>
      <c r="AM231">
        <v>17.049999</v>
      </c>
      <c r="AN231" s="13"/>
      <c r="AO231" s="1"/>
      <c r="AP231" s="1"/>
      <c r="AQ231">
        <v>63.549999</v>
      </c>
      <c r="AR231">
        <v>62.790000999999997</v>
      </c>
      <c r="AS231" s="13"/>
      <c r="AT231" s="1"/>
      <c r="AU231" s="1"/>
      <c r="AV231">
        <v>81.379997000000003</v>
      </c>
      <c r="AW231">
        <v>80.069999999999993</v>
      </c>
      <c r="AX231" s="13"/>
      <c r="AY231" s="1"/>
      <c r="AZ231" s="1"/>
      <c r="BA231">
        <v>68.529999000000004</v>
      </c>
      <c r="BB231">
        <v>67.25</v>
      </c>
      <c r="BC231" s="13"/>
      <c r="BD231" s="1"/>
      <c r="BE231" s="1"/>
      <c r="BF231">
        <v>60.580002</v>
      </c>
      <c r="BG231">
        <v>59.400002000000001</v>
      </c>
      <c r="BH231" s="13"/>
      <c r="BI231" s="1"/>
      <c r="BJ231" s="1"/>
      <c r="BK231">
        <v>51.290000999999997</v>
      </c>
      <c r="BL231">
        <v>50.490001999999997</v>
      </c>
      <c r="BM231" s="13"/>
      <c r="BN231" s="1"/>
      <c r="BO231" s="1"/>
      <c r="BP231">
        <v>101.25</v>
      </c>
      <c r="BQ231">
        <v>99.629997000000003</v>
      </c>
      <c r="BR231" s="13"/>
      <c r="BS231" s="1"/>
      <c r="BT231" s="1"/>
      <c r="BU231">
        <v>53.669998</v>
      </c>
      <c r="BV231">
        <v>53.040000999999997</v>
      </c>
      <c r="BW231" s="13"/>
      <c r="BY231" s="1"/>
      <c r="BZ231">
        <v>26.41</v>
      </c>
      <c r="CA231">
        <v>26.030000999999999</v>
      </c>
      <c r="CB231" s="13"/>
      <c r="CC231" s="1"/>
      <c r="CD231" s="1"/>
      <c r="CE231">
        <v>62.939999</v>
      </c>
      <c r="CF231">
        <v>62.02</v>
      </c>
      <c r="CG231" s="13"/>
      <c r="CH231" s="1"/>
      <c r="CI231" s="1"/>
      <c r="CJ231">
        <v>36.720001000000003</v>
      </c>
      <c r="CK231">
        <v>35.900002000000001</v>
      </c>
      <c r="CL231" s="13"/>
      <c r="CM231" s="1"/>
      <c r="CN231" s="1"/>
      <c r="CO231">
        <v>34.169998</v>
      </c>
      <c r="CP231">
        <v>33.729999999999997</v>
      </c>
      <c r="CQ231" s="13"/>
      <c r="CR231" s="1"/>
      <c r="CS231" s="1"/>
      <c r="CT231">
        <v>45.259998000000003</v>
      </c>
      <c r="CU231">
        <v>44.599997999999999</v>
      </c>
      <c r="CV231" s="13"/>
      <c r="CW231" s="1"/>
      <c r="CX231" s="1"/>
      <c r="CY231">
        <v>41.610000999999997</v>
      </c>
      <c r="CZ231">
        <v>40.939999</v>
      </c>
      <c r="DA231" s="13"/>
      <c r="DB231" s="1"/>
      <c r="DC231" s="1"/>
      <c r="DD231">
        <v>50.560001</v>
      </c>
      <c r="DE231">
        <v>49.82</v>
      </c>
      <c r="DF231" s="13"/>
      <c r="DG231" s="1"/>
      <c r="DH231" s="1"/>
      <c r="DI231">
        <v>35.900002000000001</v>
      </c>
      <c r="DJ231">
        <v>35.459999000000003</v>
      </c>
      <c r="DK231" s="13"/>
      <c r="DM231" s="1"/>
    </row>
    <row r="232" spans="27:117">
      <c r="AA232" s="10">
        <v>42326</v>
      </c>
      <c r="AB232" s="13">
        <v>51.209999000000003</v>
      </c>
      <c r="AC232" s="13">
        <v>50</v>
      </c>
      <c r="AD232" s="13"/>
      <c r="AE232" s="1"/>
      <c r="AF232" s="1"/>
      <c r="AG232" s="14">
        <v>59.380001</v>
      </c>
      <c r="AH232" s="14">
        <v>58.400002000000001</v>
      </c>
      <c r="AI232" s="13"/>
      <c r="AJ232" s="1"/>
      <c r="AK232" s="1"/>
      <c r="AL232">
        <v>17.18</v>
      </c>
      <c r="AM232">
        <v>16.870000999999998</v>
      </c>
      <c r="AN232" s="13"/>
      <c r="AO232" s="1"/>
      <c r="AP232" s="1"/>
      <c r="AQ232">
        <v>62.849997999999999</v>
      </c>
      <c r="AR232">
        <v>61.830002</v>
      </c>
      <c r="AS232" s="13"/>
      <c r="AT232" s="1"/>
      <c r="AU232" s="1"/>
      <c r="AV232">
        <v>80.029999000000004</v>
      </c>
      <c r="AW232">
        <v>78.260002</v>
      </c>
      <c r="AX232" s="13"/>
      <c r="AY232" s="1"/>
      <c r="AZ232" s="1"/>
      <c r="BA232">
        <v>67.300003000000004</v>
      </c>
      <c r="BB232">
        <v>65.819999999999993</v>
      </c>
      <c r="BC232" s="13"/>
      <c r="BD232" s="1"/>
      <c r="BE232" s="1"/>
      <c r="BF232">
        <v>59.5</v>
      </c>
      <c r="BG232">
        <v>58.470001000000003</v>
      </c>
      <c r="BH232" s="13"/>
      <c r="BI232" s="1"/>
      <c r="BJ232" s="1"/>
      <c r="BK232">
        <v>50.68</v>
      </c>
      <c r="BL232">
        <v>49.400002000000001</v>
      </c>
      <c r="BM232" s="13"/>
      <c r="BN232" s="1"/>
      <c r="BO232" s="1"/>
      <c r="BP232">
        <v>101.260002</v>
      </c>
      <c r="BQ232">
        <v>98.550003000000004</v>
      </c>
      <c r="BR232" s="13"/>
      <c r="BS232" s="1"/>
      <c r="BT232" s="1"/>
      <c r="BU232">
        <v>53.060001</v>
      </c>
      <c r="BV232">
        <v>52</v>
      </c>
      <c r="BW232" s="13"/>
      <c r="BY232" s="1"/>
      <c r="BZ232">
        <v>26.09</v>
      </c>
      <c r="CA232">
        <v>25.68</v>
      </c>
      <c r="CB232" s="13"/>
      <c r="CC232" s="1"/>
      <c r="CD232" s="1"/>
      <c r="CE232">
        <v>62.279998999999997</v>
      </c>
      <c r="CF232">
        <v>61.32</v>
      </c>
      <c r="CG232" s="13"/>
      <c r="CH232" s="1"/>
      <c r="CI232" s="1"/>
      <c r="CJ232">
        <v>35.970001000000003</v>
      </c>
      <c r="CK232">
        <v>34.990001999999997</v>
      </c>
      <c r="CL232" s="13"/>
      <c r="CM232" s="1"/>
      <c r="CN232" s="1"/>
      <c r="CO232">
        <v>33.709999000000003</v>
      </c>
      <c r="CP232">
        <v>33</v>
      </c>
      <c r="CQ232" s="13"/>
      <c r="CR232" s="1"/>
      <c r="CS232" s="1"/>
      <c r="CT232">
        <v>44.540000999999997</v>
      </c>
      <c r="CU232">
        <v>43.869999</v>
      </c>
      <c r="CV232" s="13"/>
      <c r="CW232" s="1"/>
      <c r="CX232" s="1"/>
      <c r="CY232">
        <v>41.119999</v>
      </c>
      <c r="CZ232">
        <v>40.400002000000001</v>
      </c>
      <c r="DA232" s="13"/>
      <c r="DB232" s="1"/>
      <c r="DC232" s="1"/>
      <c r="DD232">
        <v>50.150002000000001</v>
      </c>
      <c r="DE232">
        <v>49.200001</v>
      </c>
      <c r="DF232" s="13"/>
      <c r="DG232" s="1"/>
      <c r="DH232" s="1"/>
      <c r="DI232">
        <v>35.669998</v>
      </c>
      <c r="DJ232">
        <v>34.93</v>
      </c>
      <c r="DK232" s="13"/>
      <c r="DM232" s="1"/>
    </row>
    <row r="233" spans="27:117">
      <c r="AA233" s="10">
        <v>42325</v>
      </c>
      <c r="AB233" s="13">
        <v>51.759998000000003</v>
      </c>
      <c r="AC233" s="13">
        <v>50.41</v>
      </c>
      <c r="AD233" s="13"/>
      <c r="AE233" s="1"/>
      <c r="AF233" s="1"/>
      <c r="AG233" s="14">
        <v>60.369999</v>
      </c>
      <c r="AH233" s="14">
        <v>58.77</v>
      </c>
      <c r="AI233" s="13"/>
      <c r="AJ233" s="1"/>
      <c r="AK233" s="1"/>
      <c r="AL233">
        <v>17.32</v>
      </c>
      <c r="AM233">
        <v>17.010000000000002</v>
      </c>
      <c r="AN233" s="13"/>
      <c r="AO233" s="1"/>
      <c r="AP233" s="1"/>
      <c r="AQ233">
        <v>63.330002</v>
      </c>
      <c r="AR233">
        <v>62.169998</v>
      </c>
      <c r="AS233" s="13"/>
      <c r="AT233" s="1"/>
      <c r="AU233" s="1"/>
      <c r="AV233">
        <v>81.440002000000007</v>
      </c>
      <c r="AW233">
        <v>79.319999999999993</v>
      </c>
      <c r="AX233" s="13"/>
      <c r="AY233" s="1"/>
      <c r="AZ233" s="1"/>
      <c r="BA233">
        <v>68.010002</v>
      </c>
      <c r="BB233">
        <v>65.650002000000001</v>
      </c>
      <c r="BC233" s="13"/>
      <c r="BD233" s="1"/>
      <c r="BE233" s="1"/>
      <c r="BF233">
        <v>60.830002</v>
      </c>
      <c r="BG233">
        <v>58.860000999999997</v>
      </c>
      <c r="BH233" s="13"/>
      <c r="BI233" s="1"/>
      <c r="BJ233" s="1"/>
      <c r="BK233">
        <v>51.220001000000003</v>
      </c>
      <c r="BL233">
        <v>49.48</v>
      </c>
      <c r="BM233" s="13"/>
      <c r="BN233" s="1"/>
      <c r="BO233" s="1"/>
      <c r="BP233">
        <v>103.07</v>
      </c>
      <c r="BQ233">
        <v>100.510002</v>
      </c>
      <c r="BR233" s="13"/>
      <c r="BS233" s="1"/>
      <c r="BT233" s="1"/>
      <c r="BU233">
        <v>54.200001</v>
      </c>
      <c r="BV233">
        <v>52.639999000000003</v>
      </c>
      <c r="BW233" s="13"/>
      <c r="BY233" s="1"/>
      <c r="BZ233">
        <v>26.59</v>
      </c>
      <c r="CA233">
        <v>25.85</v>
      </c>
      <c r="CB233" s="13"/>
      <c r="CC233" s="1"/>
      <c r="CD233" s="1"/>
      <c r="CE233">
        <v>63.279998999999997</v>
      </c>
      <c r="CF233">
        <v>61.689999</v>
      </c>
      <c r="CG233" s="13"/>
      <c r="CH233" s="1"/>
      <c r="CI233" s="1"/>
      <c r="CJ233">
        <v>36.07</v>
      </c>
      <c r="CK233">
        <v>35.139999000000003</v>
      </c>
      <c r="CL233" s="13"/>
      <c r="CM233" s="1"/>
      <c r="CN233" s="1"/>
      <c r="CO233">
        <v>34.169998</v>
      </c>
      <c r="CP233">
        <v>33.25</v>
      </c>
      <c r="CQ233" s="13"/>
      <c r="CR233" s="1"/>
      <c r="CS233" s="1"/>
      <c r="CT233">
        <v>44.959999000000003</v>
      </c>
      <c r="CU233">
        <v>43.93</v>
      </c>
      <c r="CV233" s="13"/>
      <c r="CW233" s="1"/>
      <c r="CX233" s="1"/>
      <c r="CY233">
        <v>41.77</v>
      </c>
      <c r="CZ233">
        <v>40.82</v>
      </c>
      <c r="DA233" s="13"/>
      <c r="DB233" s="1"/>
      <c r="DC233" s="1"/>
      <c r="DD233">
        <v>50.650002000000001</v>
      </c>
      <c r="DE233">
        <v>49.419998</v>
      </c>
      <c r="DF233" s="13"/>
      <c r="DG233" s="1"/>
      <c r="DH233" s="1"/>
      <c r="DI233">
        <v>35.799999</v>
      </c>
      <c r="DJ233">
        <v>35.090000000000003</v>
      </c>
      <c r="DK233" s="13"/>
      <c r="DM233" s="1"/>
    </row>
    <row r="234" spans="27:117">
      <c r="AA234" s="10">
        <v>42324</v>
      </c>
      <c r="AB234" s="13">
        <v>51.52</v>
      </c>
      <c r="AC234" s="13">
        <v>50.279998999999997</v>
      </c>
      <c r="AD234" s="13"/>
      <c r="AE234" s="1"/>
      <c r="AF234" s="1"/>
      <c r="AG234" s="14">
        <v>60.029998999999997</v>
      </c>
      <c r="AH234" s="14">
        <v>58.639999000000003</v>
      </c>
      <c r="AI234" s="13"/>
      <c r="AJ234" s="1"/>
      <c r="AK234" s="1"/>
      <c r="AL234">
        <v>17.239999999999998</v>
      </c>
      <c r="AM234">
        <v>16.879999000000002</v>
      </c>
      <c r="AN234" s="13"/>
      <c r="AO234" s="1"/>
      <c r="AP234" s="1"/>
      <c r="AQ234">
        <v>62.75</v>
      </c>
      <c r="AR234">
        <v>61.23</v>
      </c>
      <c r="AS234" s="13"/>
      <c r="AT234" s="1"/>
      <c r="AU234" s="1"/>
      <c r="AV234">
        <v>81.099997999999999</v>
      </c>
      <c r="AW234">
        <v>79.360000999999997</v>
      </c>
      <c r="AX234" s="13"/>
      <c r="AY234" s="1"/>
      <c r="AZ234" s="1"/>
      <c r="BA234">
        <v>67.75</v>
      </c>
      <c r="BB234">
        <v>66.760002</v>
      </c>
      <c r="BC234" s="13"/>
      <c r="BD234" s="1"/>
      <c r="BE234" s="1"/>
      <c r="BF234">
        <v>60.259998000000003</v>
      </c>
      <c r="BG234">
        <v>59.419998</v>
      </c>
      <c r="BH234" s="13"/>
      <c r="BI234" s="1"/>
      <c r="BJ234" s="1"/>
      <c r="BK234">
        <v>51.02</v>
      </c>
      <c r="BL234">
        <v>49.84</v>
      </c>
      <c r="BM234" s="13"/>
      <c r="BN234" s="1"/>
      <c r="BO234" s="1"/>
      <c r="BP234">
        <v>102.18</v>
      </c>
      <c r="BQ234">
        <v>100.139999</v>
      </c>
      <c r="BR234" s="13"/>
      <c r="BS234" s="1"/>
      <c r="BT234" s="1"/>
      <c r="BU234">
        <v>53.709999000000003</v>
      </c>
      <c r="BV234">
        <v>52.740001999999997</v>
      </c>
      <c r="BW234" s="13"/>
      <c r="BY234" s="1"/>
      <c r="BZ234">
        <v>26.59</v>
      </c>
      <c r="CA234">
        <v>25.700001</v>
      </c>
      <c r="CB234" s="13"/>
      <c r="CC234" s="1"/>
      <c r="CD234" s="1"/>
      <c r="CE234">
        <v>62.959999000000003</v>
      </c>
      <c r="CF234">
        <v>61.630001</v>
      </c>
      <c r="CG234" s="13"/>
      <c r="CH234" s="1"/>
      <c r="CI234" s="1"/>
      <c r="CJ234">
        <v>35.93</v>
      </c>
      <c r="CK234">
        <v>35.060001</v>
      </c>
      <c r="CL234" s="13"/>
      <c r="CM234" s="1"/>
      <c r="CN234" s="1"/>
      <c r="CO234">
        <v>34.040000999999997</v>
      </c>
      <c r="CP234">
        <v>33.099997999999999</v>
      </c>
      <c r="CQ234" s="13"/>
      <c r="CR234" s="1"/>
      <c r="CS234" s="1"/>
      <c r="CT234">
        <v>44.75</v>
      </c>
      <c r="CU234">
        <v>43.91</v>
      </c>
      <c r="CV234" s="13"/>
      <c r="CW234" s="1"/>
      <c r="CX234" s="1"/>
      <c r="CY234">
        <v>41.66</v>
      </c>
      <c r="CZ234">
        <v>40.68</v>
      </c>
      <c r="DA234" s="13"/>
      <c r="DB234" s="1"/>
      <c r="DC234" s="1"/>
      <c r="DD234">
        <v>50.400002000000001</v>
      </c>
      <c r="DE234">
        <v>48.799999</v>
      </c>
      <c r="DF234" s="13"/>
      <c r="DG234" s="1"/>
      <c r="DH234" s="1"/>
      <c r="DI234">
        <v>35.590000000000003</v>
      </c>
      <c r="DJ234">
        <v>34.939999</v>
      </c>
      <c r="DK234" s="13"/>
      <c r="DM234" s="1"/>
    </row>
    <row r="235" spans="27:117">
      <c r="AA235" s="10">
        <v>42321</v>
      </c>
      <c r="AB235" s="13">
        <v>51.240001999999997</v>
      </c>
      <c r="AC235" s="13">
        <v>50.119999</v>
      </c>
      <c r="AD235" s="13"/>
      <c r="AE235" s="1"/>
      <c r="AF235" s="1"/>
      <c r="AG235" s="14">
        <v>59</v>
      </c>
      <c r="AH235" s="14">
        <v>58.18</v>
      </c>
      <c r="AI235" s="13"/>
      <c r="AJ235" s="1"/>
      <c r="AK235" s="1"/>
      <c r="AL235">
        <v>17.040001</v>
      </c>
      <c r="AM235">
        <v>16.860001</v>
      </c>
      <c r="AN235" s="13"/>
      <c r="AO235" s="1"/>
      <c r="AP235" s="1"/>
      <c r="AQ235">
        <v>62.990001999999997</v>
      </c>
      <c r="AR235">
        <v>61.75</v>
      </c>
      <c r="AS235" s="13"/>
      <c r="AT235" s="1"/>
      <c r="AU235" s="1"/>
      <c r="AV235">
        <v>80.800003000000004</v>
      </c>
      <c r="AW235">
        <v>79.330001999999993</v>
      </c>
      <c r="AX235" s="13"/>
      <c r="AY235" s="1"/>
      <c r="AZ235" s="1"/>
      <c r="BA235">
        <v>67.989998</v>
      </c>
      <c r="BB235">
        <v>66.680000000000007</v>
      </c>
      <c r="BC235" s="13"/>
      <c r="BD235" s="1"/>
      <c r="BE235" s="1"/>
      <c r="BF235">
        <v>60.91</v>
      </c>
      <c r="BG235">
        <v>59.48</v>
      </c>
      <c r="BH235" s="13"/>
      <c r="BI235" s="1"/>
      <c r="BJ235" s="1"/>
      <c r="BK235">
        <v>50.73</v>
      </c>
      <c r="BL235">
        <v>49.689999</v>
      </c>
      <c r="BM235" s="13"/>
      <c r="BN235" s="1"/>
      <c r="BO235" s="1"/>
      <c r="BP235">
        <v>101.66999800000001</v>
      </c>
      <c r="BQ235">
        <v>100.220001</v>
      </c>
      <c r="BR235" s="13"/>
      <c r="BS235" s="1"/>
      <c r="BT235" s="1"/>
      <c r="BU235">
        <v>53.830002</v>
      </c>
      <c r="BV235">
        <v>52.52</v>
      </c>
      <c r="BW235" s="13"/>
      <c r="BY235" s="1"/>
      <c r="BZ235">
        <v>26.32</v>
      </c>
      <c r="CA235">
        <v>25.709999</v>
      </c>
      <c r="CB235" s="13"/>
      <c r="CC235" s="1"/>
      <c r="CD235" s="1"/>
      <c r="CE235">
        <v>62.950001</v>
      </c>
      <c r="CF235">
        <v>61.16</v>
      </c>
      <c r="CG235" s="13"/>
      <c r="CH235" s="1"/>
      <c r="CI235" s="1"/>
      <c r="CJ235">
        <v>35.830002</v>
      </c>
      <c r="CK235">
        <v>34.970001000000003</v>
      </c>
      <c r="CL235" s="13"/>
      <c r="CM235" s="1"/>
      <c r="CN235" s="1"/>
      <c r="CO235">
        <v>33.700001</v>
      </c>
      <c r="CP235">
        <v>32.970001000000003</v>
      </c>
      <c r="CQ235" s="13"/>
      <c r="CR235" s="1"/>
      <c r="CS235" s="1"/>
      <c r="CT235">
        <v>44.369999</v>
      </c>
      <c r="CU235">
        <v>43.82</v>
      </c>
      <c r="CV235" s="13"/>
      <c r="CW235" s="1"/>
      <c r="CX235" s="1"/>
      <c r="CY235">
        <v>41.529998999999997</v>
      </c>
      <c r="CZ235">
        <v>40.619999</v>
      </c>
      <c r="DA235" s="13"/>
      <c r="DB235" s="1"/>
      <c r="DC235" s="1"/>
      <c r="DD235">
        <v>49.900002000000001</v>
      </c>
      <c r="DE235">
        <v>48.939999</v>
      </c>
      <c r="DF235" s="13"/>
      <c r="DG235" s="1"/>
      <c r="DH235" s="1"/>
      <c r="DI235">
        <v>35.650002000000001</v>
      </c>
      <c r="DJ235">
        <v>34.770000000000003</v>
      </c>
      <c r="DK235" s="13"/>
      <c r="DM235" s="1"/>
    </row>
    <row r="236" spans="27:117">
      <c r="AA236" s="10">
        <v>42320</v>
      </c>
      <c r="AB236" s="13">
        <v>52.169998</v>
      </c>
      <c r="AC236" s="13">
        <v>50.57</v>
      </c>
      <c r="AD236" s="13"/>
      <c r="AE236" s="1"/>
      <c r="AF236" s="1"/>
      <c r="AG236" s="14">
        <v>59.279998999999997</v>
      </c>
      <c r="AH236" s="14">
        <v>58.189999</v>
      </c>
      <c r="AI236" s="13"/>
      <c r="AJ236" s="1"/>
      <c r="AK236" s="1"/>
      <c r="AL236">
        <v>17.379999000000002</v>
      </c>
      <c r="AM236">
        <v>16.899999999999999</v>
      </c>
      <c r="AN236" s="13"/>
      <c r="AO236" s="1"/>
      <c r="AP236" s="1"/>
      <c r="AQ236">
        <v>63.419998</v>
      </c>
      <c r="AR236">
        <v>62.16</v>
      </c>
      <c r="AS236" s="13"/>
      <c r="AT236" s="1"/>
      <c r="AU236" s="1"/>
      <c r="AV236">
        <v>81.540001000000004</v>
      </c>
      <c r="AW236">
        <v>79.800003000000004</v>
      </c>
      <c r="AX236" s="13"/>
      <c r="AY236" s="1"/>
      <c r="AZ236" s="1"/>
      <c r="BA236">
        <v>68.809997999999993</v>
      </c>
      <c r="BB236">
        <v>67.279999000000004</v>
      </c>
      <c r="BC236" s="13"/>
      <c r="BD236" s="1"/>
      <c r="BE236" s="1"/>
      <c r="BF236">
        <v>60.939999</v>
      </c>
      <c r="BG236">
        <v>59.77</v>
      </c>
      <c r="BH236" s="13"/>
      <c r="BI236" s="1"/>
      <c r="BJ236" s="1"/>
      <c r="BK236">
        <v>51.380001</v>
      </c>
      <c r="BL236">
        <v>50.16</v>
      </c>
      <c r="BM236" s="13"/>
      <c r="BN236" s="1"/>
      <c r="BO236" s="1"/>
      <c r="BP236">
        <v>101.589996</v>
      </c>
      <c r="BQ236">
        <v>99.470000999999996</v>
      </c>
      <c r="BR236" s="13"/>
      <c r="BS236" s="1"/>
      <c r="BT236" s="1"/>
      <c r="BU236">
        <v>54.669998</v>
      </c>
      <c r="BV236">
        <v>53</v>
      </c>
      <c r="BW236" s="13"/>
      <c r="BY236" s="1"/>
      <c r="BZ236">
        <v>26.709999</v>
      </c>
      <c r="CA236">
        <v>26.08</v>
      </c>
      <c r="CB236" s="13"/>
      <c r="CC236" s="1"/>
      <c r="CD236" s="1"/>
      <c r="CE236">
        <v>63.919998</v>
      </c>
      <c r="CF236">
        <v>62.060001</v>
      </c>
      <c r="CG236" s="13"/>
      <c r="CH236" s="1"/>
      <c r="CI236" s="1"/>
      <c r="CJ236">
        <v>36.229999999999997</v>
      </c>
      <c r="CK236">
        <v>35.259998000000003</v>
      </c>
      <c r="CL236" s="13"/>
      <c r="CM236" s="1"/>
      <c r="CN236" s="1"/>
      <c r="CO236">
        <v>34.290000999999997</v>
      </c>
      <c r="CP236">
        <v>33.290000999999997</v>
      </c>
      <c r="CQ236" s="13"/>
      <c r="CR236" s="1"/>
      <c r="CS236" s="1"/>
      <c r="CT236">
        <v>44.639999000000003</v>
      </c>
      <c r="CU236">
        <v>43.82</v>
      </c>
      <c r="CV236" s="13"/>
      <c r="CW236" s="1"/>
      <c r="CX236" s="1"/>
      <c r="CY236">
        <v>42.310001</v>
      </c>
      <c r="CZ236">
        <v>41.200001</v>
      </c>
      <c r="DA236" s="13"/>
      <c r="DB236" s="1"/>
      <c r="DC236" s="1"/>
      <c r="DD236">
        <v>50.5</v>
      </c>
      <c r="DE236">
        <v>49.439999</v>
      </c>
      <c r="DF236" s="13"/>
      <c r="DG236" s="1"/>
      <c r="DH236" s="1"/>
      <c r="DI236">
        <v>36.32</v>
      </c>
      <c r="DJ236">
        <v>35.270000000000003</v>
      </c>
      <c r="DK236" s="13"/>
      <c r="DM236" s="1"/>
    </row>
    <row r="237" spans="27:117">
      <c r="AA237" s="10">
        <v>42319</v>
      </c>
      <c r="AB237" s="13">
        <v>52.369999</v>
      </c>
      <c r="AC237" s="13">
        <v>51.389999000000003</v>
      </c>
      <c r="AD237" s="13"/>
      <c r="AE237" s="1"/>
      <c r="AF237" s="1"/>
      <c r="AG237" s="14">
        <v>58.93</v>
      </c>
      <c r="AH237" s="14">
        <v>58.259998000000003</v>
      </c>
      <c r="AI237" s="13"/>
      <c r="AJ237" s="1"/>
      <c r="AK237" s="1"/>
      <c r="AL237">
        <v>17.389999</v>
      </c>
      <c r="AM237">
        <v>17.010000000000002</v>
      </c>
      <c r="AN237" s="13"/>
      <c r="AO237" s="1"/>
      <c r="AP237" s="1"/>
      <c r="AQ237">
        <v>63.080002</v>
      </c>
      <c r="AR237">
        <v>62.52</v>
      </c>
      <c r="AS237" s="13"/>
      <c r="AT237" s="1"/>
      <c r="AU237" s="1"/>
      <c r="AV237">
        <v>81.029999000000004</v>
      </c>
      <c r="AW237">
        <v>80.169998000000007</v>
      </c>
      <c r="AX237" s="13"/>
      <c r="AY237" s="1"/>
      <c r="AZ237" s="1"/>
      <c r="BA237">
        <v>68.440002000000007</v>
      </c>
      <c r="BB237">
        <v>67.400002000000001</v>
      </c>
      <c r="BC237" s="13"/>
      <c r="BD237" s="1"/>
      <c r="BE237" s="1"/>
      <c r="BF237">
        <v>60.849997999999999</v>
      </c>
      <c r="BG237">
        <v>59.799999</v>
      </c>
      <c r="BH237" s="13"/>
      <c r="BI237" s="1"/>
      <c r="BJ237" s="1"/>
      <c r="BK237">
        <v>51.139999000000003</v>
      </c>
      <c r="BL237">
        <v>50.389999000000003</v>
      </c>
      <c r="BM237" s="13"/>
      <c r="BN237" s="1"/>
      <c r="BO237" s="1"/>
      <c r="BP237">
        <v>99.839995999999999</v>
      </c>
      <c r="BQ237">
        <v>98.769997000000004</v>
      </c>
      <c r="BR237" s="13"/>
      <c r="BS237" s="1"/>
      <c r="BT237" s="1"/>
      <c r="BU237">
        <v>54.720001000000003</v>
      </c>
      <c r="BV237">
        <v>54.040000999999997</v>
      </c>
      <c r="BW237" s="13"/>
      <c r="BY237" s="1"/>
      <c r="BZ237">
        <v>26.629999000000002</v>
      </c>
      <c r="CA237">
        <v>26.25</v>
      </c>
      <c r="CB237" s="13"/>
      <c r="CC237" s="1"/>
      <c r="CD237" s="1"/>
      <c r="CE237">
        <v>63.849997999999999</v>
      </c>
      <c r="CF237">
        <v>63.139999000000003</v>
      </c>
      <c r="CG237" s="13"/>
      <c r="CH237" s="1"/>
      <c r="CI237" s="1"/>
      <c r="CJ237">
        <v>36.240001999999997</v>
      </c>
      <c r="CK237">
        <v>35.659999999999997</v>
      </c>
      <c r="CL237" s="13"/>
      <c r="CM237" s="1"/>
      <c r="CN237" s="1"/>
      <c r="CO237">
        <v>34.049999</v>
      </c>
      <c r="CP237">
        <v>33.380001</v>
      </c>
      <c r="CQ237" s="13"/>
      <c r="CR237" s="1"/>
      <c r="CS237" s="1"/>
      <c r="CT237">
        <v>45.139999000000003</v>
      </c>
      <c r="CU237">
        <v>44.48</v>
      </c>
      <c r="CV237" s="13"/>
      <c r="CW237" s="1"/>
      <c r="CX237" s="1"/>
      <c r="CY237">
        <v>42.790000999999997</v>
      </c>
      <c r="CZ237">
        <v>42.189999</v>
      </c>
      <c r="DA237" s="13"/>
      <c r="DB237" s="1"/>
      <c r="DC237" s="1"/>
      <c r="DD237">
        <v>50.139999000000003</v>
      </c>
      <c r="DE237">
        <v>49.43</v>
      </c>
      <c r="DF237" s="13"/>
      <c r="DG237" s="1"/>
      <c r="DH237" s="1"/>
      <c r="DI237">
        <v>36.169998</v>
      </c>
      <c r="DJ237">
        <v>35.5</v>
      </c>
      <c r="DK237" s="13"/>
      <c r="DM237" s="1"/>
    </row>
    <row r="238" spans="27:117">
      <c r="AA238" s="10">
        <v>42318</v>
      </c>
      <c r="AB238" s="13">
        <v>51.41</v>
      </c>
      <c r="AC238" s="13">
        <v>50.07</v>
      </c>
      <c r="AD238" s="13"/>
      <c r="AE238" s="1"/>
      <c r="AF238" s="1"/>
      <c r="AG238" s="14">
        <v>58.150002000000001</v>
      </c>
      <c r="AH238" s="14">
        <v>56.759998000000003</v>
      </c>
      <c r="AI238" s="13"/>
      <c r="AJ238" s="1"/>
      <c r="AK238" s="1"/>
      <c r="AL238">
        <v>17.43</v>
      </c>
      <c r="AM238">
        <v>17.079999999999998</v>
      </c>
      <c r="AN238" s="13"/>
      <c r="AO238" s="1"/>
      <c r="AP238" s="1"/>
      <c r="AQ238">
        <v>63.060001</v>
      </c>
      <c r="AR238">
        <v>62.060001</v>
      </c>
      <c r="AS238" s="13"/>
      <c r="AT238" s="1"/>
      <c r="AU238" s="1"/>
      <c r="AV238">
        <v>80.410004000000001</v>
      </c>
      <c r="AW238">
        <v>79.220000999999996</v>
      </c>
      <c r="AX238" s="13"/>
      <c r="AY238" s="1"/>
      <c r="AZ238" s="1"/>
      <c r="BA238">
        <v>67.790001000000004</v>
      </c>
      <c r="BB238">
        <v>67.129997000000003</v>
      </c>
      <c r="BC238" s="13"/>
      <c r="BD238" s="1"/>
      <c r="BE238" s="1"/>
      <c r="BF238">
        <v>60.610000999999997</v>
      </c>
      <c r="BG238">
        <v>59.259998000000003</v>
      </c>
      <c r="BH238" s="13"/>
      <c r="BI238" s="1"/>
      <c r="BJ238" s="1"/>
      <c r="BK238">
        <v>50.450001</v>
      </c>
      <c r="BL238">
        <v>49.18</v>
      </c>
      <c r="BM238" s="13"/>
      <c r="BN238" s="1"/>
      <c r="BO238" s="1"/>
      <c r="BP238">
        <v>99.519997000000004</v>
      </c>
      <c r="BQ238">
        <v>98.639999000000003</v>
      </c>
      <c r="BR238" s="13"/>
      <c r="BS238" s="1"/>
      <c r="BT238" s="1"/>
      <c r="BU238">
        <v>53.959999000000003</v>
      </c>
      <c r="BV238">
        <v>52.959999000000003</v>
      </c>
      <c r="BW238" s="13"/>
      <c r="BY238" s="1"/>
      <c r="BZ238">
        <v>26.719999000000001</v>
      </c>
      <c r="CA238">
        <v>26.139999</v>
      </c>
      <c r="CB238" s="13"/>
      <c r="CC238" s="1"/>
      <c r="CD238" s="1"/>
      <c r="CE238">
        <v>63.290000999999997</v>
      </c>
      <c r="CF238">
        <v>62.049999</v>
      </c>
      <c r="CG238" s="13"/>
      <c r="CH238" s="1"/>
      <c r="CI238" s="1"/>
      <c r="CJ238">
        <v>36.099997999999999</v>
      </c>
      <c r="CK238">
        <v>35.580002</v>
      </c>
      <c r="CL238" s="13"/>
      <c r="CM238" s="1"/>
      <c r="CN238" s="1"/>
      <c r="CO238">
        <v>33.369999</v>
      </c>
      <c r="CP238">
        <v>33.040000999999997</v>
      </c>
      <c r="CQ238" s="13"/>
      <c r="CR238" s="1"/>
      <c r="CS238" s="1"/>
      <c r="CT238">
        <v>44.48</v>
      </c>
      <c r="CU238">
        <v>44.060001</v>
      </c>
      <c r="CV238" s="13"/>
      <c r="CW238" s="1"/>
      <c r="CX238" s="1"/>
      <c r="CY238">
        <v>42.619999</v>
      </c>
      <c r="CZ238">
        <v>41.939999</v>
      </c>
      <c r="DA238" s="13"/>
      <c r="DB238" s="1"/>
      <c r="DC238" s="1"/>
      <c r="DD238">
        <v>49.580002</v>
      </c>
      <c r="DE238">
        <v>48.830002</v>
      </c>
      <c r="DF238" s="13"/>
      <c r="DG238" s="1"/>
      <c r="DH238" s="1"/>
      <c r="DI238">
        <v>35.619999</v>
      </c>
      <c r="DJ238">
        <v>35</v>
      </c>
      <c r="DK238" s="13"/>
      <c r="DM238" s="1"/>
    </row>
    <row r="239" spans="27:117">
      <c r="AA239" s="10">
        <v>42317</v>
      </c>
      <c r="AB239" s="13">
        <v>50.59</v>
      </c>
      <c r="AC239" s="13">
        <v>49.060001</v>
      </c>
      <c r="AD239" s="13"/>
      <c r="AE239" s="1"/>
      <c r="AF239" s="1"/>
      <c r="AG239" s="14">
        <v>57.02</v>
      </c>
      <c r="AH239" s="14">
        <v>56.139999000000003</v>
      </c>
      <c r="AI239" s="13"/>
      <c r="AJ239" s="1"/>
      <c r="AK239" s="1"/>
      <c r="AL239">
        <v>17.57</v>
      </c>
      <c r="AM239">
        <v>17.27</v>
      </c>
      <c r="AN239" s="13"/>
      <c r="AO239" s="1"/>
      <c r="AP239" s="1"/>
      <c r="AQ239">
        <v>62.27</v>
      </c>
      <c r="AR239">
        <v>61.189999</v>
      </c>
      <c r="AS239" s="13"/>
      <c r="AT239" s="1"/>
      <c r="AU239" s="1"/>
      <c r="AV239">
        <v>79.769997000000004</v>
      </c>
      <c r="AW239">
        <v>78.709998999999996</v>
      </c>
      <c r="AX239" s="13"/>
      <c r="AY239" s="1"/>
      <c r="AZ239" s="1"/>
      <c r="BA239">
        <v>68.870002999999997</v>
      </c>
      <c r="BB239">
        <v>67.330001999999993</v>
      </c>
      <c r="BC239" s="13"/>
      <c r="BD239" s="1"/>
      <c r="BE239" s="1"/>
      <c r="BF239">
        <v>60.099997999999999</v>
      </c>
      <c r="BG239">
        <v>58.68</v>
      </c>
      <c r="BH239" s="13"/>
      <c r="BI239" s="1"/>
      <c r="BJ239" s="1"/>
      <c r="BK239">
        <v>49.43</v>
      </c>
      <c r="BL239">
        <v>48.66</v>
      </c>
      <c r="BM239" s="13"/>
      <c r="BN239" s="1"/>
      <c r="BO239" s="1"/>
      <c r="BP239">
        <v>99.290001000000004</v>
      </c>
      <c r="BQ239">
        <v>98.260002</v>
      </c>
      <c r="BR239" s="13"/>
      <c r="BS239" s="1"/>
      <c r="BT239" s="1"/>
      <c r="BU239">
        <v>53.189999</v>
      </c>
      <c r="BV239">
        <v>51.27</v>
      </c>
      <c r="BW239" s="13"/>
      <c r="BY239" s="1"/>
      <c r="BZ239">
        <v>26.209999</v>
      </c>
      <c r="CA239">
        <v>25.700001</v>
      </c>
      <c r="CB239" s="13"/>
      <c r="CC239" s="1"/>
      <c r="CD239" s="1"/>
      <c r="CE239">
        <v>62.099997999999999</v>
      </c>
      <c r="CF239">
        <v>61.02</v>
      </c>
      <c r="CG239" s="13"/>
      <c r="CH239" s="1"/>
      <c r="CI239" s="1"/>
      <c r="CJ239">
        <v>35.75</v>
      </c>
      <c r="CK239">
        <v>35.229999999999997</v>
      </c>
      <c r="CL239" s="13"/>
      <c r="CM239" s="1"/>
      <c r="CN239" s="1"/>
      <c r="CO239">
        <v>33.169998</v>
      </c>
      <c r="CP239">
        <v>32.619999</v>
      </c>
      <c r="CQ239" s="13"/>
      <c r="CR239" s="1"/>
      <c r="CS239" s="1"/>
      <c r="CT239">
        <v>44.18</v>
      </c>
      <c r="CU239">
        <v>43.380001</v>
      </c>
      <c r="CV239" s="13"/>
      <c r="CW239" s="1"/>
      <c r="CX239" s="1"/>
      <c r="CY239">
        <v>42.169998</v>
      </c>
      <c r="CZ239">
        <v>41.32</v>
      </c>
      <c r="DA239" s="13"/>
      <c r="DB239" s="1"/>
      <c r="DC239" s="1"/>
      <c r="DD239">
        <v>49.48</v>
      </c>
      <c r="DE239">
        <v>48.849997999999999</v>
      </c>
      <c r="DF239" s="13"/>
      <c r="DG239" s="1"/>
      <c r="DH239" s="1"/>
      <c r="DI239">
        <v>35.080002</v>
      </c>
      <c r="DJ239">
        <v>34.599997999999999</v>
      </c>
      <c r="DK239" s="13"/>
      <c r="DM239" s="1"/>
    </row>
    <row r="240" spans="27:117">
      <c r="AA240" s="10">
        <v>42314</v>
      </c>
      <c r="AB240" s="13">
        <v>51.310001</v>
      </c>
      <c r="AC240" s="13">
        <v>49.200001</v>
      </c>
      <c r="AD240" s="13"/>
      <c r="AE240" s="1"/>
      <c r="AF240" s="1"/>
      <c r="AG240" s="14">
        <v>58.849997999999999</v>
      </c>
      <c r="AH240" s="14">
        <v>56.75</v>
      </c>
      <c r="AI240" s="13"/>
      <c r="AJ240" s="1"/>
      <c r="AK240" s="1"/>
      <c r="AL240">
        <v>18.73</v>
      </c>
      <c r="AM240">
        <v>17.260000000000002</v>
      </c>
      <c r="AN240" s="13"/>
      <c r="AO240" s="1"/>
      <c r="AP240" s="1"/>
      <c r="AQ240">
        <v>64.190002000000007</v>
      </c>
      <c r="AR240">
        <v>61.529998999999997</v>
      </c>
      <c r="AS240" s="13"/>
      <c r="AT240" s="1"/>
      <c r="AU240" s="1"/>
      <c r="AV240">
        <v>81.809997999999993</v>
      </c>
      <c r="AW240">
        <v>79.190002000000007</v>
      </c>
      <c r="AX240" s="13"/>
      <c r="AY240" s="1"/>
      <c r="AZ240" s="1"/>
      <c r="BA240">
        <v>70.059997999999993</v>
      </c>
      <c r="BB240">
        <v>67.069999999999993</v>
      </c>
      <c r="BC240" s="13"/>
      <c r="BD240" s="1"/>
      <c r="BE240" s="1"/>
      <c r="BF240">
        <v>59.529998999999997</v>
      </c>
      <c r="BG240">
        <v>57.509998000000003</v>
      </c>
      <c r="BH240" s="13"/>
      <c r="BI240" s="1"/>
      <c r="BJ240" s="1"/>
      <c r="BK240">
        <v>51.060001</v>
      </c>
      <c r="BL240">
        <v>48.84</v>
      </c>
      <c r="BM240" s="13"/>
      <c r="BN240" s="1"/>
      <c r="BO240" s="1"/>
      <c r="BP240">
        <v>101.07</v>
      </c>
      <c r="BQ240">
        <v>97.449996999999996</v>
      </c>
      <c r="BR240" s="13"/>
      <c r="BS240" s="1"/>
      <c r="BT240" s="1"/>
      <c r="BU240">
        <v>54.060001</v>
      </c>
      <c r="BV240">
        <v>52</v>
      </c>
      <c r="BW240" s="13"/>
      <c r="BY240" s="1"/>
      <c r="BZ240">
        <v>26.99</v>
      </c>
      <c r="CA240">
        <v>25.66</v>
      </c>
      <c r="CB240" s="13"/>
      <c r="CC240" s="1"/>
      <c r="CD240" s="1"/>
      <c r="CE240">
        <v>64.389999000000003</v>
      </c>
      <c r="CF240">
        <v>61.119999</v>
      </c>
      <c r="CG240" s="13"/>
      <c r="CH240" s="1"/>
      <c r="CI240" s="1"/>
      <c r="CJ240">
        <v>36.5</v>
      </c>
      <c r="CK240">
        <v>35.169998</v>
      </c>
      <c r="CL240" s="13"/>
      <c r="CM240" s="1"/>
      <c r="CN240" s="1"/>
      <c r="CO240">
        <v>33.740001999999997</v>
      </c>
      <c r="CP240">
        <v>32.779998999999997</v>
      </c>
      <c r="CQ240" s="13"/>
      <c r="CR240" s="1"/>
      <c r="CS240" s="1"/>
      <c r="CT240">
        <v>44.990001999999997</v>
      </c>
      <c r="CU240">
        <v>43.470001000000003</v>
      </c>
      <c r="CV240" s="13"/>
      <c r="CW240" s="1"/>
      <c r="CX240" s="1"/>
      <c r="CY240">
        <v>44.790000999999997</v>
      </c>
      <c r="CZ240">
        <v>41.91</v>
      </c>
      <c r="DA240" s="13"/>
      <c r="DB240" s="1"/>
      <c r="DC240" s="1"/>
      <c r="DD240">
        <v>51.139999000000003</v>
      </c>
      <c r="DE240">
        <v>48.950001</v>
      </c>
      <c r="DF240" s="13"/>
      <c r="DG240" s="1"/>
      <c r="DH240" s="1"/>
      <c r="DI240">
        <v>35.459999000000003</v>
      </c>
      <c r="DJ240">
        <v>34.330002</v>
      </c>
      <c r="DK240" s="13"/>
      <c r="DM240" s="1"/>
    </row>
    <row r="241" spans="27:117">
      <c r="AA241" s="10">
        <v>42313</v>
      </c>
      <c r="AB241" s="13">
        <v>52.080002</v>
      </c>
      <c r="AC241" s="13">
        <v>51.439999</v>
      </c>
      <c r="AD241" s="13"/>
      <c r="AE241" s="1"/>
      <c r="AF241" s="1"/>
      <c r="AG241" s="14">
        <v>60.439999</v>
      </c>
      <c r="AH241" s="14">
        <v>59.799999</v>
      </c>
      <c r="AI241" s="13"/>
      <c r="AJ241" s="1"/>
      <c r="AK241" s="1"/>
      <c r="AL241">
        <v>18.899999999999999</v>
      </c>
      <c r="AM241">
        <v>18.469999000000001</v>
      </c>
      <c r="AN241" s="13"/>
      <c r="AO241" s="1"/>
      <c r="AP241" s="1"/>
      <c r="AQ241">
        <v>66.190002000000007</v>
      </c>
      <c r="AR241">
        <v>65.209998999999996</v>
      </c>
      <c r="AS241" s="13"/>
      <c r="AT241" s="1"/>
      <c r="AU241" s="1"/>
      <c r="AV241">
        <v>83.480002999999996</v>
      </c>
      <c r="AW241">
        <v>82.379997000000003</v>
      </c>
      <c r="AX241" s="13"/>
      <c r="AY241" s="1"/>
      <c r="AZ241" s="1"/>
      <c r="BA241">
        <v>72.180000000000007</v>
      </c>
      <c r="BB241">
        <v>70.690002000000007</v>
      </c>
      <c r="BC241" s="13"/>
      <c r="BD241" s="1"/>
      <c r="BE241" s="1"/>
      <c r="BF241">
        <v>61.049999</v>
      </c>
      <c r="BG241">
        <v>60.049999</v>
      </c>
      <c r="BH241" s="13"/>
      <c r="BI241" s="1"/>
      <c r="BJ241" s="1"/>
      <c r="BK241">
        <v>51.82</v>
      </c>
      <c r="BL241">
        <v>51.360000999999997</v>
      </c>
      <c r="BM241" s="13"/>
      <c r="BN241" s="1"/>
      <c r="BO241" s="1"/>
      <c r="BP241">
        <v>103.510002</v>
      </c>
      <c r="BQ241">
        <v>102.040001</v>
      </c>
      <c r="BR241" s="13"/>
      <c r="BS241" s="1"/>
      <c r="BT241" s="1"/>
      <c r="BU241">
        <v>55.220001000000003</v>
      </c>
      <c r="BV241">
        <v>54.52</v>
      </c>
      <c r="BW241" s="13"/>
      <c r="BY241" s="1"/>
      <c r="BZ241">
        <v>28.620000999999998</v>
      </c>
      <c r="CA241">
        <v>27.379999000000002</v>
      </c>
      <c r="CB241" s="13"/>
      <c r="CC241" s="1"/>
      <c r="CD241" s="1"/>
      <c r="CE241">
        <v>65.339995999999999</v>
      </c>
      <c r="CF241">
        <v>64.650002000000001</v>
      </c>
      <c r="CG241" s="13"/>
      <c r="CH241" s="1"/>
      <c r="CI241" s="1"/>
      <c r="CJ241">
        <v>37.340000000000003</v>
      </c>
      <c r="CK241">
        <v>37.090000000000003</v>
      </c>
      <c r="CL241" s="13"/>
      <c r="CM241" s="1"/>
      <c r="CN241" s="1"/>
      <c r="CO241">
        <v>34.599997999999999</v>
      </c>
      <c r="CP241">
        <v>34.220001000000003</v>
      </c>
      <c r="CQ241" s="13"/>
      <c r="CR241" s="1"/>
      <c r="CS241" s="1"/>
      <c r="CT241">
        <v>46.040000999999997</v>
      </c>
      <c r="CU241">
        <v>45.580002</v>
      </c>
      <c r="CV241" s="13"/>
      <c r="CW241" s="1"/>
      <c r="CX241" s="1"/>
      <c r="CY241">
        <v>46.169998</v>
      </c>
      <c r="CZ241">
        <v>45.25</v>
      </c>
      <c r="DA241" s="13"/>
      <c r="DB241" s="1"/>
      <c r="DC241" s="1"/>
      <c r="DD241">
        <v>52.209999000000003</v>
      </c>
      <c r="DE241">
        <v>51.639999000000003</v>
      </c>
      <c r="DF241" s="13"/>
      <c r="DG241" s="1"/>
      <c r="DH241" s="1"/>
      <c r="DI241">
        <v>36.299999</v>
      </c>
      <c r="DJ241">
        <v>35.909999999999997</v>
      </c>
      <c r="DK241" s="13"/>
      <c r="DM241" s="1"/>
    </row>
    <row r="242" spans="27:117">
      <c r="AA242" s="10">
        <v>42312</v>
      </c>
      <c r="AB242" s="13">
        <v>51.849997999999999</v>
      </c>
      <c r="AC242" s="13">
        <v>51.189999</v>
      </c>
      <c r="AD242" s="13"/>
      <c r="AE242" s="1"/>
      <c r="AF242" s="1"/>
      <c r="AG242" s="14">
        <v>60.34</v>
      </c>
      <c r="AH242" s="14">
        <v>59.700001</v>
      </c>
      <c r="AI242" s="13"/>
      <c r="AJ242" s="1"/>
      <c r="AK242" s="1"/>
      <c r="AL242">
        <v>18.809999000000001</v>
      </c>
      <c r="AM242">
        <v>18.59</v>
      </c>
      <c r="AN242" s="13"/>
      <c r="AO242" s="1"/>
      <c r="AP242" s="1"/>
      <c r="AQ242">
        <v>66.309997999999993</v>
      </c>
      <c r="AR242">
        <v>65.529999000000004</v>
      </c>
      <c r="AS242" s="13"/>
      <c r="AT242" s="1"/>
      <c r="AU242" s="1"/>
      <c r="AV242">
        <v>83.18</v>
      </c>
      <c r="AW242">
        <v>82.25</v>
      </c>
      <c r="AX242" s="13"/>
      <c r="AY242" s="1"/>
      <c r="AZ242" s="1"/>
      <c r="BA242">
        <v>72.550003000000004</v>
      </c>
      <c r="BB242">
        <v>71.699996999999996</v>
      </c>
      <c r="BC242" s="13"/>
      <c r="BD242" s="1"/>
      <c r="BE242" s="1"/>
      <c r="BF242">
        <v>61.150002000000001</v>
      </c>
      <c r="BG242">
        <v>60.560001</v>
      </c>
      <c r="BH242" s="13"/>
      <c r="BI242" s="1"/>
      <c r="BJ242" s="1"/>
      <c r="BK242">
        <v>51.98</v>
      </c>
      <c r="BL242">
        <v>51.209999000000003</v>
      </c>
      <c r="BM242" s="13"/>
      <c r="BN242" s="1"/>
      <c r="BO242" s="1"/>
      <c r="BP242">
        <v>103.32</v>
      </c>
      <c r="BQ242">
        <v>102.099998</v>
      </c>
      <c r="BR242" s="13"/>
      <c r="BS242" s="1"/>
      <c r="BT242" s="1"/>
      <c r="BU242">
        <v>55.5</v>
      </c>
      <c r="BV242">
        <v>54.419998</v>
      </c>
      <c r="BW242" s="13"/>
      <c r="BY242" s="1"/>
      <c r="BZ242">
        <v>28.559999000000001</v>
      </c>
      <c r="CA242">
        <v>28.27</v>
      </c>
      <c r="CB242" s="13"/>
      <c r="CC242" s="1"/>
      <c r="CD242" s="1"/>
      <c r="CE242">
        <v>65.449996999999996</v>
      </c>
      <c r="CF242">
        <v>64.199996999999996</v>
      </c>
      <c r="CG242" s="13"/>
      <c r="CH242" s="1"/>
      <c r="CI242" s="1"/>
      <c r="CJ242">
        <v>37.43</v>
      </c>
      <c r="CK242">
        <v>36.810001</v>
      </c>
      <c r="CL242" s="13"/>
      <c r="CM242" s="1"/>
      <c r="CN242" s="1"/>
      <c r="CO242">
        <v>34.599997999999999</v>
      </c>
      <c r="CP242">
        <v>34.270000000000003</v>
      </c>
      <c r="CQ242" s="13"/>
      <c r="CR242" s="1"/>
      <c r="CS242" s="1"/>
      <c r="CT242">
        <v>45.849997999999999</v>
      </c>
      <c r="CU242">
        <v>45.41</v>
      </c>
      <c r="CV242" s="13"/>
      <c r="CW242" s="1"/>
      <c r="CX242" s="1"/>
      <c r="CY242">
        <v>46.25</v>
      </c>
      <c r="CZ242">
        <v>45.709999000000003</v>
      </c>
      <c r="DA242" s="13"/>
      <c r="DB242" s="1"/>
      <c r="DC242" s="1"/>
      <c r="DD242">
        <v>53.209999000000003</v>
      </c>
      <c r="DE242">
        <v>51.220001000000003</v>
      </c>
      <c r="DF242" s="13"/>
      <c r="DG242" s="1"/>
      <c r="DH242" s="1"/>
      <c r="DI242">
        <v>36.32</v>
      </c>
      <c r="DJ242">
        <v>35.900002000000001</v>
      </c>
      <c r="DK242" s="13"/>
      <c r="DM242" s="1"/>
    </row>
    <row r="243" spans="27:117">
      <c r="AA243" s="10">
        <v>42311</v>
      </c>
      <c r="AB243" s="13">
        <v>52.779998999999997</v>
      </c>
      <c r="AC243" s="13">
        <v>50.650002000000001</v>
      </c>
      <c r="AD243" s="13"/>
      <c r="AE243" s="1"/>
      <c r="AF243" s="1"/>
      <c r="AG243" s="14">
        <v>59.830002</v>
      </c>
      <c r="AH243" s="14">
        <v>59.02</v>
      </c>
      <c r="AI243" s="13"/>
      <c r="AJ243" s="1"/>
      <c r="AK243" s="1"/>
      <c r="AL243">
        <v>18.73</v>
      </c>
      <c r="AM243">
        <v>18.399999999999999</v>
      </c>
      <c r="AN243" s="13"/>
      <c r="AO243" s="1"/>
      <c r="AP243" s="1"/>
      <c r="AQ243">
        <v>65.680000000000007</v>
      </c>
      <c r="AR243">
        <v>64.860000999999997</v>
      </c>
      <c r="AS243" s="13"/>
      <c r="AT243" s="1"/>
      <c r="AU243" s="1"/>
      <c r="AV243">
        <v>82.519997000000004</v>
      </c>
      <c r="AW243">
        <v>81.470000999999996</v>
      </c>
      <c r="AX243" s="13"/>
      <c r="AY243" s="1"/>
      <c r="AZ243" s="1"/>
      <c r="BA243">
        <v>72.370002999999997</v>
      </c>
      <c r="BB243">
        <v>71.5</v>
      </c>
      <c r="BC243" s="13"/>
      <c r="BD243" s="1"/>
      <c r="BE243" s="1"/>
      <c r="BF243">
        <v>60.959999000000003</v>
      </c>
      <c r="BG243">
        <v>60.130001</v>
      </c>
      <c r="BH243" s="13"/>
      <c r="BI243" s="1"/>
      <c r="BJ243" s="1"/>
      <c r="BK243">
        <v>51.540000999999997</v>
      </c>
      <c r="BL243">
        <v>50.099997999999999</v>
      </c>
      <c r="BM243" s="13"/>
      <c r="BN243" s="1"/>
      <c r="BO243" s="1"/>
      <c r="BP243">
        <v>102.480003</v>
      </c>
      <c r="BQ243">
        <v>101.360001</v>
      </c>
      <c r="BR243" s="13"/>
      <c r="BS243" s="1"/>
      <c r="BT243" s="1"/>
      <c r="BU243">
        <v>54.689999</v>
      </c>
      <c r="BV243">
        <v>53.470001000000003</v>
      </c>
      <c r="BW243" s="13"/>
      <c r="BY243" s="1"/>
      <c r="BZ243">
        <v>28.48</v>
      </c>
      <c r="CA243">
        <v>28.07</v>
      </c>
      <c r="CB243" s="13"/>
      <c r="CC243" s="1"/>
      <c r="CD243" s="1"/>
      <c r="CE243">
        <v>64.260002</v>
      </c>
      <c r="CF243">
        <v>63.439999</v>
      </c>
      <c r="CG243" s="13"/>
      <c r="CH243" s="1"/>
      <c r="CI243" s="1"/>
      <c r="CJ243">
        <v>36.970001000000003</v>
      </c>
      <c r="CK243">
        <v>36.459999000000003</v>
      </c>
      <c r="CL243" s="13"/>
      <c r="CM243" s="1"/>
      <c r="CN243" s="1"/>
      <c r="CO243">
        <v>34.389999000000003</v>
      </c>
      <c r="CP243">
        <v>33.889999000000003</v>
      </c>
      <c r="CQ243" s="13"/>
      <c r="CR243" s="1"/>
      <c r="CS243" s="1"/>
      <c r="CT243">
        <v>45.509998000000003</v>
      </c>
      <c r="CU243">
        <v>44.91</v>
      </c>
      <c r="CV243" s="13"/>
      <c r="CW243" s="1"/>
      <c r="CX243" s="1"/>
      <c r="CY243">
        <v>45.990001999999997</v>
      </c>
      <c r="CZ243">
        <v>44.959999000000003</v>
      </c>
      <c r="DA243" s="13"/>
      <c r="DB243" s="1"/>
      <c r="DC243" s="1"/>
      <c r="DD243">
        <v>51.93</v>
      </c>
      <c r="DE243">
        <v>51.220001000000003</v>
      </c>
      <c r="DF243" s="13"/>
      <c r="DG243" s="1"/>
      <c r="DH243" s="1"/>
      <c r="DI243">
        <v>36.020000000000003</v>
      </c>
      <c r="DJ243">
        <v>35.490001999999997</v>
      </c>
      <c r="DK243" s="13"/>
      <c r="DM243" s="1"/>
    </row>
    <row r="244" spans="27:117">
      <c r="AA244" s="10">
        <v>42310</v>
      </c>
      <c r="AB244" s="13">
        <v>50.59</v>
      </c>
      <c r="AC244" s="13">
        <v>49.740001999999997</v>
      </c>
      <c r="AD244" s="13"/>
      <c r="AE244" s="1"/>
      <c r="AF244" s="1"/>
      <c r="AG244" s="14">
        <v>59.599997999999999</v>
      </c>
      <c r="AH244" s="14">
        <v>58.580002</v>
      </c>
      <c r="AI244" s="13"/>
      <c r="AJ244" s="1"/>
      <c r="AK244" s="1"/>
      <c r="AL244">
        <v>18.610001</v>
      </c>
      <c r="AM244">
        <v>18.360001</v>
      </c>
      <c r="AN244" s="13"/>
      <c r="AO244" s="1"/>
      <c r="AP244" s="1"/>
      <c r="AQ244">
        <v>65.989998</v>
      </c>
      <c r="AR244">
        <v>65</v>
      </c>
      <c r="AS244" s="13"/>
      <c r="AT244" s="1"/>
      <c r="AU244" s="1"/>
      <c r="AV244">
        <v>82.269997000000004</v>
      </c>
      <c r="AW244">
        <v>81.120002999999997</v>
      </c>
      <c r="AX244" s="13"/>
      <c r="AY244" s="1"/>
      <c r="AZ244" s="1"/>
      <c r="BA244">
        <v>72.290001000000004</v>
      </c>
      <c r="BB244">
        <v>71.089995999999999</v>
      </c>
      <c r="BC244" s="13"/>
      <c r="BD244" s="1"/>
      <c r="BE244" s="1"/>
      <c r="BF244">
        <v>61.029998999999997</v>
      </c>
      <c r="BG244">
        <v>60.009998000000003</v>
      </c>
      <c r="BH244" s="13"/>
      <c r="BI244" s="1"/>
      <c r="BJ244" s="1"/>
      <c r="BK244">
        <v>51.259998000000003</v>
      </c>
      <c r="BL244">
        <v>50.490001999999997</v>
      </c>
      <c r="BM244" s="13"/>
      <c r="BN244" s="1"/>
      <c r="BO244" s="1"/>
      <c r="BP244">
        <v>103</v>
      </c>
      <c r="BQ244">
        <v>101.410004</v>
      </c>
      <c r="BR244" s="13"/>
      <c r="BS244" s="1"/>
      <c r="BT244" s="1"/>
      <c r="BU244">
        <v>54.240001999999997</v>
      </c>
      <c r="BV244">
        <v>53.380001</v>
      </c>
      <c r="BW244" s="13"/>
      <c r="BY244" s="1"/>
      <c r="BZ244">
        <v>28.66</v>
      </c>
      <c r="CA244">
        <v>28.129999000000002</v>
      </c>
      <c r="CB244" s="13"/>
      <c r="CC244" s="1"/>
      <c r="CD244" s="1"/>
      <c r="CE244">
        <v>64.360000999999997</v>
      </c>
      <c r="CF244">
        <v>62.810001</v>
      </c>
      <c r="CG244" s="13"/>
      <c r="CH244" s="1"/>
      <c r="CI244" s="1"/>
      <c r="CJ244">
        <v>37.18</v>
      </c>
      <c r="CK244">
        <v>36.639999000000003</v>
      </c>
      <c r="CL244" s="13"/>
      <c r="CM244" s="1"/>
      <c r="CN244" s="1"/>
      <c r="CO244">
        <v>34.479999999999997</v>
      </c>
      <c r="CP244">
        <v>33.830002</v>
      </c>
      <c r="CQ244" s="13"/>
      <c r="CR244" s="1"/>
      <c r="CS244" s="1"/>
      <c r="CT244">
        <v>45.27</v>
      </c>
      <c r="CU244">
        <v>44.68</v>
      </c>
      <c r="CV244" s="13"/>
      <c r="CW244" s="1"/>
      <c r="CX244" s="1"/>
      <c r="CY244">
        <v>45.560001</v>
      </c>
      <c r="CZ244">
        <v>44.860000999999997</v>
      </c>
      <c r="DA244" s="13"/>
      <c r="DB244" s="1"/>
      <c r="DC244" s="1"/>
      <c r="DD244">
        <v>51.849997999999999</v>
      </c>
      <c r="DE244">
        <v>51.220001000000003</v>
      </c>
      <c r="DF244" s="13"/>
      <c r="DG244" s="1"/>
      <c r="DH244" s="1"/>
      <c r="DI244">
        <v>35.950001</v>
      </c>
      <c r="DJ244">
        <v>35.389999000000003</v>
      </c>
      <c r="DK244" s="13"/>
      <c r="DM244" s="1"/>
    </row>
    <row r="245" spans="27:117">
      <c r="AA245" s="10">
        <v>42307</v>
      </c>
      <c r="AB245" s="13">
        <v>50.389999000000003</v>
      </c>
      <c r="AC245" s="13">
        <v>49.619999</v>
      </c>
      <c r="AD245" s="12">
        <f>(MAX(AB245:AB266)+MIN(AC245:AC266))/2</f>
        <v>51.095001499999995</v>
      </c>
      <c r="AE245" s="1">
        <f>0.505*4</f>
        <v>2.02</v>
      </c>
      <c r="AF245" s="9">
        <f>+AE245/AD245</f>
        <v>3.9534199837532057E-2</v>
      </c>
      <c r="AG245" s="14">
        <v>59.18</v>
      </c>
      <c r="AH245" s="14">
        <v>58.529998999999997</v>
      </c>
      <c r="AI245" s="12">
        <f>(MAX(AG245:AG266)+MIN(AH245:AH266))/2</f>
        <v>59.424999</v>
      </c>
      <c r="AJ245" s="13">
        <f>0.55*4</f>
        <v>2.2000000000000002</v>
      </c>
      <c r="AK245" s="9">
        <f>+AJ245/AI245</f>
        <v>3.7021456239317733E-2</v>
      </c>
      <c r="AL245">
        <v>18.649999999999999</v>
      </c>
      <c r="AM245">
        <v>18.43</v>
      </c>
      <c r="AN245" s="12">
        <f>(MAX(AL245:AL266)+MIN(AM245:AM266))/2</f>
        <v>18.43</v>
      </c>
      <c r="AO245" s="1">
        <f>0.2475*4</f>
        <v>0.99</v>
      </c>
      <c r="AP245" s="9">
        <f>+AO245/AN245</f>
        <v>5.3716766142159526E-2</v>
      </c>
      <c r="AQ245">
        <v>66.089995999999999</v>
      </c>
      <c r="AR245">
        <v>65.339995999999999</v>
      </c>
      <c r="AS245" s="12">
        <f>(MAX(AQ245:AQ266)+MIN(AR245:AR266))/2</f>
        <v>66.385002</v>
      </c>
      <c r="AT245" s="13">
        <f>0.65*4</f>
        <v>2.6</v>
      </c>
      <c r="AU245" s="9">
        <f>+AT245/AS245</f>
        <v>3.9165472948242137E-2</v>
      </c>
      <c r="AV245">
        <v>82.07</v>
      </c>
      <c r="AW245">
        <v>80.980002999999996</v>
      </c>
      <c r="AX245" s="12">
        <f>(MAX(AV245:AV266)+MIN(AW245:AW266))/2</f>
        <v>81.875</v>
      </c>
      <c r="AY245" s="1">
        <f>0.73*4</f>
        <v>2.92</v>
      </c>
      <c r="AZ245" s="9">
        <f>+AY245/AX245</f>
        <v>3.566412213740458E-2</v>
      </c>
      <c r="BA245">
        <v>71.889999000000003</v>
      </c>
      <c r="BB245">
        <v>71.269997000000004</v>
      </c>
      <c r="BC245" s="12">
        <f>(MAX(BA245:BA266)+MIN(BB245:BB266))/2</f>
        <v>72.645000500000009</v>
      </c>
      <c r="BD245" s="13">
        <f>0.825*4</f>
        <v>3.3</v>
      </c>
      <c r="BE245" s="9">
        <f>+BD245/BC245</f>
        <v>4.5426388289446007E-2</v>
      </c>
      <c r="BF245">
        <v>60.919998</v>
      </c>
      <c r="BG245">
        <v>60.130001</v>
      </c>
      <c r="BH245" s="12">
        <f>(MAX(BF245:BF266)+MIN(BG245:BG266))/2</f>
        <v>63.065000500000004</v>
      </c>
      <c r="BI245" s="1">
        <f>0.4175*4</f>
        <v>1.67</v>
      </c>
      <c r="BJ245" s="9">
        <f>+BI245/BH245</f>
        <v>2.6480615028299251E-2</v>
      </c>
      <c r="BK245">
        <v>51.169998</v>
      </c>
      <c r="BL245">
        <v>50.599997999999999</v>
      </c>
      <c r="BM245" s="12">
        <f>(MAX(BK245:BK266)+MIN(BL245:BL266))/2</f>
        <v>51.054997999999998</v>
      </c>
      <c r="BN245" s="1">
        <f>0.4175*4</f>
        <v>1.67</v>
      </c>
      <c r="BO245" s="9">
        <f>+BN245/BM245</f>
        <v>3.2709824021538499E-2</v>
      </c>
      <c r="BP245">
        <v>103.029999</v>
      </c>
      <c r="BQ245">
        <v>101.529999</v>
      </c>
      <c r="BR245" s="12">
        <f>(MAX(BP245:BP266)+MIN(BQ245:BQ266))/2</f>
        <v>100.84499700000001</v>
      </c>
      <c r="BS245" s="1">
        <f>0.77*4</f>
        <v>3.08</v>
      </c>
      <c r="BT245" s="9">
        <f>+BS245/BR245</f>
        <v>3.0541921678077892E-2</v>
      </c>
      <c r="BU245">
        <v>54.490001999999997</v>
      </c>
      <c r="BV245">
        <v>53.959999000000003</v>
      </c>
      <c r="BW245" s="12">
        <f>(MAX(BU245:BU266)+MIN(BV245:BV266))/2</f>
        <v>55.125</v>
      </c>
      <c r="BX245">
        <f>0.48*4</f>
        <v>1.92</v>
      </c>
      <c r="BY245" s="9">
        <f>+BX245/BW245</f>
        <v>3.4829931972789115E-2</v>
      </c>
      <c r="BZ245">
        <v>28.790001</v>
      </c>
      <c r="CA245">
        <v>28.299999</v>
      </c>
      <c r="CB245" s="12">
        <f>(MAX(BZ245:BZ266)+MIN(CA245:CA266))/2</f>
        <v>28.0599995</v>
      </c>
      <c r="CC245" s="13">
        <f>0.275*4</f>
        <v>1.1000000000000001</v>
      </c>
      <c r="CD245" s="9">
        <f>+CC245/CB245</f>
        <v>3.9201711318633488E-2</v>
      </c>
      <c r="CE245">
        <v>64.400002000000001</v>
      </c>
      <c r="CF245">
        <v>62.959999000000003</v>
      </c>
      <c r="CG245" s="12">
        <f>(MAX(CE245:CE266)+MIN(CF245:CF266))/2</f>
        <v>64.724998499999998</v>
      </c>
      <c r="CH245" s="13">
        <f>0.625*4</f>
        <v>2.5</v>
      </c>
      <c r="CI245" s="9">
        <f>+CH245/CG245</f>
        <v>3.8624952613942512E-2</v>
      </c>
      <c r="CJ245">
        <v>37.459999000000003</v>
      </c>
      <c r="CK245">
        <v>36.849997999999999</v>
      </c>
      <c r="CL245" s="12">
        <f>(MAX(CJ245:CJ266)+MIN(CK245:CK266))/2</f>
        <v>37.6000005</v>
      </c>
      <c r="CM245" s="13">
        <f>0.3*4</f>
        <v>1.2</v>
      </c>
      <c r="CN245" s="9">
        <f>+CM245/CL245</f>
        <v>3.1914893192621099E-2</v>
      </c>
      <c r="CO245">
        <v>34.479999999999997</v>
      </c>
      <c r="CP245">
        <v>33.82</v>
      </c>
      <c r="CQ245" s="12">
        <f>(MAX(CO245:CO266)+MIN(CP245:CP266))/2</f>
        <v>33.569999500000002</v>
      </c>
      <c r="CR245" s="1">
        <f>0.3775*4</f>
        <v>1.51</v>
      </c>
      <c r="CS245" s="9">
        <f>+CR245/CQ245</f>
        <v>4.4980638143887967E-2</v>
      </c>
      <c r="CT245">
        <v>45.23</v>
      </c>
      <c r="CU245">
        <v>44.75</v>
      </c>
      <c r="CV245" s="12">
        <f>(MAX(CT245:CT266)+MIN(CU245:CU266))/2</f>
        <v>45.260000500000004</v>
      </c>
      <c r="CW245" s="1">
        <f>0.5425*4</f>
        <v>2.17</v>
      </c>
      <c r="CX245" s="9">
        <f>+CW245/CV245</f>
        <v>4.794520494978783E-2</v>
      </c>
      <c r="CY245">
        <v>45.73</v>
      </c>
      <c r="CZ245">
        <v>45.189999</v>
      </c>
      <c r="DA245" s="12">
        <f>(MAX(CY245:CY266)+MIN(CZ245:CZ266))/2</f>
        <v>44.114999999999995</v>
      </c>
      <c r="DB245" s="1">
        <f>0.38*4</f>
        <v>1.52</v>
      </c>
      <c r="DC245" s="9">
        <f>+DB245/DA245</f>
        <v>3.4455400657372778E-2</v>
      </c>
      <c r="DD245">
        <v>51.84</v>
      </c>
      <c r="DE245">
        <v>51.310001</v>
      </c>
      <c r="DF245" s="12">
        <f>(MAX(DD245:DD266)+MIN(DE245:DE266))/2</f>
        <v>52.25</v>
      </c>
      <c r="DG245" s="1">
        <f>0.4575*4</f>
        <v>1.83</v>
      </c>
      <c r="DH245" s="9">
        <f>+DG245/DF245</f>
        <v>3.5023923444976075E-2</v>
      </c>
      <c r="DI245">
        <v>35.970001000000003</v>
      </c>
      <c r="DJ245">
        <v>35.540000999999997</v>
      </c>
      <c r="DK245" s="12">
        <f>(MAX(DI245:DI266)+MIN(DJ245:DJ266))/2</f>
        <v>35.944999500000002</v>
      </c>
      <c r="DL245">
        <f>0.32*4</f>
        <v>1.28</v>
      </c>
      <c r="DM245" s="9">
        <f>+DL245/DK245</f>
        <v>3.5609960155932117E-2</v>
      </c>
    </row>
    <row r="246" spans="27:117">
      <c r="AA246" s="10">
        <v>42306</v>
      </c>
      <c r="AB246" s="13">
        <v>50.23</v>
      </c>
      <c r="AC246" s="13">
        <v>49.380001</v>
      </c>
      <c r="AD246" s="13"/>
      <c r="AE246" s="1"/>
      <c r="AF246" s="1"/>
      <c r="AG246" s="14">
        <v>58.990001999999997</v>
      </c>
      <c r="AH246" s="14">
        <v>58.049999</v>
      </c>
      <c r="AI246" s="13"/>
      <c r="AJ246" s="1"/>
      <c r="AK246" s="1"/>
      <c r="AL246">
        <v>18.59</v>
      </c>
      <c r="AM246">
        <v>18.27</v>
      </c>
      <c r="AN246" s="13"/>
      <c r="AO246" s="1"/>
      <c r="AP246" s="1"/>
      <c r="AQ246">
        <v>66.279999000000004</v>
      </c>
      <c r="AR246">
        <v>64.830001999999993</v>
      </c>
      <c r="AS246" s="13"/>
      <c r="AT246" s="1"/>
      <c r="AU246" s="1"/>
      <c r="AV246">
        <v>82.139999000000003</v>
      </c>
      <c r="AW246">
        <v>80.120002999999997</v>
      </c>
      <c r="AX246" s="13"/>
      <c r="AY246" s="1"/>
      <c r="AZ246" s="1"/>
      <c r="BA246">
        <v>71.620002999999997</v>
      </c>
      <c r="BB246">
        <v>70.300003000000004</v>
      </c>
      <c r="BC246" s="13"/>
      <c r="BD246" s="1"/>
      <c r="BE246" s="1"/>
      <c r="BF246">
        <v>61.23</v>
      </c>
      <c r="BG246">
        <v>59.84</v>
      </c>
      <c r="BH246" s="13"/>
      <c r="BI246" s="1"/>
      <c r="BJ246" s="1"/>
      <c r="BK246">
        <v>50.860000999999997</v>
      </c>
      <c r="BL246">
        <v>49.830002</v>
      </c>
      <c r="BM246" s="13"/>
      <c r="BN246" s="1"/>
      <c r="BO246" s="1"/>
      <c r="BP246">
        <v>102.650002</v>
      </c>
      <c r="BQ246">
        <v>101</v>
      </c>
      <c r="BR246" s="13"/>
      <c r="BS246" s="1"/>
      <c r="BT246" s="1"/>
      <c r="BU246">
        <v>54.959999000000003</v>
      </c>
      <c r="BV246">
        <v>53.639999000000003</v>
      </c>
      <c r="BW246" s="13"/>
      <c r="BY246" s="1"/>
      <c r="BZ246">
        <v>28.52</v>
      </c>
      <c r="CA246">
        <v>28.09</v>
      </c>
      <c r="CB246" s="13"/>
      <c r="CC246" s="1"/>
      <c r="CD246" s="1"/>
      <c r="CE246">
        <v>64.25</v>
      </c>
      <c r="CF246">
        <v>62.43</v>
      </c>
      <c r="CG246" s="13"/>
      <c r="CH246" s="1"/>
      <c r="CI246" s="1"/>
      <c r="CJ246">
        <v>37.090000000000003</v>
      </c>
      <c r="CK246">
        <v>36.560001</v>
      </c>
      <c r="CL246" s="13"/>
      <c r="CM246" s="1"/>
      <c r="CN246" s="1"/>
      <c r="CO246">
        <v>33.93</v>
      </c>
      <c r="CP246">
        <v>33</v>
      </c>
      <c r="CQ246" s="13"/>
      <c r="CR246" s="1"/>
      <c r="CS246" s="1"/>
      <c r="CT246">
        <v>45.310001</v>
      </c>
      <c r="CU246">
        <v>44.380001</v>
      </c>
      <c r="CV246" s="13"/>
      <c r="CW246" s="1"/>
      <c r="CX246" s="1"/>
      <c r="CY246">
        <v>45.619999</v>
      </c>
      <c r="CZ246">
        <v>44.869999</v>
      </c>
      <c r="DA246" s="13"/>
      <c r="DB246" s="1"/>
      <c r="DC246" s="1"/>
      <c r="DD246">
        <v>51.810001</v>
      </c>
      <c r="DE246">
        <v>50.619999</v>
      </c>
      <c r="DF246" s="13"/>
      <c r="DG246" s="1"/>
      <c r="DH246" s="1"/>
      <c r="DI246">
        <v>36.119999</v>
      </c>
      <c r="DJ246">
        <v>35.049999</v>
      </c>
      <c r="DK246" s="13"/>
      <c r="DM246" s="1"/>
    </row>
    <row r="247" spans="27:117">
      <c r="AA247" s="10">
        <v>42305</v>
      </c>
      <c r="AB247" s="13">
        <v>51.400002000000001</v>
      </c>
      <c r="AC247" s="13">
        <v>49.799999</v>
      </c>
      <c r="AD247" s="13"/>
      <c r="AE247" s="1"/>
      <c r="AF247" s="1"/>
      <c r="AG247" s="14">
        <v>60.23</v>
      </c>
      <c r="AH247" s="14">
        <v>58.439999</v>
      </c>
      <c r="AI247" s="13"/>
      <c r="AJ247" s="1"/>
      <c r="AK247" s="1"/>
      <c r="AL247">
        <v>18.760000000000002</v>
      </c>
      <c r="AM247">
        <v>18.309999000000001</v>
      </c>
      <c r="AN247" s="13"/>
      <c r="AO247" s="1"/>
      <c r="AP247" s="1"/>
      <c r="AQ247">
        <v>67.440002000000007</v>
      </c>
      <c r="AR247">
        <v>65.459998999999996</v>
      </c>
      <c r="AS247" s="13"/>
      <c r="AT247" s="1"/>
      <c r="AU247" s="1"/>
      <c r="AV247">
        <v>83.82</v>
      </c>
      <c r="AW247">
        <v>81.319999999999993</v>
      </c>
      <c r="AX247" s="13"/>
      <c r="AY247" s="1"/>
      <c r="AZ247" s="1"/>
      <c r="BA247">
        <v>72.889999000000003</v>
      </c>
      <c r="BB247">
        <v>70.730002999999996</v>
      </c>
      <c r="BC247" s="13"/>
      <c r="BD247" s="1"/>
      <c r="BE247" s="1"/>
      <c r="BF247">
        <v>62.560001</v>
      </c>
      <c r="BG247">
        <v>60.389999000000003</v>
      </c>
      <c r="BH247" s="13"/>
      <c r="BI247" s="1"/>
      <c r="BJ247" s="1"/>
      <c r="BK247">
        <v>52.16</v>
      </c>
      <c r="BL247">
        <v>50.43</v>
      </c>
      <c r="BM247" s="13"/>
      <c r="BN247" s="1"/>
      <c r="BO247" s="1"/>
      <c r="BP247">
        <v>105.300003</v>
      </c>
      <c r="BQ247">
        <v>101.519997</v>
      </c>
      <c r="BR247" s="13"/>
      <c r="BS247" s="1"/>
      <c r="BT247" s="1"/>
      <c r="BU247">
        <v>56.099997999999999</v>
      </c>
      <c r="BV247">
        <v>54.189999</v>
      </c>
      <c r="BW247" s="13"/>
      <c r="BY247" s="1"/>
      <c r="BZ247">
        <v>28.65</v>
      </c>
      <c r="CA247">
        <v>27.9</v>
      </c>
      <c r="CB247" s="13"/>
      <c r="CC247" s="1"/>
      <c r="CD247" s="1"/>
      <c r="CE247">
        <v>66</v>
      </c>
      <c r="CF247">
        <v>63.98</v>
      </c>
      <c r="CG247" s="13"/>
      <c r="CH247" s="1"/>
      <c r="CI247" s="1"/>
      <c r="CJ247">
        <v>38.25</v>
      </c>
      <c r="CK247">
        <v>36.880001</v>
      </c>
      <c r="CL247" s="13"/>
      <c r="CM247" s="1"/>
      <c r="CN247" s="1"/>
      <c r="CO247">
        <v>34.470001000000003</v>
      </c>
      <c r="CP247">
        <v>33.130001</v>
      </c>
      <c r="CQ247" s="13"/>
      <c r="CR247" s="1"/>
      <c r="CS247" s="1"/>
      <c r="CT247">
        <v>46.259998000000003</v>
      </c>
      <c r="CU247">
        <v>44.84</v>
      </c>
      <c r="CV247" s="13"/>
      <c r="CW247" s="1"/>
      <c r="CX247" s="1"/>
      <c r="CY247">
        <v>46.52</v>
      </c>
      <c r="CZ247">
        <v>45.029998999999997</v>
      </c>
      <c r="DA247" s="13"/>
      <c r="DB247" s="1"/>
      <c r="DC247" s="1"/>
      <c r="DD247">
        <v>52.900002000000001</v>
      </c>
      <c r="DE247">
        <v>51.290000999999997</v>
      </c>
      <c r="DF247" s="13"/>
      <c r="DG247" s="1"/>
      <c r="DH247" s="1"/>
      <c r="DI247">
        <v>36.880001</v>
      </c>
      <c r="DJ247">
        <v>35.639999000000003</v>
      </c>
      <c r="DK247" s="13"/>
      <c r="DM247" s="1"/>
    </row>
    <row r="248" spans="27:117">
      <c r="AA248" s="10">
        <v>42304</v>
      </c>
      <c r="AB248" s="13">
        <v>51.130001</v>
      </c>
      <c r="AC248" s="13">
        <v>50.040000999999997</v>
      </c>
      <c r="AD248" s="13"/>
      <c r="AE248" s="1"/>
      <c r="AF248" s="1"/>
      <c r="AG248" s="14">
        <v>60.779998999999997</v>
      </c>
      <c r="AH248" s="14">
        <v>60.150002000000001</v>
      </c>
      <c r="AI248" s="13"/>
      <c r="AJ248" s="1"/>
      <c r="AK248" s="1"/>
      <c r="AL248">
        <v>18.760000000000002</v>
      </c>
      <c r="AM248">
        <v>18.510000000000002</v>
      </c>
      <c r="AN248" s="13"/>
      <c r="AO248" s="1"/>
      <c r="AP248" s="1"/>
      <c r="AQ248">
        <v>67.449996999999996</v>
      </c>
      <c r="AR248">
        <v>66.730002999999996</v>
      </c>
      <c r="AS248" s="13"/>
      <c r="AT248" s="1"/>
      <c r="AU248" s="1"/>
      <c r="AV248">
        <v>83.639999000000003</v>
      </c>
      <c r="AW248">
        <v>82.709998999999996</v>
      </c>
      <c r="AX248" s="13"/>
      <c r="AY248" s="1"/>
      <c r="AZ248" s="1"/>
      <c r="BA248">
        <v>72.870002999999997</v>
      </c>
      <c r="BB248">
        <v>72.019997000000004</v>
      </c>
      <c r="BC248" s="13"/>
      <c r="BD248" s="1"/>
      <c r="BE248" s="1"/>
      <c r="BF248">
        <v>65.290001000000004</v>
      </c>
      <c r="BG248">
        <v>64.190002000000007</v>
      </c>
      <c r="BH248" s="13"/>
      <c r="BI248" s="1"/>
      <c r="BJ248" s="1"/>
      <c r="BK248">
        <v>52.25</v>
      </c>
      <c r="BL248">
        <v>51.639999000000003</v>
      </c>
      <c r="BM248" s="13"/>
      <c r="BN248" s="1"/>
      <c r="BO248" s="1"/>
      <c r="BP248">
        <v>104.290001</v>
      </c>
      <c r="BQ248">
        <v>103.470001</v>
      </c>
      <c r="BR248" s="13"/>
      <c r="BS248" s="1"/>
      <c r="BT248" s="1"/>
      <c r="BU248">
        <v>55.939999</v>
      </c>
      <c r="BV248">
        <v>54.91</v>
      </c>
      <c r="BW248" s="13"/>
      <c r="BY248" s="1"/>
      <c r="BZ248">
        <v>28.700001</v>
      </c>
      <c r="CA248">
        <v>28.23</v>
      </c>
      <c r="CB248" s="13"/>
      <c r="CC248" s="1"/>
      <c r="CD248" s="1"/>
      <c r="CE248">
        <v>66.059997999999993</v>
      </c>
      <c r="CF248">
        <v>65.290001000000004</v>
      </c>
      <c r="CG248" s="13"/>
      <c r="CH248" s="1"/>
      <c r="CI248" s="1"/>
      <c r="CJ248">
        <v>38.950001</v>
      </c>
      <c r="CK248">
        <v>38.150002000000001</v>
      </c>
      <c r="CL248" s="13"/>
      <c r="CM248" s="1"/>
      <c r="CN248" s="1"/>
      <c r="CO248">
        <v>34.349997999999999</v>
      </c>
      <c r="CP248">
        <v>34.07</v>
      </c>
      <c r="CQ248" s="13"/>
      <c r="CR248" s="1"/>
      <c r="CS248" s="1"/>
      <c r="CT248">
        <v>45.77</v>
      </c>
      <c r="CU248">
        <v>45.360000999999997</v>
      </c>
      <c r="CV248" s="13"/>
      <c r="CW248" s="1"/>
      <c r="CX248" s="1"/>
      <c r="CY248">
        <v>46.490001999999997</v>
      </c>
      <c r="CZ248">
        <v>45.75</v>
      </c>
      <c r="DA248" s="13"/>
      <c r="DB248" s="1"/>
      <c r="DC248" s="1"/>
      <c r="DD248">
        <v>52.93</v>
      </c>
      <c r="DE248">
        <v>52.400002000000001</v>
      </c>
      <c r="DF248" s="13"/>
      <c r="DG248" s="1"/>
      <c r="DH248" s="1"/>
      <c r="DI248">
        <v>36.869999</v>
      </c>
      <c r="DJ248">
        <v>36.490001999999997</v>
      </c>
      <c r="DK248" s="13"/>
      <c r="DM248" s="1"/>
    </row>
    <row r="249" spans="27:117">
      <c r="AA249" s="10">
        <v>42303</v>
      </c>
      <c r="AB249" s="13">
        <v>50.369999</v>
      </c>
      <c r="AC249" s="13">
        <v>49.52</v>
      </c>
      <c r="AD249" s="13"/>
      <c r="AE249" s="1"/>
      <c r="AF249" s="1"/>
      <c r="AG249" s="14">
        <v>60.650002000000001</v>
      </c>
      <c r="AH249" s="14">
        <v>59.91</v>
      </c>
      <c r="AI249" s="13"/>
      <c r="AJ249" s="1"/>
      <c r="AK249" s="1"/>
      <c r="AL249">
        <v>18.790001</v>
      </c>
      <c r="AM249">
        <v>18.510000000000002</v>
      </c>
      <c r="AN249" s="13"/>
      <c r="AO249" s="1"/>
      <c r="AP249" s="1"/>
      <c r="AQ249">
        <v>67.239998</v>
      </c>
      <c r="AR249">
        <v>66.400002000000001</v>
      </c>
      <c r="AS249" s="13"/>
      <c r="AT249" s="1"/>
      <c r="AU249" s="1"/>
      <c r="AV249">
        <v>83.669998000000007</v>
      </c>
      <c r="AW249">
        <v>82.330001999999993</v>
      </c>
      <c r="AX249" s="13"/>
      <c r="AY249" s="1"/>
      <c r="AZ249" s="1"/>
      <c r="BA249">
        <v>73.940002000000007</v>
      </c>
      <c r="BB249">
        <v>71.589995999999999</v>
      </c>
      <c r="BC249" s="13"/>
      <c r="BD249" s="1"/>
      <c r="BE249" s="1"/>
      <c r="BF249">
        <v>65.099997999999999</v>
      </c>
      <c r="BG249">
        <v>64.040001000000004</v>
      </c>
      <c r="BH249" s="13"/>
      <c r="BI249" s="1"/>
      <c r="BJ249" s="1"/>
      <c r="BK249">
        <v>52.09</v>
      </c>
      <c r="BL249">
        <v>51.360000999999997</v>
      </c>
      <c r="BM249" s="13"/>
      <c r="BN249" s="1"/>
      <c r="BO249" s="1"/>
      <c r="BP249">
        <v>104.779999</v>
      </c>
      <c r="BQ249">
        <v>103.269997</v>
      </c>
      <c r="BR249" s="13"/>
      <c r="BS249" s="1"/>
      <c r="BT249" s="1"/>
      <c r="BU249">
        <v>56.02</v>
      </c>
      <c r="BV249">
        <v>55.279998999999997</v>
      </c>
      <c r="BW249" s="13"/>
      <c r="BY249" s="1"/>
      <c r="BZ249">
        <v>29.01</v>
      </c>
      <c r="CA249">
        <v>28.42</v>
      </c>
      <c r="CB249" s="13"/>
      <c r="CC249" s="1"/>
      <c r="CD249" s="1"/>
      <c r="CE249">
        <v>65.830001999999993</v>
      </c>
      <c r="CF249">
        <v>64.849997999999999</v>
      </c>
      <c r="CG249" s="13"/>
      <c r="CH249" s="1"/>
      <c r="CI249" s="1"/>
      <c r="CJ249">
        <v>38.689999</v>
      </c>
      <c r="CK249">
        <v>38.020000000000003</v>
      </c>
      <c r="CL249" s="13"/>
      <c r="CM249" s="1"/>
      <c r="CN249" s="1"/>
      <c r="CO249">
        <v>34.330002</v>
      </c>
      <c r="CP249">
        <v>33.900002000000001</v>
      </c>
      <c r="CQ249" s="13"/>
      <c r="CR249" s="1"/>
      <c r="CS249" s="1"/>
      <c r="CT249">
        <v>46</v>
      </c>
      <c r="CU249">
        <v>45.43</v>
      </c>
      <c r="CV249" s="13"/>
      <c r="CW249" s="1"/>
      <c r="CX249" s="1"/>
      <c r="CY249">
        <v>46.740001999999997</v>
      </c>
      <c r="CZ249">
        <v>45.84</v>
      </c>
      <c r="DA249" s="13"/>
      <c r="DB249" s="1"/>
      <c r="DC249" s="1"/>
      <c r="DD249">
        <v>52.860000999999997</v>
      </c>
      <c r="DE249">
        <v>52.259998000000003</v>
      </c>
      <c r="DF249" s="13"/>
      <c r="DG249" s="1"/>
      <c r="DH249" s="1"/>
      <c r="DI249">
        <v>36.790000999999997</v>
      </c>
      <c r="DJ249">
        <v>36.209999000000003</v>
      </c>
      <c r="DK249" s="13"/>
      <c r="DM249" s="1"/>
    </row>
    <row r="250" spans="27:117">
      <c r="AA250" s="10">
        <v>42300</v>
      </c>
      <c r="AB250" s="13">
        <v>51.02</v>
      </c>
      <c r="AC250" s="13">
        <v>49.580002</v>
      </c>
      <c r="AD250" s="13"/>
      <c r="AE250" s="1"/>
      <c r="AF250" s="1"/>
      <c r="AG250" s="14">
        <v>61.509998000000003</v>
      </c>
      <c r="AH250" s="14">
        <v>60.299999</v>
      </c>
      <c r="AI250" s="13"/>
      <c r="AJ250" s="1"/>
      <c r="AK250" s="1"/>
      <c r="AL250">
        <v>19.25</v>
      </c>
      <c r="AM250">
        <v>18.57</v>
      </c>
      <c r="AN250" s="13"/>
      <c r="AO250" s="1"/>
      <c r="AP250" s="1"/>
      <c r="AQ250">
        <v>67.889999000000003</v>
      </c>
      <c r="AR250">
        <v>66.819999999999993</v>
      </c>
      <c r="AS250" s="13"/>
      <c r="AT250" s="1"/>
      <c r="AU250" s="1"/>
      <c r="AV250">
        <v>85.360000999999997</v>
      </c>
      <c r="AW250">
        <v>82.980002999999996</v>
      </c>
      <c r="AX250" s="13"/>
      <c r="AY250" s="1"/>
      <c r="AZ250" s="1"/>
      <c r="BA250">
        <v>75.239998</v>
      </c>
      <c r="BB250">
        <v>73.599997999999999</v>
      </c>
      <c r="BC250" s="13"/>
      <c r="BD250" s="1"/>
      <c r="BE250" s="1"/>
      <c r="BF250">
        <v>66.050003000000004</v>
      </c>
      <c r="BG250">
        <v>64.209998999999996</v>
      </c>
      <c r="BH250" s="13"/>
      <c r="BI250" s="1"/>
      <c r="BJ250" s="1"/>
      <c r="BK250">
        <v>52.68</v>
      </c>
      <c r="BL250">
        <v>51.639999000000003</v>
      </c>
      <c r="BM250" s="13"/>
      <c r="BN250" s="1"/>
      <c r="BO250" s="1"/>
      <c r="BP250">
        <v>105.839996</v>
      </c>
      <c r="BQ250">
        <v>104.370003</v>
      </c>
      <c r="BR250" s="13"/>
      <c r="BS250" s="1"/>
      <c r="BT250" s="1"/>
      <c r="BU250">
        <v>56.259998000000003</v>
      </c>
      <c r="BV250">
        <v>55.349997999999999</v>
      </c>
      <c r="BW250" s="13"/>
      <c r="BY250" s="1"/>
      <c r="BZ250">
        <v>29.370000999999998</v>
      </c>
      <c r="CA250">
        <v>28.74</v>
      </c>
      <c r="CB250" s="13"/>
      <c r="CC250" s="1"/>
      <c r="CD250" s="1"/>
      <c r="CE250">
        <v>66.739998</v>
      </c>
      <c r="CF250">
        <v>65.400002000000001</v>
      </c>
      <c r="CG250" s="13"/>
      <c r="CH250" s="1"/>
      <c r="CI250" s="1"/>
      <c r="CJ250">
        <v>38.889999000000003</v>
      </c>
      <c r="CK250">
        <v>38.099997999999999</v>
      </c>
      <c r="CL250" s="13"/>
      <c r="CM250" s="1"/>
      <c r="CN250" s="1"/>
      <c r="CO250">
        <v>34.689999</v>
      </c>
      <c r="CP250">
        <v>34.049999</v>
      </c>
      <c r="CQ250" s="13"/>
      <c r="CR250" s="1"/>
      <c r="CS250" s="1"/>
      <c r="CT250">
        <v>46.490001999999997</v>
      </c>
      <c r="CU250">
        <v>45.779998999999997</v>
      </c>
      <c r="CV250" s="13"/>
      <c r="CW250" s="1"/>
      <c r="CX250" s="1"/>
      <c r="CY250">
        <v>46.849997999999999</v>
      </c>
      <c r="CZ250">
        <v>45.59</v>
      </c>
      <c r="DA250" s="13"/>
      <c r="DB250" s="1"/>
      <c r="DC250" s="1"/>
      <c r="DD250">
        <v>53.540000999999997</v>
      </c>
      <c r="DE250">
        <v>52.669998</v>
      </c>
      <c r="DF250" s="13"/>
      <c r="DG250" s="1"/>
      <c r="DH250" s="1"/>
      <c r="DI250">
        <v>37.200001</v>
      </c>
      <c r="DJ250">
        <v>36.310001</v>
      </c>
      <c r="DK250" s="13"/>
      <c r="DM250" s="1"/>
    </row>
    <row r="251" spans="27:117">
      <c r="AA251" s="10">
        <v>42299</v>
      </c>
      <c r="AB251" s="13">
        <v>51.57</v>
      </c>
      <c r="AC251" s="13">
        <v>50.93</v>
      </c>
      <c r="AD251" s="13"/>
      <c r="AE251" s="1"/>
      <c r="AF251" s="1"/>
      <c r="AG251" s="14">
        <v>61.669998</v>
      </c>
      <c r="AH251" s="14">
        <v>60.810001</v>
      </c>
      <c r="AI251" s="13"/>
      <c r="AJ251" s="1"/>
      <c r="AK251" s="1"/>
      <c r="AL251">
        <v>19.260000000000002</v>
      </c>
      <c r="AM251">
        <v>18.84</v>
      </c>
      <c r="AN251" s="13"/>
      <c r="AO251" s="1"/>
      <c r="AP251" s="1"/>
      <c r="AQ251">
        <v>67.940002000000007</v>
      </c>
      <c r="AR251">
        <v>67.010002</v>
      </c>
      <c r="AS251" s="13"/>
      <c r="AT251" s="1"/>
      <c r="AU251" s="1"/>
      <c r="AV251">
        <v>85.040001000000004</v>
      </c>
      <c r="AW251">
        <v>83.769997000000004</v>
      </c>
      <c r="AX251" s="13"/>
      <c r="AY251" s="1"/>
      <c r="AZ251" s="1"/>
      <c r="BA251">
        <v>75.290001000000004</v>
      </c>
      <c r="BB251">
        <v>73.809997999999993</v>
      </c>
      <c r="BC251" s="13"/>
      <c r="BD251" s="1"/>
      <c r="BE251" s="1"/>
      <c r="BF251">
        <v>66.290001000000004</v>
      </c>
      <c r="BG251">
        <v>64.959998999999996</v>
      </c>
      <c r="BH251" s="13"/>
      <c r="BI251" s="1"/>
      <c r="BJ251" s="1"/>
      <c r="BK251">
        <v>52.849997999999999</v>
      </c>
      <c r="BL251">
        <v>52.029998999999997</v>
      </c>
      <c r="BM251" s="13"/>
      <c r="BN251" s="1"/>
      <c r="BO251" s="1"/>
      <c r="BP251">
        <v>105.849998</v>
      </c>
      <c r="BQ251">
        <v>104.18</v>
      </c>
      <c r="BR251" s="13"/>
      <c r="BS251" s="1"/>
      <c r="BT251" s="1"/>
      <c r="BU251">
        <v>56.310001</v>
      </c>
      <c r="BV251">
        <v>54.18</v>
      </c>
      <c r="BW251" s="13"/>
      <c r="BY251" s="1"/>
      <c r="BZ251">
        <v>29.4</v>
      </c>
      <c r="CA251">
        <v>28.879999000000002</v>
      </c>
      <c r="CB251" s="13"/>
      <c r="CC251" s="1"/>
      <c r="CD251" s="1"/>
      <c r="CE251">
        <v>67.019997000000004</v>
      </c>
      <c r="CF251">
        <v>65.400002000000001</v>
      </c>
      <c r="CG251" s="13"/>
      <c r="CH251" s="1"/>
      <c r="CI251" s="1"/>
      <c r="CJ251">
        <v>38.889999000000003</v>
      </c>
      <c r="CK251">
        <v>38.439999</v>
      </c>
      <c r="CL251" s="13"/>
      <c r="CM251" s="1"/>
      <c r="CN251" s="1"/>
      <c r="CO251">
        <v>34.919998</v>
      </c>
      <c r="CP251">
        <v>34.290000999999997</v>
      </c>
      <c r="CQ251" s="13"/>
      <c r="CR251" s="1"/>
      <c r="CS251" s="1"/>
      <c r="CT251">
        <v>46.619999</v>
      </c>
      <c r="CU251">
        <v>46.139999000000003</v>
      </c>
      <c r="CV251" s="13"/>
      <c r="CW251" s="1"/>
      <c r="CX251" s="1"/>
      <c r="CY251">
        <v>47</v>
      </c>
      <c r="CZ251">
        <v>45.830002</v>
      </c>
      <c r="DA251" s="13"/>
      <c r="DB251" s="1"/>
      <c r="DC251" s="1"/>
      <c r="DD251">
        <v>53.880001</v>
      </c>
      <c r="DE251">
        <v>53.049999</v>
      </c>
      <c r="DF251" s="13"/>
      <c r="DG251" s="1"/>
      <c r="DH251" s="1"/>
      <c r="DI251">
        <v>37.25</v>
      </c>
      <c r="DJ251">
        <v>36.599997999999999</v>
      </c>
      <c r="DK251" s="13"/>
      <c r="DM251" s="1"/>
    </row>
    <row r="252" spans="27:117">
      <c r="AA252" s="10">
        <v>42298</v>
      </c>
      <c r="AB252" s="13">
        <v>52.139999000000003</v>
      </c>
      <c r="AC252" s="13">
        <v>50.990001999999997</v>
      </c>
      <c r="AD252" s="13"/>
      <c r="AE252" s="1"/>
      <c r="AF252" s="1"/>
      <c r="AG252" s="14">
        <v>61.66</v>
      </c>
      <c r="AH252" s="14">
        <v>60.77</v>
      </c>
      <c r="AI252" s="13"/>
      <c r="AJ252" s="1"/>
      <c r="AK252" s="1"/>
      <c r="AL252">
        <v>18.93</v>
      </c>
      <c r="AM252">
        <v>18.57</v>
      </c>
      <c r="AN252" s="13"/>
      <c r="AO252" s="1"/>
      <c r="AP252" s="1"/>
      <c r="AQ252">
        <v>67.730002999999996</v>
      </c>
      <c r="AR252">
        <v>66.870002999999997</v>
      </c>
      <c r="AS252" s="13"/>
      <c r="AT252" s="1"/>
      <c r="AU252" s="1"/>
      <c r="AV252">
        <v>84.639999000000003</v>
      </c>
      <c r="AW252">
        <v>83.599997999999999</v>
      </c>
      <c r="AX252" s="13"/>
      <c r="AY252" s="1"/>
      <c r="AZ252" s="1"/>
      <c r="BA252">
        <v>74.379997000000003</v>
      </c>
      <c r="BB252">
        <v>73.559997999999993</v>
      </c>
      <c r="BC252" s="13"/>
      <c r="BD252" s="1"/>
      <c r="BE252" s="1"/>
      <c r="BF252">
        <v>66.120002999999997</v>
      </c>
      <c r="BG252">
        <v>64.959998999999996</v>
      </c>
      <c r="BH252" s="13"/>
      <c r="BI252" s="1"/>
      <c r="BJ252" s="1"/>
      <c r="BK252">
        <v>52.709999000000003</v>
      </c>
      <c r="BL252">
        <v>51.93</v>
      </c>
      <c r="BM252" s="13"/>
      <c r="BN252" s="1"/>
      <c r="BO252" s="1"/>
      <c r="BP252">
        <v>104.879997</v>
      </c>
      <c r="BQ252">
        <v>103.910004</v>
      </c>
      <c r="BR252" s="13"/>
      <c r="BS252" s="1"/>
      <c r="BT252" s="1"/>
      <c r="BU252">
        <v>56.91</v>
      </c>
      <c r="BV252">
        <v>56.040000999999997</v>
      </c>
      <c r="BW252" s="13"/>
      <c r="BY252" s="1"/>
      <c r="BZ252">
        <v>29.17</v>
      </c>
      <c r="CA252">
        <v>28.790001</v>
      </c>
      <c r="CB252" s="13"/>
      <c r="CC252" s="1"/>
      <c r="CD252" s="1"/>
      <c r="CE252">
        <v>66.459998999999996</v>
      </c>
      <c r="CF252">
        <v>65.519997000000004</v>
      </c>
      <c r="CG252" s="13"/>
      <c r="CH252" s="1"/>
      <c r="CI252" s="1"/>
      <c r="CJ252">
        <v>39.080002</v>
      </c>
      <c r="CK252">
        <v>38.450001</v>
      </c>
      <c r="CL252" s="13"/>
      <c r="CM252" s="1"/>
      <c r="CN252" s="1"/>
      <c r="CO252">
        <v>34.57</v>
      </c>
      <c r="CP252">
        <v>34.169998</v>
      </c>
      <c r="CQ252" s="13"/>
      <c r="CR252" s="1"/>
      <c r="CS252" s="1"/>
      <c r="CT252">
        <v>46.439999</v>
      </c>
      <c r="CU252">
        <v>45.970001000000003</v>
      </c>
      <c r="CV252" s="13"/>
      <c r="CW252" s="1"/>
      <c r="CX252" s="1"/>
      <c r="CY252">
        <v>46.560001</v>
      </c>
      <c r="CZ252">
        <v>45.830002</v>
      </c>
      <c r="DA252" s="13"/>
      <c r="DB252" s="1"/>
      <c r="DC252" s="1"/>
      <c r="DD252">
        <v>53.830002</v>
      </c>
      <c r="DE252">
        <v>53.07</v>
      </c>
      <c r="DF252" s="13"/>
      <c r="DG252" s="1"/>
      <c r="DH252" s="1"/>
      <c r="DI252">
        <v>36.939999</v>
      </c>
      <c r="DJ252">
        <v>36.529998999999997</v>
      </c>
      <c r="DK252" s="13"/>
      <c r="DM252" s="1"/>
    </row>
    <row r="253" spans="27:117">
      <c r="AA253" s="10">
        <v>42297</v>
      </c>
      <c r="AB253" s="13">
        <v>52.09</v>
      </c>
      <c r="AC253" s="13">
        <v>51.439999</v>
      </c>
      <c r="AD253" s="13"/>
      <c r="AE253" s="1"/>
      <c r="AF253" s="1"/>
      <c r="AG253" s="14">
        <v>61.48</v>
      </c>
      <c r="AH253" s="14">
        <v>60.68</v>
      </c>
      <c r="AI253" s="13"/>
      <c r="AJ253" s="1"/>
      <c r="AK253" s="1"/>
      <c r="AL253">
        <v>18.68</v>
      </c>
      <c r="AM253">
        <v>18.43</v>
      </c>
      <c r="AN253" s="13"/>
      <c r="AO253" s="1"/>
      <c r="AP253" s="1"/>
      <c r="AQ253">
        <v>67.360000999999997</v>
      </c>
      <c r="AR253">
        <v>66.639999000000003</v>
      </c>
      <c r="AS253" s="13"/>
      <c r="AT253" s="1"/>
      <c r="AU253" s="1"/>
      <c r="AV253">
        <v>84.199996999999996</v>
      </c>
      <c r="AW253">
        <v>83.059997999999993</v>
      </c>
      <c r="AX253" s="13"/>
      <c r="AY253" s="1"/>
      <c r="AZ253" s="1"/>
      <c r="BA253">
        <v>74.080001999999993</v>
      </c>
      <c r="BB253">
        <v>73.309997999999993</v>
      </c>
      <c r="BC253" s="13"/>
      <c r="BD253" s="1"/>
      <c r="BE253" s="1"/>
      <c r="BF253">
        <v>65.739998</v>
      </c>
      <c r="BG253">
        <v>64.519997000000004</v>
      </c>
      <c r="BH253" s="13"/>
      <c r="BI253" s="1"/>
      <c r="BJ253" s="1"/>
      <c r="BK253">
        <v>52.27</v>
      </c>
      <c r="BL253">
        <v>51.560001</v>
      </c>
      <c r="BM253" s="13"/>
      <c r="BN253" s="1"/>
      <c r="BO253" s="1"/>
      <c r="BP253">
        <v>104.459999</v>
      </c>
      <c r="BQ253">
        <v>103.199997</v>
      </c>
      <c r="BR253" s="13"/>
      <c r="BS253" s="1"/>
      <c r="BT253" s="1"/>
      <c r="BU253">
        <v>57.07</v>
      </c>
      <c r="BV253">
        <v>56.150002000000001</v>
      </c>
      <c r="BW253" s="13"/>
      <c r="BY253" s="1"/>
      <c r="BZ253">
        <v>29.1</v>
      </c>
      <c r="CA253">
        <v>28.709999</v>
      </c>
      <c r="CB253" s="13"/>
      <c r="CC253" s="1"/>
      <c r="CD253" s="1"/>
      <c r="CE253">
        <v>65.889999000000003</v>
      </c>
      <c r="CF253">
        <v>64.760002</v>
      </c>
      <c r="CG253" s="13"/>
      <c r="CH253" s="1"/>
      <c r="CI253" s="1"/>
      <c r="CJ253">
        <v>38.82</v>
      </c>
      <c r="CK253">
        <v>38.25</v>
      </c>
      <c r="CL253" s="13"/>
      <c r="CM253" s="1"/>
      <c r="CN253" s="1"/>
      <c r="CO253">
        <v>34.439999</v>
      </c>
      <c r="CP253">
        <v>34.020000000000003</v>
      </c>
      <c r="CQ253" s="13"/>
      <c r="CR253" s="1"/>
      <c r="CS253" s="1"/>
      <c r="CT253">
        <v>46.25</v>
      </c>
      <c r="CU253">
        <v>45.790000999999997</v>
      </c>
      <c r="CV253" s="13"/>
      <c r="CW253" s="1"/>
      <c r="CX253" s="1"/>
      <c r="CY253">
        <v>46.380001</v>
      </c>
      <c r="CZ253">
        <v>45.349997999999999</v>
      </c>
      <c r="DA253" s="13"/>
      <c r="DB253" s="1"/>
      <c r="DC253" s="1"/>
      <c r="DD253">
        <v>53.650002000000001</v>
      </c>
      <c r="DE253">
        <v>53.150002000000001</v>
      </c>
      <c r="DF253" s="13"/>
      <c r="DG253" s="1"/>
      <c r="DH253" s="1"/>
      <c r="DI253">
        <v>36.729999999999997</v>
      </c>
      <c r="DJ253">
        <v>36.119999</v>
      </c>
      <c r="DK253" s="13"/>
      <c r="DM253" s="1"/>
    </row>
    <row r="254" spans="27:117">
      <c r="AA254" s="10">
        <v>42296</v>
      </c>
      <c r="AB254" s="13">
        <v>52.360000999999997</v>
      </c>
      <c r="AC254" s="13">
        <v>51.150002000000001</v>
      </c>
      <c r="AD254" s="13"/>
      <c r="AE254" s="1"/>
      <c r="AF254" s="1"/>
      <c r="AG254" s="14">
        <v>60.990001999999997</v>
      </c>
      <c r="AH254" s="14">
        <v>60.150002000000001</v>
      </c>
      <c r="AI254" s="13"/>
      <c r="AJ254" s="1"/>
      <c r="AK254" s="1"/>
      <c r="AL254">
        <v>18.530000999999999</v>
      </c>
      <c r="AM254">
        <v>18.260000000000002</v>
      </c>
      <c r="AN254" s="13"/>
      <c r="AO254" s="1"/>
      <c r="AP254" s="1"/>
      <c r="AQ254">
        <v>66.930000000000007</v>
      </c>
      <c r="AR254">
        <v>65.900002000000001</v>
      </c>
      <c r="AS254" s="13"/>
      <c r="AT254" s="1"/>
      <c r="AU254" s="1"/>
      <c r="AV254">
        <v>83.669998000000007</v>
      </c>
      <c r="AW254">
        <v>82.839995999999999</v>
      </c>
      <c r="AX254" s="13"/>
      <c r="AY254" s="1"/>
      <c r="AZ254" s="1"/>
      <c r="BA254">
        <v>73.779999000000004</v>
      </c>
      <c r="BB254">
        <v>72.730002999999996</v>
      </c>
      <c r="BC254" s="13"/>
      <c r="BD254" s="1"/>
      <c r="BE254" s="1"/>
      <c r="BF254">
        <v>64.980002999999996</v>
      </c>
      <c r="BG254">
        <v>63.759998000000003</v>
      </c>
      <c r="BH254" s="13"/>
      <c r="BI254" s="1"/>
      <c r="BJ254" s="1"/>
      <c r="BK254">
        <v>52.220001000000003</v>
      </c>
      <c r="BL254">
        <v>51.549999</v>
      </c>
      <c r="BM254" s="13"/>
      <c r="BN254" s="1"/>
      <c r="BO254" s="1"/>
      <c r="BP254">
        <v>103.82</v>
      </c>
      <c r="BQ254">
        <v>102.550003</v>
      </c>
      <c r="BR254" s="13"/>
      <c r="BS254" s="1"/>
      <c r="BT254" s="1"/>
      <c r="BU254">
        <v>56.41</v>
      </c>
      <c r="BV254">
        <v>55.84</v>
      </c>
      <c r="BW254" s="13"/>
      <c r="BY254" s="1"/>
      <c r="BZ254">
        <v>28.879999000000002</v>
      </c>
      <c r="CA254">
        <v>28.48</v>
      </c>
      <c r="CB254" s="13"/>
      <c r="CC254" s="1"/>
      <c r="CD254" s="1"/>
      <c r="CE254">
        <v>65.660004000000001</v>
      </c>
      <c r="CF254">
        <v>64.809997999999993</v>
      </c>
      <c r="CG254" s="13"/>
      <c r="CH254" s="1"/>
      <c r="CI254" s="1"/>
      <c r="CJ254">
        <v>38.490001999999997</v>
      </c>
      <c r="CK254">
        <v>38.049999</v>
      </c>
      <c r="CL254" s="13"/>
      <c r="CM254" s="1"/>
      <c r="CN254" s="1"/>
      <c r="CO254">
        <v>34.459999000000003</v>
      </c>
      <c r="CP254">
        <v>34.009998000000003</v>
      </c>
      <c r="CQ254" s="13"/>
      <c r="CR254" s="1"/>
      <c r="CS254" s="1"/>
      <c r="CT254">
        <v>46.16</v>
      </c>
      <c r="CU254">
        <v>45.549999</v>
      </c>
      <c r="CV254" s="13"/>
      <c r="CW254" s="1"/>
      <c r="CX254" s="1"/>
      <c r="CY254">
        <v>45.720001000000003</v>
      </c>
      <c r="CZ254">
        <v>44.68</v>
      </c>
      <c r="DA254" s="13"/>
      <c r="DB254" s="1"/>
      <c r="DC254" s="1"/>
      <c r="DD254">
        <v>53.48</v>
      </c>
      <c r="DE254">
        <v>52.82</v>
      </c>
      <c r="DF254" s="13"/>
      <c r="DG254" s="1"/>
      <c r="DH254" s="1"/>
      <c r="DI254">
        <v>36.389999000000003</v>
      </c>
      <c r="DJ254">
        <v>35.970001000000003</v>
      </c>
      <c r="DK254" s="13"/>
      <c r="DM254" s="1"/>
    </row>
    <row r="255" spans="27:117">
      <c r="AA255" s="10">
        <v>42293</v>
      </c>
      <c r="AB255" s="13">
        <v>52.900002000000001</v>
      </c>
      <c r="AC255" s="13">
        <v>51.98</v>
      </c>
      <c r="AD255" s="13"/>
      <c r="AE255" s="1"/>
      <c r="AF255" s="1"/>
      <c r="AG255" s="14">
        <v>61.02</v>
      </c>
      <c r="AH255" s="14">
        <v>60.41</v>
      </c>
      <c r="AI255" s="13"/>
      <c r="AJ255" s="1"/>
      <c r="AK255" s="1"/>
      <c r="AL255">
        <v>18.850000000000001</v>
      </c>
      <c r="AM255">
        <v>18.57</v>
      </c>
      <c r="AN255" s="13"/>
      <c r="AO255" s="1"/>
      <c r="AP255" s="1"/>
      <c r="AQ255">
        <v>67.449996999999996</v>
      </c>
      <c r="AR255">
        <v>66.690002000000007</v>
      </c>
      <c r="AS255" s="13"/>
      <c r="AT255" s="1"/>
      <c r="AU255" s="1"/>
      <c r="AV255">
        <v>83.980002999999996</v>
      </c>
      <c r="AW255">
        <v>83</v>
      </c>
      <c r="AX255" s="13"/>
      <c r="AY255" s="1"/>
      <c r="AZ255" s="1"/>
      <c r="BA255">
        <v>74.169998000000007</v>
      </c>
      <c r="BB255">
        <v>73.449996999999996</v>
      </c>
      <c r="BC255" s="13"/>
      <c r="BD255" s="1"/>
      <c r="BE255" s="1"/>
      <c r="BF255">
        <v>64.919998000000007</v>
      </c>
      <c r="BG255">
        <v>63.91</v>
      </c>
      <c r="BH255" s="13"/>
      <c r="BI255" s="1"/>
      <c r="BJ255" s="1"/>
      <c r="BK255">
        <v>52.529998999999997</v>
      </c>
      <c r="BL255">
        <v>51.939999</v>
      </c>
      <c r="BM255" s="13"/>
      <c r="BN255" s="1"/>
      <c r="BO255" s="1"/>
      <c r="BP255">
        <v>104.260002</v>
      </c>
      <c r="BQ255">
        <v>103.129997</v>
      </c>
      <c r="BR255" s="13"/>
      <c r="BS255" s="1"/>
      <c r="BT255" s="1"/>
      <c r="BU255">
        <v>56.400002000000001</v>
      </c>
      <c r="BV255">
        <v>55.959999000000003</v>
      </c>
      <c r="BW255" s="13"/>
      <c r="BY255" s="1"/>
      <c r="BZ255">
        <v>29.07</v>
      </c>
      <c r="CA255">
        <v>28.790001</v>
      </c>
      <c r="CB255" s="13"/>
      <c r="CC255" s="1"/>
      <c r="CD255" s="1"/>
      <c r="CE255">
        <v>66.190002000000007</v>
      </c>
      <c r="CF255">
        <v>65.650002000000001</v>
      </c>
      <c r="CG255" s="13"/>
      <c r="CH255" s="1"/>
      <c r="CI255" s="1"/>
      <c r="CJ255">
        <v>38.770000000000003</v>
      </c>
      <c r="CK255">
        <v>38.330002</v>
      </c>
      <c r="CL255" s="13"/>
      <c r="CM255" s="1"/>
      <c r="CN255" s="1"/>
      <c r="CO255">
        <v>34.549999</v>
      </c>
      <c r="CP255">
        <v>34.18</v>
      </c>
      <c r="CQ255" s="13"/>
      <c r="CR255" s="1"/>
      <c r="CS255" s="1"/>
      <c r="CT255">
        <v>46.25</v>
      </c>
      <c r="CU255">
        <v>45.93</v>
      </c>
      <c r="CV255" s="13"/>
      <c r="CW255" s="1"/>
      <c r="CX255" s="1"/>
      <c r="CY255">
        <v>44.970001000000003</v>
      </c>
      <c r="CZ255">
        <v>44.360000999999997</v>
      </c>
      <c r="DA255" s="13"/>
      <c r="DB255" s="1"/>
      <c r="DC255" s="1"/>
      <c r="DD255">
        <v>53.52</v>
      </c>
      <c r="DE255">
        <v>53.02</v>
      </c>
      <c r="DF255" s="13"/>
      <c r="DG255" s="1"/>
      <c r="DH255" s="1"/>
      <c r="DI255">
        <v>36.709999000000003</v>
      </c>
      <c r="DJ255">
        <v>36.25</v>
      </c>
      <c r="DK255" s="13"/>
      <c r="DM255" s="1"/>
    </row>
    <row r="256" spans="27:117">
      <c r="AA256" s="10">
        <v>42292</v>
      </c>
      <c r="AB256" s="13">
        <v>52.150002000000001</v>
      </c>
      <c r="AC256" s="13">
        <v>51.150002000000001</v>
      </c>
      <c r="AD256" s="13"/>
      <c r="AE256" s="1"/>
      <c r="AF256" s="1"/>
      <c r="AG256" s="14">
        <v>60.57</v>
      </c>
      <c r="AH256" s="14">
        <v>59.529998999999997</v>
      </c>
      <c r="AI256" s="13"/>
      <c r="AJ256" s="1"/>
      <c r="AK256" s="1"/>
      <c r="AL256">
        <v>18.719999000000001</v>
      </c>
      <c r="AM256">
        <v>18.27</v>
      </c>
      <c r="AN256" s="13"/>
      <c r="AO256" s="1"/>
      <c r="AP256" s="1"/>
      <c r="AQ256">
        <v>66.610000999999997</v>
      </c>
      <c r="AR256">
        <v>65.410004000000001</v>
      </c>
      <c r="AS256" s="13"/>
      <c r="AT256" s="1"/>
      <c r="AU256" s="1"/>
      <c r="AV256">
        <v>83.510002</v>
      </c>
      <c r="AW256">
        <v>81.660004000000001</v>
      </c>
      <c r="AX256" s="13"/>
      <c r="AY256" s="1"/>
      <c r="AZ256" s="1"/>
      <c r="BA256">
        <v>73.589995999999999</v>
      </c>
      <c r="BB256">
        <v>72.290001000000004</v>
      </c>
      <c r="BC256" s="13"/>
      <c r="BD256" s="1"/>
      <c r="BE256" s="1"/>
      <c r="BF256">
        <v>64.569999999999993</v>
      </c>
      <c r="BG256">
        <v>63.68</v>
      </c>
      <c r="BH256" s="13"/>
      <c r="BI256" s="1"/>
      <c r="BJ256" s="1"/>
      <c r="BK256">
        <v>51.93</v>
      </c>
      <c r="BL256">
        <v>51.040000999999997</v>
      </c>
      <c r="BM256" s="13"/>
      <c r="BN256" s="1"/>
      <c r="BO256" s="1"/>
      <c r="BP256">
        <v>103.370003</v>
      </c>
      <c r="BQ256">
        <v>101.25</v>
      </c>
      <c r="BR256" s="13"/>
      <c r="BS256" s="1"/>
      <c r="BT256" s="1"/>
      <c r="BU256">
        <v>56</v>
      </c>
      <c r="BV256">
        <v>55.029998999999997</v>
      </c>
      <c r="BW256" s="13"/>
      <c r="BY256" s="1"/>
      <c r="BZ256">
        <v>28.959999</v>
      </c>
      <c r="CA256">
        <v>28.440000999999999</v>
      </c>
      <c r="CB256" s="13"/>
      <c r="CC256" s="1"/>
      <c r="CD256" s="1"/>
      <c r="CE256">
        <v>65.980002999999996</v>
      </c>
      <c r="CF256">
        <v>64.760002</v>
      </c>
      <c r="CG256" s="13"/>
      <c r="CH256" s="1"/>
      <c r="CI256" s="1"/>
      <c r="CJ256">
        <v>38.330002</v>
      </c>
      <c r="CK256">
        <v>37.68</v>
      </c>
      <c r="CL256" s="13"/>
      <c r="CM256" s="1"/>
      <c r="CN256" s="1"/>
      <c r="CO256">
        <v>34.310001</v>
      </c>
      <c r="CP256">
        <v>33.639999000000003</v>
      </c>
      <c r="CQ256" s="13"/>
      <c r="CR256" s="1"/>
      <c r="CS256" s="1"/>
      <c r="CT256">
        <v>45.880001</v>
      </c>
      <c r="CU256">
        <v>45.470001000000003</v>
      </c>
      <c r="CV256" s="13"/>
      <c r="CW256" s="1"/>
      <c r="CX256" s="1"/>
      <c r="CY256">
        <v>44.389999000000003</v>
      </c>
      <c r="CZ256">
        <v>43.34</v>
      </c>
      <c r="DA256" s="13"/>
      <c r="DB256" s="1"/>
      <c r="DC256" s="1"/>
      <c r="DD256">
        <v>53.060001</v>
      </c>
      <c r="DE256">
        <v>52.169998</v>
      </c>
      <c r="DF256" s="13"/>
      <c r="DG256" s="1"/>
      <c r="DH256" s="1"/>
      <c r="DI256">
        <v>36.490001999999997</v>
      </c>
      <c r="DJ256">
        <v>35.919998</v>
      </c>
      <c r="DK256" s="13"/>
      <c r="DM256" s="1"/>
    </row>
    <row r="257" spans="27:117">
      <c r="AA257" s="10">
        <v>42291</v>
      </c>
      <c r="AB257" s="13">
        <v>52.060001</v>
      </c>
      <c r="AC257" s="13">
        <v>51.459999000000003</v>
      </c>
      <c r="AD257" s="13"/>
      <c r="AE257" s="1"/>
      <c r="AF257" s="1"/>
      <c r="AG257" s="14">
        <v>60.029998999999997</v>
      </c>
      <c r="AH257" s="14">
        <v>59.450001</v>
      </c>
      <c r="AI257" s="13"/>
      <c r="AJ257" s="1"/>
      <c r="AK257" s="1"/>
      <c r="AL257">
        <v>18.459999</v>
      </c>
      <c r="AM257">
        <v>18.239999999999998</v>
      </c>
      <c r="AN257" s="13"/>
      <c r="AO257" s="1"/>
      <c r="AP257" s="1"/>
      <c r="AQ257">
        <v>65.879997000000003</v>
      </c>
      <c r="AR257">
        <v>65.330001999999993</v>
      </c>
      <c r="AS257" s="13"/>
      <c r="AT257" s="1"/>
      <c r="AU257" s="1"/>
      <c r="AV257">
        <v>82.269997000000004</v>
      </c>
      <c r="AW257">
        <v>81.150002000000001</v>
      </c>
      <c r="AX257" s="13"/>
      <c r="AY257" s="1"/>
      <c r="AZ257" s="1"/>
      <c r="BA257">
        <v>72.940002000000007</v>
      </c>
      <c r="BB257">
        <v>72.25</v>
      </c>
      <c r="BC257" s="13"/>
      <c r="BD257" s="1"/>
      <c r="BE257" s="1"/>
      <c r="BF257">
        <v>64.489998</v>
      </c>
      <c r="BG257">
        <v>63.490001999999997</v>
      </c>
      <c r="BH257" s="13"/>
      <c r="BI257" s="1"/>
      <c r="BJ257" s="1"/>
      <c r="BK257">
        <v>51.599997999999999</v>
      </c>
      <c r="BL257">
        <v>51.029998999999997</v>
      </c>
      <c r="BM257" s="13"/>
      <c r="BN257" s="1"/>
      <c r="BO257" s="1"/>
      <c r="BP257">
        <v>101.760002</v>
      </c>
      <c r="BQ257">
        <v>100.69000200000001</v>
      </c>
      <c r="BR257" s="13"/>
      <c r="BS257" s="1"/>
      <c r="BT257" s="1"/>
      <c r="BU257">
        <v>55.66</v>
      </c>
      <c r="BV257">
        <v>54.93</v>
      </c>
      <c r="BW257" s="13"/>
      <c r="BY257" s="1"/>
      <c r="BZ257">
        <v>28.66</v>
      </c>
      <c r="CA257">
        <v>28.370000999999998</v>
      </c>
      <c r="CB257" s="13"/>
      <c r="CC257" s="1"/>
      <c r="CD257" s="1"/>
      <c r="CE257">
        <v>65.309997999999993</v>
      </c>
      <c r="CF257">
        <v>64.699996999999996</v>
      </c>
      <c r="CG257" s="13"/>
      <c r="CH257" s="1"/>
      <c r="CI257" s="1"/>
      <c r="CJ257">
        <v>38.110000999999997</v>
      </c>
      <c r="CK257">
        <v>37.700001</v>
      </c>
      <c r="CL257" s="13"/>
      <c r="CM257" s="1"/>
      <c r="CN257" s="1"/>
      <c r="CO257">
        <v>33.810001</v>
      </c>
      <c r="CP257">
        <v>33.389999000000003</v>
      </c>
      <c r="CQ257" s="13"/>
      <c r="CR257" s="1"/>
      <c r="CS257" s="1"/>
      <c r="CT257">
        <v>45.790000999999997</v>
      </c>
      <c r="CU257">
        <v>45.48</v>
      </c>
      <c r="CV257" s="13"/>
      <c r="CW257" s="1"/>
      <c r="CX257" s="1"/>
      <c r="CY257">
        <v>43.889999000000003</v>
      </c>
      <c r="CZ257">
        <v>43.560001</v>
      </c>
      <c r="DA257" s="13"/>
      <c r="DB257" s="1"/>
      <c r="DC257" s="1"/>
      <c r="DD257">
        <v>52.639999000000003</v>
      </c>
      <c r="DE257">
        <v>52.119999</v>
      </c>
      <c r="DF257" s="13"/>
      <c r="DG257" s="1"/>
      <c r="DH257" s="1"/>
      <c r="DI257">
        <v>36.310001</v>
      </c>
      <c r="DJ257">
        <v>35.869999</v>
      </c>
      <c r="DK257" s="13"/>
      <c r="DM257" s="1"/>
    </row>
    <row r="258" spans="27:117">
      <c r="AA258" s="10">
        <v>42290</v>
      </c>
      <c r="AB258" s="13">
        <v>52.009998000000003</v>
      </c>
      <c r="AC258" s="13">
        <v>51.299999</v>
      </c>
      <c r="AD258" s="13"/>
      <c r="AE258" s="1"/>
      <c r="AF258" s="1"/>
      <c r="AG258" s="14">
        <v>59.66</v>
      </c>
      <c r="AH258" s="14">
        <v>59.130001</v>
      </c>
      <c r="AI258" s="13"/>
      <c r="AJ258" s="1"/>
      <c r="AK258" s="1"/>
      <c r="AL258">
        <v>18.620000999999998</v>
      </c>
      <c r="AM258">
        <v>18.360001</v>
      </c>
      <c r="AN258" s="13"/>
      <c r="AO258" s="1"/>
      <c r="AP258" s="1"/>
      <c r="AQ258">
        <v>65.970000999999996</v>
      </c>
      <c r="AR258">
        <v>65.370002999999997</v>
      </c>
      <c r="AS258" s="13"/>
      <c r="AT258" s="1"/>
      <c r="AU258" s="1"/>
      <c r="AV258">
        <v>82.209998999999996</v>
      </c>
      <c r="AW258">
        <v>81.029999000000004</v>
      </c>
      <c r="AX258" s="13"/>
      <c r="AY258" s="1"/>
      <c r="AZ258" s="1"/>
      <c r="BA258">
        <v>73.099997999999999</v>
      </c>
      <c r="BB258">
        <v>72.25</v>
      </c>
      <c r="BC258" s="13"/>
      <c r="BD258" s="1"/>
      <c r="BE258" s="1"/>
      <c r="BF258">
        <v>63.650002000000001</v>
      </c>
      <c r="BG258">
        <v>63.150002000000001</v>
      </c>
      <c r="BH258" s="13"/>
      <c r="BI258" s="1"/>
      <c r="BJ258" s="1"/>
      <c r="BK258">
        <v>51.450001</v>
      </c>
      <c r="BL258">
        <v>50.84</v>
      </c>
      <c r="BM258" s="13"/>
      <c r="BN258" s="1"/>
      <c r="BO258" s="1"/>
      <c r="BP258">
        <v>101.860001</v>
      </c>
      <c r="BQ258">
        <v>100.949997</v>
      </c>
      <c r="BR258" s="13"/>
      <c r="BS258" s="1"/>
      <c r="BT258" s="1"/>
      <c r="BU258">
        <v>55.619999</v>
      </c>
      <c r="BV258">
        <v>54.82</v>
      </c>
      <c r="BW258" s="13"/>
      <c r="BY258" s="1"/>
      <c r="BZ258">
        <v>28.68</v>
      </c>
      <c r="CA258">
        <v>28.33</v>
      </c>
      <c r="CB258" s="13"/>
      <c r="CC258" s="1"/>
      <c r="CD258" s="1"/>
      <c r="CE258">
        <v>64.919998000000007</v>
      </c>
      <c r="CF258">
        <v>64.400002000000001</v>
      </c>
      <c r="CG258" s="13"/>
      <c r="CH258" s="1"/>
      <c r="CI258" s="1"/>
      <c r="CJ258">
        <v>37.990001999999997</v>
      </c>
      <c r="CK258">
        <v>37.590000000000003</v>
      </c>
      <c r="CL258" s="13"/>
      <c r="CM258" s="1"/>
      <c r="CN258" s="1"/>
      <c r="CO258">
        <v>33.57</v>
      </c>
      <c r="CP258">
        <v>33.18</v>
      </c>
      <c r="CQ258" s="13"/>
      <c r="CR258" s="1"/>
      <c r="CS258" s="1"/>
      <c r="CT258">
        <v>45.91</v>
      </c>
      <c r="CU258">
        <v>45.380001</v>
      </c>
      <c r="CV258" s="13"/>
      <c r="CW258" s="1"/>
      <c r="CX258" s="1"/>
      <c r="CY258">
        <v>43.82</v>
      </c>
      <c r="CZ258">
        <v>43.389999000000003</v>
      </c>
      <c r="DA258" s="13"/>
      <c r="DB258" s="1"/>
      <c r="DC258" s="1"/>
      <c r="DD258">
        <v>52.939999</v>
      </c>
      <c r="DE258">
        <v>52.25</v>
      </c>
      <c r="DF258" s="13"/>
      <c r="DG258" s="1"/>
      <c r="DH258" s="1"/>
      <c r="DI258">
        <v>36.020000000000003</v>
      </c>
      <c r="DJ258">
        <v>35.700001</v>
      </c>
      <c r="DK258" s="13"/>
      <c r="DM258" s="1"/>
    </row>
    <row r="259" spans="27:117">
      <c r="AA259" s="10">
        <v>42289</v>
      </c>
      <c r="AB259" s="13">
        <v>52.189999</v>
      </c>
      <c r="AC259" s="13">
        <v>51.349997999999999</v>
      </c>
      <c r="AD259" s="13"/>
      <c r="AE259" s="1"/>
      <c r="AF259" s="1"/>
      <c r="AG259" s="14">
        <v>59.669998</v>
      </c>
      <c r="AH259" s="14">
        <v>58.810001</v>
      </c>
      <c r="AI259" s="13"/>
      <c r="AJ259" s="1"/>
      <c r="AK259" s="1"/>
      <c r="AL259">
        <v>18.84</v>
      </c>
      <c r="AM259">
        <v>18.48</v>
      </c>
      <c r="AN259" s="13"/>
      <c r="AO259" s="1"/>
      <c r="AP259" s="1"/>
      <c r="AQ259">
        <v>66.260002</v>
      </c>
      <c r="AR259">
        <v>65.349997999999999</v>
      </c>
      <c r="AS259" s="13"/>
      <c r="AT259" s="1"/>
      <c r="AU259" s="1"/>
      <c r="AV259">
        <v>82.129997000000003</v>
      </c>
      <c r="AW259">
        <v>81.169998000000007</v>
      </c>
      <c r="AX259" s="13"/>
      <c r="AY259" s="1"/>
      <c r="AZ259" s="1"/>
      <c r="BA259">
        <v>73.470000999999996</v>
      </c>
      <c r="BB259">
        <v>72.25</v>
      </c>
      <c r="BC259" s="13"/>
      <c r="BD259" s="1"/>
      <c r="BE259" s="1"/>
      <c r="BF259">
        <v>64.089995999999999</v>
      </c>
      <c r="BG259">
        <v>63.18</v>
      </c>
      <c r="BH259" s="13"/>
      <c r="BI259" s="1"/>
      <c r="BJ259" s="1"/>
      <c r="BK259">
        <v>51.43</v>
      </c>
      <c r="BL259">
        <v>50.709999000000003</v>
      </c>
      <c r="BM259" s="13"/>
      <c r="BN259" s="1"/>
      <c r="BO259" s="1"/>
      <c r="BP259">
        <v>102.120003</v>
      </c>
      <c r="BQ259">
        <v>101</v>
      </c>
      <c r="BR259" s="13"/>
      <c r="BS259" s="1"/>
      <c r="BT259" s="1"/>
      <c r="BU259">
        <v>55.720001000000003</v>
      </c>
      <c r="BV259">
        <v>54.27</v>
      </c>
      <c r="BW259" s="13"/>
      <c r="BY259" s="1"/>
      <c r="BZ259">
        <v>28.809999000000001</v>
      </c>
      <c r="CA259">
        <v>28.34</v>
      </c>
      <c r="CB259" s="13"/>
      <c r="CC259" s="1"/>
      <c r="CD259" s="1"/>
      <c r="CE259">
        <v>65.059997999999993</v>
      </c>
      <c r="CF259">
        <v>63.990001999999997</v>
      </c>
      <c r="CG259" s="13"/>
      <c r="CH259" s="1"/>
      <c r="CI259" s="1"/>
      <c r="CJ259">
        <v>37.970001000000003</v>
      </c>
      <c r="CK259">
        <v>36.529998999999997</v>
      </c>
      <c r="CL259" s="13"/>
      <c r="CM259" s="1"/>
      <c r="CN259" s="1"/>
      <c r="CO259">
        <v>33.490001999999997</v>
      </c>
      <c r="CP259">
        <v>33.029998999999997</v>
      </c>
      <c r="CQ259" s="13"/>
      <c r="CR259" s="1"/>
      <c r="CS259" s="1"/>
      <c r="CT259">
        <v>45.77</v>
      </c>
      <c r="CU259">
        <v>44.98</v>
      </c>
      <c r="CV259" s="13"/>
      <c r="CW259" s="1"/>
      <c r="CX259" s="1"/>
      <c r="CY259">
        <v>43.75</v>
      </c>
      <c r="CZ259">
        <v>43.18</v>
      </c>
      <c r="DA259" s="13"/>
      <c r="DB259" s="1"/>
      <c r="DC259" s="1"/>
      <c r="DD259">
        <v>53</v>
      </c>
      <c r="DE259">
        <v>52.360000999999997</v>
      </c>
      <c r="DF259" s="13"/>
      <c r="DG259" s="1"/>
      <c r="DH259" s="1"/>
      <c r="DI259">
        <v>35.880001</v>
      </c>
      <c r="DJ259">
        <v>35.229999999999997</v>
      </c>
      <c r="DK259" s="13"/>
      <c r="DM259" s="1"/>
    </row>
    <row r="260" spans="27:117">
      <c r="AA260" s="10">
        <v>42286</v>
      </c>
      <c r="AB260" s="13">
        <v>51.990001999999997</v>
      </c>
      <c r="AC260" s="13">
        <v>51.349997999999999</v>
      </c>
      <c r="AD260" s="13"/>
      <c r="AE260" s="1"/>
      <c r="AF260" s="1"/>
      <c r="AG260" s="14">
        <v>59.029998999999997</v>
      </c>
      <c r="AH260" s="14">
        <v>58.580002</v>
      </c>
      <c r="AI260" s="13"/>
      <c r="AJ260" s="1"/>
      <c r="AK260" s="1"/>
      <c r="AL260">
        <v>18.809999000000001</v>
      </c>
      <c r="AM260">
        <v>18.549999</v>
      </c>
      <c r="AN260" s="13"/>
      <c r="AO260" s="1"/>
      <c r="AP260" s="1"/>
      <c r="AQ260">
        <v>66.470000999999996</v>
      </c>
      <c r="AR260">
        <v>65.379997000000003</v>
      </c>
      <c r="AS260" s="13"/>
      <c r="AT260" s="1"/>
      <c r="AU260" s="1"/>
      <c r="AV260">
        <v>81.389999000000003</v>
      </c>
      <c r="AW260">
        <v>80.800003000000004</v>
      </c>
      <c r="AX260" s="13"/>
      <c r="AY260" s="1"/>
      <c r="AZ260" s="1"/>
      <c r="BA260">
        <v>73.239998</v>
      </c>
      <c r="BB260">
        <v>72.019997000000004</v>
      </c>
      <c r="BC260" s="13"/>
      <c r="BD260" s="1"/>
      <c r="BE260" s="1"/>
      <c r="BF260">
        <v>63.93</v>
      </c>
      <c r="BG260">
        <v>62.91</v>
      </c>
      <c r="BH260" s="13"/>
      <c r="BI260" s="1"/>
      <c r="BJ260" s="1"/>
      <c r="BK260">
        <v>51.02</v>
      </c>
      <c r="BL260">
        <v>50.48</v>
      </c>
      <c r="BM260" s="13"/>
      <c r="BN260" s="1"/>
      <c r="BO260" s="1"/>
      <c r="BP260">
        <v>101.209999</v>
      </c>
      <c r="BQ260">
        <v>100.239998</v>
      </c>
      <c r="BR260" s="13"/>
      <c r="BS260" s="1"/>
      <c r="BT260" s="1"/>
      <c r="BU260">
        <v>55.139999000000003</v>
      </c>
      <c r="BV260">
        <v>54.48</v>
      </c>
      <c r="BW260" s="13"/>
      <c r="BY260" s="1"/>
      <c r="BZ260">
        <v>28.549999</v>
      </c>
      <c r="CA260">
        <v>28.17</v>
      </c>
      <c r="CB260" s="13"/>
      <c r="CC260" s="1"/>
      <c r="CD260" s="1"/>
      <c r="CE260">
        <v>64.260002</v>
      </c>
      <c r="CF260">
        <v>63.740001999999997</v>
      </c>
      <c r="CG260" s="13"/>
      <c r="CH260" s="1"/>
      <c r="CI260" s="1"/>
      <c r="CJ260">
        <v>37.529998999999997</v>
      </c>
      <c r="CK260">
        <v>37.189999</v>
      </c>
      <c r="CL260" s="13"/>
      <c r="CM260" s="1"/>
      <c r="CN260" s="1"/>
      <c r="CO260">
        <v>33.159999999999997</v>
      </c>
      <c r="CP260">
        <v>32.909999999999997</v>
      </c>
      <c r="CQ260" s="13"/>
      <c r="CR260" s="1"/>
      <c r="CS260" s="1"/>
      <c r="CT260">
        <v>45.189999</v>
      </c>
      <c r="CU260">
        <v>44.84</v>
      </c>
      <c r="CV260" s="13"/>
      <c r="CW260" s="1"/>
      <c r="CX260" s="1"/>
      <c r="CY260">
        <v>43.290000999999997</v>
      </c>
      <c r="CZ260">
        <v>42.959999000000003</v>
      </c>
      <c r="DA260" s="13"/>
      <c r="DB260" s="1"/>
      <c r="DC260" s="1"/>
      <c r="DD260">
        <v>52.700001</v>
      </c>
      <c r="DE260">
        <v>51.970001000000003</v>
      </c>
      <c r="DF260" s="13"/>
      <c r="DG260" s="1"/>
      <c r="DH260" s="1"/>
      <c r="DI260">
        <v>35.689999</v>
      </c>
      <c r="DJ260">
        <v>35.07</v>
      </c>
      <c r="DK260" s="13"/>
      <c r="DM260" s="1"/>
    </row>
    <row r="261" spans="27:117">
      <c r="AA261" s="10">
        <v>42285</v>
      </c>
      <c r="AB261" s="13">
        <v>51.860000999999997</v>
      </c>
      <c r="AC261" s="13">
        <v>50.450001</v>
      </c>
      <c r="AD261" s="13"/>
      <c r="AE261" s="1"/>
      <c r="AF261" s="1"/>
      <c r="AG261" s="14">
        <v>59.080002</v>
      </c>
      <c r="AH261" s="14">
        <v>58.02</v>
      </c>
      <c r="AI261" s="13"/>
      <c r="AJ261" s="1"/>
      <c r="AK261" s="1"/>
      <c r="AL261">
        <v>18.809999000000001</v>
      </c>
      <c r="AM261">
        <v>18.48</v>
      </c>
      <c r="AN261" s="13"/>
      <c r="AO261" s="1"/>
      <c r="AP261" s="1"/>
      <c r="AQ261">
        <v>66.300003000000004</v>
      </c>
      <c r="AR261">
        <v>65.019997000000004</v>
      </c>
      <c r="AS261" s="13"/>
      <c r="AT261" s="1"/>
      <c r="AU261" s="1"/>
      <c r="AV261">
        <v>81.5</v>
      </c>
      <c r="AW261">
        <v>80</v>
      </c>
      <c r="AX261" s="13"/>
      <c r="AY261" s="1"/>
      <c r="AZ261" s="1"/>
      <c r="BA261">
        <v>73.220000999999996</v>
      </c>
      <c r="BB261">
        <v>72.139999000000003</v>
      </c>
      <c r="BC261" s="13"/>
      <c r="BD261" s="1"/>
      <c r="BE261" s="1"/>
      <c r="BF261">
        <v>63.91</v>
      </c>
      <c r="BG261">
        <v>62.740001999999997</v>
      </c>
      <c r="BH261" s="13"/>
      <c r="BI261" s="1"/>
      <c r="BJ261" s="1"/>
      <c r="BK261">
        <v>51.110000999999997</v>
      </c>
      <c r="BL261">
        <v>50.169998</v>
      </c>
      <c r="BM261" s="13"/>
      <c r="BN261" s="1"/>
      <c r="BO261" s="1"/>
      <c r="BP261">
        <v>100.980003</v>
      </c>
      <c r="BQ261">
        <v>99.199996999999996</v>
      </c>
      <c r="BR261" s="13"/>
      <c r="BS261" s="1"/>
      <c r="BT261" s="1"/>
      <c r="BU261">
        <v>55.110000999999997</v>
      </c>
      <c r="BV261">
        <v>53.639999000000003</v>
      </c>
      <c r="BW261" s="13"/>
      <c r="BY261" s="1"/>
      <c r="BZ261">
        <v>28.459999</v>
      </c>
      <c r="CA261">
        <v>27.780000999999999</v>
      </c>
      <c r="CB261" s="13"/>
      <c r="CC261" s="1"/>
      <c r="CD261" s="1"/>
      <c r="CE261">
        <v>64.220000999999996</v>
      </c>
      <c r="CF261">
        <v>62.619999</v>
      </c>
      <c r="CG261" s="13"/>
      <c r="CH261" s="1"/>
      <c r="CI261" s="1"/>
      <c r="CJ261">
        <v>37.389999000000003</v>
      </c>
      <c r="CK261">
        <v>36.610000999999997</v>
      </c>
      <c r="CL261" s="13"/>
      <c r="CM261" s="1"/>
      <c r="CN261" s="1"/>
      <c r="CO261">
        <v>33.130001</v>
      </c>
      <c r="CP261">
        <v>32.43</v>
      </c>
      <c r="CQ261" s="13"/>
      <c r="CR261" s="1"/>
      <c r="CS261" s="1"/>
      <c r="CT261">
        <v>45.169998</v>
      </c>
      <c r="CU261">
        <v>44.549999</v>
      </c>
      <c r="CV261" s="13"/>
      <c r="CW261" s="1"/>
      <c r="CX261" s="1"/>
      <c r="CY261">
        <v>43.18</v>
      </c>
      <c r="CZ261">
        <v>42.240001999999997</v>
      </c>
      <c r="DA261" s="13"/>
      <c r="DB261" s="1"/>
      <c r="DC261" s="1"/>
      <c r="DD261">
        <v>52.459999000000003</v>
      </c>
      <c r="DE261">
        <v>51.400002000000001</v>
      </c>
      <c r="DF261" s="13"/>
      <c r="DG261" s="1"/>
      <c r="DH261" s="1"/>
      <c r="DI261">
        <v>35.560001</v>
      </c>
      <c r="DJ261">
        <v>34.900002000000001</v>
      </c>
      <c r="DK261" s="13"/>
      <c r="DM261" s="1"/>
    </row>
    <row r="262" spans="27:117">
      <c r="AA262" s="10">
        <v>42284</v>
      </c>
      <c r="AB262" s="13">
        <v>50.84</v>
      </c>
      <c r="AC262" s="13">
        <v>50.200001</v>
      </c>
      <c r="AD262" s="13"/>
      <c r="AE262" s="1"/>
      <c r="AF262" s="1"/>
      <c r="AG262" s="14">
        <v>58.700001</v>
      </c>
      <c r="AH262" s="14">
        <v>58.040000999999997</v>
      </c>
      <c r="AI262" s="13"/>
      <c r="AJ262" s="1"/>
      <c r="AK262" s="1"/>
      <c r="AL262">
        <v>18.82</v>
      </c>
      <c r="AM262">
        <v>18.510000000000002</v>
      </c>
      <c r="AN262" s="13"/>
      <c r="AO262" s="1"/>
      <c r="AP262" s="1"/>
      <c r="AQ262">
        <v>65.800003000000004</v>
      </c>
      <c r="AR262">
        <v>64.870002999999997</v>
      </c>
      <c r="AS262" s="13"/>
      <c r="AT262" s="1"/>
      <c r="AU262" s="1"/>
      <c r="AV262">
        <v>80.980002999999996</v>
      </c>
      <c r="AW262">
        <v>80.080001999999993</v>
      </c>
      <c r="AX262" s="13"/>
      <c r="AY262" s="1"/>
      <c r="AZ262" s="1"/>
      <c r="BA262">
        <v>73.430000000000007</v>
      </c>
      <c r="BB262">
        <v>72.589995999999999</v>
      </c>
      <c r="BC262" s="13"/>
      <c r="BD262" s="1"/>
      <c r="BE262" s="1"/>
      <c r="BF262">
        <v>63.400002000000001</v>
      </c>
      <c r="BG262">
        <v>62.66</v>
      </c>
      <c r="BH262" s="13"/>
      <c r="BI262" s="1"/>
      <c r="BJ262" s="1"/>
      <c r="BK262">
        <v>50.84</v>
      </c>
      <c r="BL262">
        <v>50.290000999999997</v>
      </c>
      <c r="BM262" s="13"/>
      <c r="BN262" s="1"/>
      <c r="BO262" s="1"/>
      <c r="BP262">
        <v>100.860001</v>
      </c>
      <c r="BQ262">
        <v>99.75</v>
      </c>
      <c r="BR262" s="13"/>
      <c r="BS262" s="1"/>
      <c r="BT262" s="1"/>
      <c r="BU262">
        <v>54.439999</v>
      </c>
      <c r="BV262">
        <v>53.68</v>
      </c>
      <c r="BW262" s="13"/>
      <c r="BY262" s="1"/>
      <c r="BZ262">
        <v>28.25</v>
      </c>
      <c r="CA262">
        <v>27.799999</v>
      </c>
      <c r="CB262" s="13"/>
      <c r="CC262" s="1"/>
      <c r="CD262" s="1"/>
      <c r="CE262">
        <v>63.240001999999997</v>
      </c>
      <c r="CF262">
        <v>62.66</v>
      </c>
      <c r="CG262" s="13"/>
      <c r="CH262" s="1"/>
      <c r="CI262" s="1"/>
      <c r="CJ262">
        <v>36.970001000000003</v>
      </c>
      <c r="CK262">
        <v>36.630001</v>
      </c>
      <c r="CL262" s="13"/>
      <c r="CM262" s="1"/>
      <c r="CN262" s="1"/>
      <c r="CO262">
        <v>33.150002000000001</v>
      </c>
      <c r="CP262">
        <v>32.490001999999997</v>
      </c>
      <c r="CQ262" s="13"/>
      <c r="CR262" s="1"/>
      <c r="CS262" s="1"/>
      <c r="CT262">
        <v>44.93</v>
      </c>
      <c r="CU262">
        <v>44.610000999999997</v>
      </c>
      <c r="CV262" s="13"/>
      <c r="CW262" s="1"/>
      <c r="CX262" s="1"/>
      <c r="CY262">
        <v>42.5</v>
      </c>
      <c r="CZ262">
        <v>42.110000999999997</v>
      </c>
      <c r="DA262" s="13"/>
      <c r="DB262" s="1"/>
      <c r="DC262" s="1"/>
      <c r="DD262">
        <v>52.310001</v>
      </c>
      <c r="DE262">
        <v>51.459999000000003</v>
      </c>
      <c r="DF262" s="13"/>
      <c r="DG262" s="1"/>
      <c r="DH262" s="1"/>
      <c r="DI262">
        <v>35.099997999999999</v>
      </c>
      <c r="DJ262">
        <v>34.860000999999997</v>
      </c>
      <c r="DK262" s="13"/>
      <c r="DM262" s="1"/>
    </row>
    <row r="263" spans="27:117">
      <c r="AA263" s="10">
        <v>42283</v>
      </c>
      <c r="AB263" s="13">
        <v>50.990001999999997</v>
      </c>
      <c r="AC263" s="13">
        <v>50.119999</v>
      </c>
      <c r="AD263" s="13"/>
      <c r="AE263" s="1"/>
      <c r="AF263" s="1"/>
      <c r="AG263" s="14">
        <v>58.990001999999997</v>
      </c>
      <c r="AH263" s="14">
        <v>58.27</v>
      </c>
      <c r="AI263" s="13"/>
      <c r="AJ263" s="1"/>
      <c r="AK263" s="1"/>
      <c r="AL263">
        <v>18.649999999999999</v>
      </c>
      <c r="AM263">
        <v>18.350000000000001</v>
      </c>
      <c r="AN263" s="13"/>
      <c r="AO263" s="1"/>
      <c r="AP263" s="1"/>
      <c r="AQ263">
        <v>66.980002999999996</v>
      </c>
      <c r="AR263">
        <v>65.449996999999996</v>
      </c>
      <c r="AS263" s="13"/>
      <c r="AT263" s="1"/>
      <c r="AU263" s="1"/>
      <c r="AV263">
        <v>81.180000000000007</v>
      </c>
      <c r="AW263">
        <v>80.169998000000007</v>
      </c>
      <c r="AX263" s="13"/>
      <c r="AY263" s="1"/>
      <c r="AZ263" s="1"/>
      <c r="BA263">
        <v>73.440002000000007</v>
      </c>
      <c r="BB263">
        <v>72.339995999999999</v>
      </c>
      <c r="BC263" s="13"/>
      <c r="BD263" s="1"/>
      <c r="BE263" s="1"/>
      <c r="BF263">
        <v>63.75</v>
      </c>
      <c r="BG263">
        <v>62.450001</v>
      </c>
      <c r="BH263" s="13"/>
      <c r="BI263" s="1"/>
      <c r="BJ263" s="1"/>
      <c r="BK263">
        <v>51.110000999999997</v>
      </c>
      <c r="BL263">
        <v>50.360000999999997</v>
      </c>
      <c r="BM263" s="13"/>
      <c r="BN263" s="1"/>
      <c r="BO263" s="1"/>
      <c r="BP263">
        <v>100.410004</v>
      </c>
      <c r="BQ263">
        <v>99.5</v>
      </c>
      <c r="BR263" s="13"/>
      <c r="BS263" s="1"/>
      <c r="BT263" s="1"/>
      <c r="BU263">
        <v>54.630001</v>
      </c>
      <c r="BV263">
        <v>53.82</v>
      </c>
      <c r="BW263" s="13"/>
      <c r="BY263" s="1"/>
      <c r="BZ263">
        <v>28.35</v>
      </c>
      <c r="CA263">
        <v>27.9</v>
      </c>
      <c r="CB263" s="13"/>
      <c r="CC263" s="1"/>
      <c r="CD263" s="1"/>
      <c r="CE263">
        <v>64.339995999999999</v>
      </c>
      <c r="CF263">
        <v>62.810001</v>
      </c>
      <c r="CG263" s="13"/>
      <c r="CH263" s="1"/>
      <c r="CI263" s="1"/>
      <c r="CJ263">
        <v>37.43</v>
      </c>
      <c r="CK263">
        <v>36.840000000000003</v>
      </c>
      <c r="CL263" s="13"/>
      <c r="CM263" s="1"/>
      <c r="CN263" s="1"/>
      <c r="CO263">
        <v>33.5</v>
      </c>
      <c r="CP263">
        <v>32.900002000000001</v>
      </c>
      <c r="CQ263" s="13"/>
      <c r="CR263" s="1"/>
      <c r="CS263" s="1"/>
      <c r="CT263">
        <v>45.150002000000001</v>
      </c>
      <c r="CU263">
        <v>44.650002000000001</v>
      </c>
      <c r="CV263" s="13"/>
      <c r="CW263" s="1"/>
      <c r="CX263" s="1"/>
      <c r="CY263">
        <v>42.57</v>
      </c>
      <c r="CZ263">
        <v>42.139999000000003</v>
      </c>
      <c r="DA263" s="13"/>
      <c r="DB263" s="1"/>
      <c r="DC263" s="1"/>
      <c r="DD263">
        <v>52.560001</v>
      </c>
      <c r="DE263">
        <v>51.650002000000001</v>
      </c>
      <c r="DF263" s="13"/>
      <c r="DG263" s="1"/>
      <c r="DH263" s="1"/>
      <c r="DI263">
        <v>35.5</v>
      </c>
      <c r="DJ263">
        <v>34.880001</v>
      </c>
      <c r="DK263" s="13"/>
      <c r="DM263" s="1"/>
    </row>
    <row r="264" spans="27:117">
      <c r="AA264" s="10">
        <v>42282</v>
      </c>
      <c r="AB264" s="13">
        <v>50.990001999999997</v>
      </c>
      <c r="AC264" s="13">
        <v>50.029998999999997</v>
      </c>
      <c r="AD264" s="13"/>
      <c r="AE264" s="1"/>
      <c r="AF264" s="1"/>
      <c r="AG264" s="14">
        <v>59.060001</v>
      </c>
      <c r="AH264" s="14">
        <v>58.200001</v>
      </c>
      <c r="AI264" s="13"/>
      <c r="AJ264" s="1"/>
      <c r="AK264" s="1"/>
      <c r="AL264">
        <v>18.579999999999998</v>
      </c>
      <c r="AM264">
        <v>18.059999000000001</v>
      </c>
      <c r="AN264" s="13"/>
      <c r="AO264" s="1"/>
      <c r="AP264" s="1"/>
      <c r="AQ264">
        <v>67.199996999999996</v>
      </c>
      <c r="AR264">
        <v>66.160004000000001</v>
      </c>
      <c r="AS264" s="13"/>
      <c r="AT264" s="1"/>
      <c r="AU264" s="1"/>
      <c r="AV264">
        <v>81.319999999999993</v>
      </c>
      <c r="AW264">
        <v>80.089995999999999</v>
      </c>
      <c r="AX264" s="13"/>
      <c r="AY264" s="1"/>
      <c r="AZ264" s="1"/>
      <c r="BA264">
        <v>73.300003000000004</v>
      </c>
      <c r="BB264">
        <v>71.779999000000004</v>
      </c>
      <c r="BC264" s="13"/>
      <c r="BD264" s="1"/>
      <c r="BE264" s="1"/>
      <c r="BF264">
        <v>63.84</v>
      </c>
      <c r="BG264">
        <v>62.720001000000003</v>
      </c>
      <c r="BH264" s="13"/>
      <c r="BI264" s="1"/>
      <c r="BJ264" s="1"/>
      <c r="BK264">
        <v>51.189999</v>
      </c>
      <c r="BL264">
        <v>50.299999</v>
      </c>
      <c r="BM264" s="13"/>
      <c r="BN264" s="1"/>
      <c r="BO264" s="1"/>
      <c r="BP264">
        <v>100.769997</v>
      </c>
      <c r="BQ264">
        <v>98.550003000000004</v>
      </c>
      <c r="BR264" s="13"/>
      <c r="BS264" s="1"/>
      <c r="BT264" s="1"/>
      <c r="BU264">
        <v>54.869999</v>
      </c>
      <c r="BV264">
        <v>53.889999000000003</v>
      </c>
      <c r="BW264" s="13"/>
      <c r="BY264" s="1"/>
      <c r="BZ264">
        <v>28.26</v>
      </c>
      <c r="CA264">
        <v>27.790001</v>
      </c>
      <c r="CB264" s="13"/>
      <c r="CC264" s="1"/>
      <c r="CD264" s="1"/>
      <c r="CE264">
        <v>64.480002999999996</v>
      </c>
      <c r="CF264">
        <v>63.68</v>
      </c>
      <c r="CG264" s="13"/>
      <c r="CH264" s="1"/>
      <c r="CI264" s="1"/>
      <c r="CJ264">
        <v>37.400002000000001</v>
      </c>
      <c r="CK264">
        <v>36.799999</v>
      </c>
      <c r="CL264" s="13"/>
      <c r="CM264" s="1"/>
      <c r="CN264" s="1"/>
      <c r="CO264">
        <v>33.540000999999997</v>
      </c>
      <c r="CP264">
        <v>33</v>
      </c>
      <c r="CQ264" s="13"/>
      <c r="CR264" s="1"/>
      <c r="CS264" s="1"/>
      <c r="CT264">
        <v>45.23</v>
      </c>
      <c r="CU264">
        <v>44.439999</v>
      </c>
      <c r="CV264" s="13"/>
      <c r="CW264" s="1"/>
      <c r="CX264" s="1"/>
      <c r="CY264">
        <v>42.669998</v>
      </c>
      <c r="CZ264">
        <v>42</v>
      </c>
      <c r="DA264" s="13"/>
      <c r="DB264" s="1"/>
      <c r="DC264" s="1"/>
      <c r="DD264">
        <v>52.98</v>
      </c>
      <c r="DE264">
        <v>52.07</v>
      </c>
      <c r="DF264" s="13"/>
      <c r="DG264" s="1"/>
      <c r="DH264" s="1"/>
      <c r="DI264">
        <v>35.590000000000003</v>
      </c>
      <c r="DJ264">
        <v>35.080002</v>
      </c>
      <c r="DK264" s="13"/>
      <c r="DM264" s="1"/>
    </row>
    <row r="265" spans="27:117">
      <c r="AA265" s="10">
        <v>42279</v>
      </c>
      <c r="AB265" s="13">
        <v>50.240001999999997</v>
      </c>
      <c r="AC265" s="13">
        <v>49.290000999999997</v>
      </c>
      <c r="AD265" s="13"/>
      <c r="AE265" s="1"/>
      <c r="AF265" s="1"/>
      <c r="AG265" s="14">
        <v>58.369999</v>
      </c>
      <c r="AH265" s="14">
        <v>57.27</v>
      </c>
      <c r="AI265" s="13"/>
      <c r="AJ265" s="1"/>
      <c r="AK265" s="1"/>
      <c r="AL265">
        <v>18.030000999999999</v>
      </c>
      <c r="AM265">
        <v>17.620000999999998</v>
      </c>
      <c r="AN265" s="13"/>
      <c r="AO265" s="1"/>
      <c r="AP265" s="1"/>
      <c r="AQ265">
        <v>66.860000999999997</v>
      </c>
      <c r="AR265">
        <v>65.690002000000007</v>
      </c>
      <c r="AS265" s="13"/>
      <c r="AT265" s="1"/>
      <c r="AU265" s="1"/>
      <c r="AV265">
        <v>80.599997999999999</v>
      </c>
      <c r="AW265">
        <v>79.019997000000004</v>
      </c>
      <c r="AX265" s="13"/>
      <c r="AY265" s="1"/>
      <c r="AZ265" s="1"/>
      <c r="BA265">
        <v>71.989998</v>
      </c>
      <c r="BB265">
        <v>70.540001000000004</v>
      </c>
      <c r="BC265" s="13"/>
      <c r="BD265" s="1"/>
      <c r="BE265" s="1"/>
      <c r="BF265">
        <v>63.139999000000003</v>
      </c>
      <c r="BG265">
        <v>62.040000999999997</v>
      </c>
      <c r="BH265" s="13"/>
      <c r="BI265" s="1"/>
      <c r="BJ265" s="1"/>
      <c r="BK265">
        <v>50.630001</v>
      </c>
      <c r="BL265">
        <v>49.84</v>
      </c>
      <c r="BM265" s="13"/>
      <c r="BN265" s="1"/>
      <c r="BO265" s="1"/>
      <c r="BP265">
        <v>98.620002999999997</v>
      </c>
      <c r="BQ265">
        <v>96.599997999999999</v>
      </c>
      <c r="BR265" s="13"/>
      <c r="BS265" s="1"/>
      <c r="BT265" s="1"/>
      <c r="BU265">
        <v>54.240001999999997</v>
      </c>
      <c r="BV265">
        <v>53.380001</v>
      </c>
      <c r="BW265" s="13"/>
      <c r="BY265" s="1"/>
      <c r="BZ265">
        <v>27.73</v>
      </c>
      <c r="CA265">
        <v>26.969999000000001</v>
      </c>
      <c r="CB265" s="13"/>
      <c r="CC265" s="1"/>
      <c r="CD265" s="1"/>
      <c r="CE265">
        <v>64.080001999999993</v>
      </c>
      <c r="CF265">
        <v>63.09</v>
      </c>
      <c r="CG265" s="13"/>
      <c r="CH265" s="1"/>
      <c r="CI265" s="1"/>
      <c r="CJ265">
        <v>37.009998000000003</v>
      </c>
      <c r="CK265">
        <v>36.32</v>
      </c>
      <c r="CL265" s="13"/>
      <c r="CM265" s="1"/>
      <c r="CN265" s="1"/>
      <c r="CO265">
        <v>33.119999</v>
      </c>
      <c r="CP265">
        <v>32.529998999999997</v>
      </c>
      <c r="CQ265" s="13"/>
      <c r="CR265" s="1"/>
      <c r="CS265" s="1"/>
      <c r="CT265">
        <v>44.77</v>
      </c>
      <c r="CU265">
        <v>43.93</v>
      </c>
      <c r="CV265" s="13"/>
      <c r="CW265" s="1"/>
      <c r="CX265" s="1"/>
      <c r="CY265">
        <v>42.349997999999999</v>
      </c>
      <c r="CZ265">
        <v>41.349997999999999</v>
      </c>
      <c r="DA265" s="13"/>
      <c r="DB265" s="1"/>
      <c r="DC265" s="1"/>
      <c r="DD265">
        <v>52.849997999999999</v>
      </c>
      <c r="DE265">
        <v>51.669998</v>
      </c>
      <c r="DF265" s="13"/>
      <c r="DG265" s="1"/>
      <c r="DH265" s="1"/>
      <c r="DI265">
        <v>35.479999999999997</v>
      </c>
      <c r="DJ265">
        <v>34.82</v>
      </c>
      <c r="DK265" s="13"/>
      <c r="DM265" s="1"/>
    </row>
    <row r="266" spans="27:117">
      <c r="AA266" s="10">
        <v>42278</v>
      </c>
      <c r="AB266" s="13">
        <v>50.689999</v>
      </c>
      <c r="AC266" s="13">
        <v>49.400002000000001</v>
      </c>
      <c r="AD266" s="13"/>
      <c r="AE266" s="1"/>
      <c r="AF266" s="1"/>
      <c r="AG266" s="14">
        <v>58.610000999999997</v>
      </c>
      <c r="AH266" s="14">
        <v>57.18</v>
      </c>
      <c r="AI266" s="13"/>
      <c r="AJ266" s="1"/>
      <c r="AK266" s="1"/>
      <c r="AL266">
        <v>18.139999</v>
      </c>
      <c r="AM266">
        <v>17.600000000000001</v>
      </c>
      <c r="AN266" s="13"/>
      <c r="AO266" s="1"/>
      <c r="AP266" s="1"/>
      <c r="AQ266">
        <v>66.989998</v>
      </c>
      <c r="AR266">
        <v>65.360000999999997</v>
      </c>
      <c r="AS266" s="13"/>
      <c r="AT266" s="1"/>
      <c r="AU266" s="1"/>
      <c r="AV266">
        <v>80.629997000000003</v>
      </c>
      <c r="AW266">
        <v>78.389999000000003</v>
      </c>
      <c r="AX266" s="13"/>
      <c r="AY266" s="1"/>
      <c r="AZ266" s="1"/>
      <c r="BA266">
        <v>72.129997000000003</v>
      </c>
      <c r="BB266">
        <v>70</v>
      </c>
      <c r="BC266" s="13"/>
      <c r="BD266" s="1"/>
      <c r="BE266" s="1"/>
      <c r="BF266">
        <v>63.259998000000003</v>
      </c>
      <c r="BG266">
        <v>61.369999</v>
      </c>
      <c r="BH266" s="13"/>
      <c r="BI266" s="1"/>
      <c r="BJ266" s="1"/>
      <c r="BK266">
        <v>50.709999000000003</v>
      </c>
      <c r="BL266">
        <v>49.259998000000003</v>
      </c>
      <c r="BM266" s="13"/>
      <c r="BN266" s="1"/>
      <c r="BO266" s="1"/>
      <c r="BP266">
        <v>97.860000999999997</v>
      </c>
      <c r="BQ266">
        <v>95.839995999999999</v>
      </c>
      <c r="BR266" s="13"/>
      <c r="BS266" s="1"/>
      <c r="BT266" s="1"/>
      <c r="BU266">
        <v>54</v>
      </c>
      <c r="BV266">
        <v>53.18</v>
      </c>
      <c r="BW266" s="13"/>
      <c r="BY266" s="1"/>
      <c r="BZ266">
        <v>27.58</v>
      </c>
      <c r="CA266">
        <v>26.719999000000001</v>
      </c>
      <c r="CB266" s="13"/>
      <c r="CC266" s="1"/>
      <c r="CD266" s="1"/>
      <c r="CE266">
        <v>64.349997999999999</v>
      </c>
      <c r="CF266">
        <v>62.880001</v>
      </c>
      <c r="CG266" s="13"/>
      <c r="CH266" s="1"/>
      <c r="CI266" s="1"/>
      <c r="CJ266">
        <v>37.07</v>
      </c>
      <c r="CK266">
        <v>36.119999</v>
      </c>
      <c r="CL266" s="13"/>
      <c r="CM266" s="1"/>
      <c r="CN266" s="1"/>
      <c r="CO266">
        <v>33</v>
      </c>
      <c r="CP266">
        <v>32.220001000000003</v>
      </c>
      <c r="CQ266" s="13"/>
      <c r="CR266" s="1"/>
      <c r="CS266" s="1"/>
      <c r="CT266">
        <v>44.900002000000001</v>
      </c>
      <c r="CU266">
        <v>43.900002000000001</v>
      </c>
      <c r="CV266" s="13"/>
      <c r="CW266" s="1"/>
      <c r="CX266" s="1"/>
      <c r="CY266">
        <v>42.09</v>
      </c>
      <c r="CZ266">
        <v>41.23</v>
      </c>
      <c r="DA266" s="13"/>
      <c r="DB266" s="1"/>
      <c r="DC266" s="1"/>
      <c r="DD266">
        <v>52.48</v>
      </c>
      <c r="DE266">
        <v>51.52</v>
      </c>
      <c r="DF266" s="13"/>
      <c r="DG266" s="1"/>
      <c r="DH266" s="1"/>
      <c r="DI266">
        <v>35.490001999999997</v>
      </c>
      <c r="DJ266">
        <v>34.639999000000003</v>
      </c>
      <c r="DK266" s="13"/>
      <c r="DM266" s="1"/>
    </row>
    <row r="267" spans="27:117">
      <c r="AA267" s="10">
        <v>42277</v>
      </c>
      <c r="AB267" s="13">
        <v>50.650002000000001</v>
      </c>
      <c r="AC267" s="13">
        <v>49.380001</v>
      </c>
      <c r="AD267" s="12">
        <f>(MAX(AB267:AB287)+MIN(AC267:AC287))/2</f>
        <v>48.495001000000002</v>
      </c>
      <c r="AE267" s="1">
        <f>0.505*4</f>
        <v>2.02</v>
      </c>
      <c r="AF267" s="9">
        <f>+AE267/AD267</f>
        <v>4.1653777881146964E-2</v>
      </c>
      <c r="AG267" s="14">
        <v>58.610000999999997</v>
      </c>
      <c r="AH267" s="14">
        <v>57.860000999999997</v>
      </c>
      <c r="AI267" s="12">
        <f>(MAX(AG267:AG287)+MIN(AH267:AH287))/2</f>
        <v>56.4549995</v>
      </c>
      <c r="AJ267" s="13">
        <f>0.55*4</f>
        <v>2.2000000000000002</v>
      </c>
      <c r="AK267" s="9">
        <f>+AJ267/AI267</f>
        <v>3.896909077113711E-2</v>
      </c>
      <c r="AL267">
        <v>18.049999</v>
      </c>
      <c r="AM267">
        <v>17.57</v>
      </c>
      <c r="AN267" s="12">
        <f>(MAX(AL267:AL287)+MIN(AM267:AM287))/2</f>
        <v>18.024999999999999</v>
      </c>
      <c r="AO267" s="1">
        <f>0.2475*4</f>
        <v>0.99</v>
      </c>
      <c r="AP267" s="9">
        <f>+AO267/AN267</f>
        <v>5.4923717059639394E-2</v>
      </c>
      <c r="AQ267">
        <v>66.970000999999996</v>
      </c>
      <c r="AR267">
        <v>65.800003000000004</v>
      </c>
      <c r="AS267" s="12">
        <f>(MAX(AQ267:AQ287)+MIN(AR267:AR287))/2</f>
        <v>63.7300015</v>
      </c>
      <c r="AT267" s="13">
        <f>0.65*4</f>
        <v>2.6</v>
      </c>
      <c r="AU267" s="9">
        <f>+AT267/AS267</f>
        <v>4.0797111859474849E-2</v>
      </c>
      <c r="AV267">
        <v>80.470000999999996</v>
      </c>
      <c r="AW267">
        <v>78.519997000000004</v>
      </c>
      <c r="AX267" s="12">
        <f>(MAX(AV267:AV287)+MIN(AW267:AW287))/2</f>
        <v>77.514999499999988</v>
      </c>
      <c r="AY267" s="1">
        <f>0.73*4</f>
        <v>2.92</v>
      </c>
      <c r="AZ267" s="9">
        <f>+AY267/AX267</f>
        <v>3.767012860523853E-2</v>
      </c>
      <c r="BA267">
        <v>72.019997000000004</v>
      </c>
      <c r="BB267">
        <v>70.650002000000001</v>
      </c>
      <c r="BC267" s="12">
        <f>(MAX(BA267:BA287)+MIN(BB267:BB287))/2</f>
        <v>69.644997000000004</v>
      </c>
      <c r="BD267" s="13">
        <f>0.825*4</f>
        <v>3.3</v>
      </c>
      <c r="BE267" s="9">
        <f>+BD267/BC267</f>
        <v>4.7383159482367411E-2</v>
      </c>
      <c r="BF267">
        <v>63.150002000000001</v>
      </c>
      <c r="BG267">
        <v>61.91</v>
      </c>
      <c r="BH267" s="12">
        <f>(MAX(BF267:BF287)+MIN(BG267:BG287))/2</f>
        <v>59.915001000000004</v>
      </c>
      <c r="BI267" s="1">
        <f>0.4175*4</f>
        <v>1.67</v>
      </c>
      <c r="BJ267" s="9">
        <f>+BI267/BH267</f>
        <v>2.7872819362883761E-2</v>
      </c>
      <c r="BK267">
        <v>50.66</v>
      </c>
      <c r="BL267">
        <v>49.110000999999997</v>
      </c>
      <c r="BM267" s="12">
        <f>(MAX(BK267:BK287)+MIN(BL267:BL287))/2</f>
        <v>47.8999995</v>
      </c>
      <c r="BN267" s="1">
        <f>0.4175*4</f>
        <v>1.67</v>
      </c>
      <c r="BO267" s="9">
        <f>+BN267/BM267</f>
        <v>3.4864300990232786E-2</v>
      </c>
      <c r="BP267">
        <v>97.650002000000001</v>
      </c>
      <c r="BQ267">
        <v>96.620002999999997</v>
      </c>
      <c r="BR267" s="12">
        <f>(MAX(BP267:BP287)+MIN(BQ267:BQ287))/2</f>
        <v>96.979999499999991</v>
      </c>
      <c r="BS267" s="1">
        <f>0.77*4</f>
        <v>3.08</v>
      </c>
      <c r="BT267" s="9">
        <f>+BS267/BR267</f>
        <v>3.1759125756646349E-2</v>
      </c>
      <c r="BU267">
        <v>53.990001999999997</v>
      </c>
      <c r="BV267">
        <v>52.150002000000001</v>
      </c>
      <c r="BW267" s="12">
        <f>(MAX(BU267:BU287)+MIN(BV267:BV287))/2</f>
        <v>51.2300015</v>
      </c>
      <c r="BX267">
        <f>0.48*4</f>
        <v>1.92</v>
      </c>
      <c r="BY267" s="9">
        <f>+BX267/BW267</f>
        <v>3.7478039113467525E-2</v>
      </c>
      <c r="BZ267">
        <v>27.4</v>
      </c>
      <c r="CA267">
        <v>26.66</v>
      </c>
      <c r="CB267" s="12">
        <f>(MAX(BZ267:BZ287)+MIN(CA267:CA287))/2</f>
        <v>27.244999999999997</v>
      </c>
      <c r="CC267" s="13">
        <f>0.25*4</f>
        <v>1</v>
      </c>
      <c r="CD267" s="9">
        <f>+CC267/CB267</f>
        <v>3.6703982382088461E-2</v>
      </c>
      <c r="CE267">
        <v>64.209998999999996</v>
      </c>
      <c r="CF267">
        <v>63.23</v>
      </c>
      <c r="CG267" s="12">
        <f>(MAX(CE267:CE287)+MIN(CF267:CF287))/2</f>
        <v>60.770000499999995</v>
      </c>
      <c r="CH267" s="1">
        <f>0.595*4</f>
        <v>2.38</v>
      </c>
      <c r="CI267" s="9">
        <f>+CH267/CG267</f>
        <v>3.916406089218314E-2</v>
      </c>
      <c r="CJ267">
        <v>37.029998999999997</v>
      </c>
      <c r="CK267">
        <v>36.110000999999997</v>
      </c>
      <c r="CL267" s="12">
        <f>(MAX(CJ267:CJ287)+MIN(CK267:CK287))/2</f>
        <v>35.180000499999998</v>
      </c>
      <c r="CM267" s="13">
        <f>0.3*4</f>
        <v>1.2</v>
      </c>
      <c r="CN267" s="9">
        <f>+CM267/CL267</f>
        <v>3.4110289452667857E-2</v>
      </c>
      <c r="CO267">
        <v>32.909999999999997</v>
      </c>
      <c r="CP267">
        <v>32.279998999999997</v>
      </c>
      <c r="CQ267" s="12">
        <f>(MAX(CO267:CO287)+MIN(CP267:CP287))/2</f>
        <v>31.044999999999998</v>
      </c>
      <c r="CR267" s="1">
        <f>0.3775*4</f>
        <v>1.51</v>
      </c>
      <c r="CS267" s="9">
        <f>+CR267/CQ267</f>
        <v>4.8639072314382352E-2</v>
      </c>
      <c r="CT267">
        <v>44.779998999999997</v>
      </c>
      <c r="CU267">
        <v>44.09</v>
      </c>
      <c r="CV267" s="12">
        <f>(MAX(CT267:CT287)+MIN(CU267:CU287))/2</f>
        <v>43.295000000000002</v>
      </c>
      <c r="CW267" s="1">
        <f>0.5425*4</f>
        <v>2.17</v>
      </c>
      <c r="CX267" s="9">
        <f>+CW267/CV267</f>
        <v>5.0121261115602257E-2</v>
      </c>
      <c r="CY267">
        <v>42.119999</v>
      </c>
      <c r="CZ267">
        <v>40.98</v>
      </c>
      <c r="DA267" s="12">
        <f>(MAX(CY267:CY287)+MIN(CZ267:CZ287))/2</f>
        <v>40.090000000000003</v>
      </c>
      <c r="DB267" s="1">
        <f>0.38*4</f>
        <v>1.52</v>
      </c>
      <c r="DC267" s="9">
        <f>+DB267/DA267</f>
        <v>3.7914691943127958E-2</v>
      </c>
      <c r="DD267">
        <v>52.290000999999997</v>
      </c>
      <c r="DE267">
        <v>51.150002000000001</v>
      </c>
      <c r="DF267" s="12">
        <f>(MAX(DD267:DD287)+MIN(DE267:DE287))/2</f>
        <v>49.260000499999997</v>
      </c>
      <c r="DG267" s="1">
        <f>0.4575*4</f>
        <v>1.83</v>
      </c>
      <c r="DH267" s="9">
        <f>+DG267/DF267</f>
        <v>3.7149816918901575E-2</v>
      </c>
      <c r="DI267">
        <v>35.450001</v>
      </c>
      <c r="DJ267">
        <v>34.709999000000003</v>
      </c>
      <c r="DK267" s="12">
        <f>(MAX(DI267:DI287)+MIN(DJ267:DJ287))/2</f>
        <v>33.940000499999996</v>
      </c>
      <c r="DL267">
        <f>0.32*4</f>
        <v>1.28</v>
      </c>
      <c r="DM267" s="9">
        <f>+DL267/DK267</f>
        <v>3.7713611701331591E-2</v>
      </c>
    </row>
    <row r="268" spans="27:117">
      <c r="AA268" s="10">
        <v>42276</v>
      </c>
      <c r="AB268" s="13">
        <v>50.619999</v>
      </c>
      <c r="AC268" s="13">
        <v>49.240001999999997</v>
      </c>
      <c r="AD268" s="13"/>
      <c r="AE268" s="1"/>
      <c r="AF268" s="1"/>
      <c r="AG268" s="14">
        <v>58.32</v>
      </c>
      <c r="AH268" s="14">
        <v>57.360000999999997</v>
      </c>
      <c r="AI268" s="1"/>
      <c r="AJ268" s="1"/>
      <c r="AK268" s="1"/>
      <c r="AL268">
        <v>17.66</v>
      </c>
      <c r="AM268">
        <v>17.48</v>
      </c>
      <c r="AN268" s="1"/>
      <c r="AO268" s="1"/>
      <c r="AP268" s="1"/>
      <c r="AQ268">
        <v>66.099997999999999</v>
      </c>
      <c r="AR268">
        <v>65.260002</v>
      </c>
      <c r="AS268" s="1"/>
      <c r="AT268" s="1"/>
      <c r="AU268" s="1"/>
      <c r="AV268">
        <v>79.169998000000007</v>
      </c>
      <c r="AW268">
        <v>77.739998</v>
      </c>
      <c r="AX268" s="1"/>
      <c r="AY268" s="1"/>
      <c r="AZ268" s="1"/>
      <c r="BA268">
        <v>70.900002000000001</v>
      </c>
      <c r="BB268">
        <v>70.040001000000004</v>
      </c>
      <c r="BC268" s="1"/>
      <c r="BD268" s="1"/>
      <c r="BE268" s="1"/>
      <c r="BF268">
        <v>62.130001</v>
      </c>
      <c r="BG268">
        <v>61.299999</v>
      </c>
      <c r="BH268" s="1"/>
      <c r="BI268" s="1"/>
      <c r="BJ268" s="1"/>
      <c r="BK268">
        <v>49.77</v>
      </c>
      <c r="BL268">
        <v>49.110000999999997</v>
      </c>
      <c r="BM268" s="1"/>
      <c r="BN268" s="1"/>
      <c r="BO268" s="1"/>
      <c r="BP268">
        <v>98.18</v>
      </c>
      <c r="BQ268">
        <v>96.43</v>
      </c>
      <c r="BR268" s="1"/>
      <c r="BS268" s="1"/>
      <c r="BT268" s="1"/>
      <c r="BU268">
        <v>53.720001000000003</v>
      </c>
      <c r="BV268">
        <v>52.830002</v>
      </c>
      <c r="BW268" s="1"/>
      <c r="BX268" s="1"/>
      <c r="BY268" s="1"/>
      <c r="BZ268">
        <v>27.030000999999999</v>
      </c>
      <c r="CA268">
        <v>26.440000999999999</v>
      </c>
      <c r="CB268" s="1"/>
      <c r="CC268" s="1"/>
      <c r="CD268" s="1"/>
      <c r="CE268">
        <v>63.619999</v>
      </c>
      <c r="CF268">
        <v>62.75</v>
      </c>
      <c r="CG268" s="1"/>
      <c r="CH268" s="1"/>
      <c r="CI268" s="1"/>
      <c r="CJ268">
        <v>36.68</v>
      </c>
      <c r="CK268">
        <v>35.979999999999997</v>
      </c>
      <c r="CL268" s="1"/>
      <c r="CM268" s="1"/>
      <c r="CN268" s="1"/>
      <c r="CO268">
        <v>32.310001</v>
      </c>
      <c r="CP268">
        <v>31.91</v>
      </c>
      <c r="CQ268" s="1"/>
      <c r="CR268" s="1"/>
      <c r="CS268" s="1"/>
      <c r="CT268">
        <v>44.529998999999997</v>
      </c>
      <c r="CU268">
        <v>44</v>
      </c>
      <c r="CV268" s="1"/>
      <c r="CW268" s="1"/>
      <c r="CX268" s="1"/>
      <c r="CY268">
        <v>41.380001</v>
      </c>
      <c r="CZ268">
        <v>40.779998999999997</v>
      </c>
      <c r="DA268" s="1"/>
      <c r="DB268" s="1"/>
      <c r="DC268" s="1"/>
      <c r="DD268">
        <v>51.389999000000003</v>
      </c>
      <c r="DE268">
        <v>50.790000999999997</v>
      </c>
      <c r="DF268" s="1"/>
      <c r="DG268" s="1"/>
      <c r="DH268" s="1"/>
      <c r="DI268">
        <v>34.869999</v>
      </c>
      <c r="DJ268">
        <v>34.490001999999997</v>
      </c>
    </row>
    <row r="269" spans="27:117">
      <c r="AA269" s="10">
        <v>42275</v>
      </c>
      <c r="AB269" s="13">
        <v>50.5</v>
      </c>
      <c r="AC269" s="13">
        <v>49.029998999999997</v>
      </c>
      <c r="AD269" s="13"/>
      <c r="AE269" s="1"/>
      <c r="AF269" s="1"/>
      <c r="AG269" s="14">
        <v>58.200001</v>
      </c>
      <c r="AH269" s="14">
        <v>57.599997999999999</v>
      </c>
      <c r="AI269" s="1"/>
      <c r="AJ269" s="1"/>
      <c r="AK269" s="1"/>
      <c r="AL269">
        <v>17.920000000000002</v>
      </c>
      <c r="AM269">
        <v>17.530000999999999</v>
      </c>
      <c r="AN269" s="1"/>
      <c r="AO269" s="1"/>
      <c r="AP269" s="1"/>
      <c r="AQ269">
        <v>66.699996999999996</v>
      </c>
      <c r="AR269">
        <v>65.709998999999996</v>
      </c>
      <c r="AS269" s="1"/>
      <c r="AT269" s="1"/>
      <c r="AU269" s="1"/>
      <c r="AV269">
        <v>79.75</v>
      </c>
      <c r="AW269">
        <v>78.680000000000007</v>
      </c>
      <c r="AX269" s="1"/>
      <c r="AY269" s="1"/>
      <c r="AZ269" s="1"/>
      <c r="BA269">
        <v>71.260002</v>
      </c>
      <c r="BB269">
        <v>70.339995999999999</v>
      </c>
      <c r="BC269" s="1"/>
      <c r="BD269" s="1"/>
      <c r="BE269" s="1"/>
      <c r="BF269">
        <v>62.389999000000003</v>
      </c>
      <c r="BG269">
        <v>61.52</v>
      </c>
      <c r="BH269" s="1"/>
      <c r="BI269" s="1"/>
      <c r="BJ269" s="1"/>
      <c r="BK269">
        <v>49.200001</v>
      </c>
      <c r="BL269">
        <v>48.669998</v>
      </c>
      <c r="BM269" s="1"/>
      <c r="BN269" s="1"/>
      <c r="BO269" s="1"/>
      <c r="BP269">
        <v>99.050003000000004</v>
      </c>
      <c r="BQ269">
        <v>97.300003000000004</v>
      </c>
      <c r="BR269" s="1"/>
      <c r="BS269" s="1"/>
      <c r="BT269" s="1"/>
      <c r="BU269">
        <v>53.66</v>
      </c>
      <c r="BV269">
        <v>52.830002</v>
      </c>
      <c r="BW269" s="1"/>
      <c r="BX269" s="1"/>
      <c r="BY269" s="1"/>
      <c r="BZ269">
        <v>27.200001</v>
      </c>
      <c r="CA269">
        <v>26.700001</v>
      </c>
      <c r="CB269" s="1"/>
      <c r="CC269" s="1"/>
      <c r="CD269" s="1"/>
      <c r="CE269">
        <v>63.860000999999997</v>
      </c>
      <c r="CF269">
        <v>62.990001999999997</v>
      </c>
      <c r="CG269" s="1"/>
      <c r="CH269" s="1"/>
      <c r="CI269" s="1"/>
      <c r="CJ269">
        <v>36.740001999999997</v>
      </c>
      <c r="CK269">
        <v>36.150002000000001</v>
      </c>
      <c r="CL269" s="1"/>
      <c r="CM269" s="1"/>
      <c r="CN269" s="1"/>
      <c r="CO269">
        <v>32.229999999999997</v>
      </c>
      <c r="CP269">
        <v>31.809999000000001</v>
      </c>
      <c r="CQ269" s="1"/>
      <c r="CR269" s="1"/>
      <c r="CS269" s="1"/>
      <c r="CT269">
        <v>44.560001</v>
      </c>
      <c r="CU269">
        <v>44.029998999999997</v>
      </c>
      <c r="CV269" s="1"/>
      <c r="CW269" s="1"/>
      <c r="CX269" s="1"/>
      <c r="CY269">
        <v>41.080002</v>
      </c>
      <c r="CZ269">
        <v>40.759998000000003</v>
      </c>
      <c r="DA269" s="1"/>
      <c r="DB269" s="1"/>
      <c r="DC269" s="1"/>
      <c r="DD269">
        <v>51.5</v>
      </c>
      <c r="DE269">
        <v>50.82</v>
      </c>
      <c r="DF269" s="1"/>
      <c r="DG269" s="1"/>
      <c r="DH269" s="1"/>
      <c r="DI269">
        <v>35.139999000000003</v>
      </c>
      <c r="DJ269">
        <v>34.610000999999997</v>
      </c>
    </row>
    <row r="270" spans="27:117">
      <c r="AA270" s="10">
        <v>42272</v>
      </c>
      <c r="AB270" s="13">
        <v>51.130001</v>
      </c>
      <c r="AC270" s="13">
        <v>49.25</v>
      </c>
      <c r="AD270" s="13"/>
      <c r="AE270" s="1"/>
      <c r="AF270" s="1"/>
      <c r="AG270" s="14">
        <v>58.639999000000003</v>
      </c>
      <c r="AH270" s="14">
        <v>57.110000999999997</v>
      </c>
      <c r="AI270" s="1"/>
      <c r="AJ270" s="1"/>
      <c r="AK270" s="1"/>
      <c r="AL270">
        <v>18.049999</v>
      </c>
      <c r="AM270">
        <v>17.68</v>
      </c>
      <c r="AN270" s="1"/>
      <c r="AO270" s="1"/>
      <c r="AP270" s="1"/>
      <c r="AQ270">
        <v>66.819999999999993</v>
      </c>
      <c r="AR270">
        <v>65.760002</v>
      </c>
      <c r="AS270" s="1"/>
      <c r="AT270" s="1"/>
      <c r="AU270" s="1"/>
      <c r="AV270">
        <v>80.389999000000003</v>
      </c>
      <c r="AW270">
        <v>78.389999000000003</v>
      </c>
      <c r="AX270" s="1"/>
      <c r="AY270" s="1"/>
      <c r="AZ270" s="1"/>
      <c r="BA270">
        <v>71.419998000000007</v>
      </c>
      <c r="BB270">
        <v>69.910004000000001</v>
      </c>
      <c r="BC270" s="1"/>
      <c r="BD270" s="1"/>
      <c r="BE270" s="1"/>
      <c r="BF270">
        <v>63.049999</v>
      </c>
      <c r="BG270">
        <v>61.57</v>
      </c>
      <c r="BH270" s="1"/>
      <c r="BI270" s="1"/>
      <c r="BJ270" s="1"/>
      <c r="BK270">
        <v>49.369999</v>
      </c>
      <c r="BL270">
        <v>47.939999</v>
      </c>
      <c r="BM270" s="1"/>
      <c r="BN270" s="1"/>
      <c r="BO270" s="1"/>
      <c r="BP270">
        <v>99.580001999999993</v>
      </c>
      <c r="BQ270">
        <v>97.169998000000007</v>
      </c>
      <c r="BR270" s="1"/>
      <c r="BS270" s="1"/>
      <c r="BT270" s="1"/>
      <c r="BU270">
        <v>53.509998000000003</v>
      </c>
      <c r="BV270">
        <v>51.130001</v>
      </c>
      <c r="BW270" s="1"/>
      <c r="BX270" s="1"/>
      <c r="BY270" s="1"/>
      <c r="BZ270">
        <v>27.440000999999999</v>
      </c>
      <c r="CA270">
        <v>26.91</v>
      </c>
      <c r="CB270" s="1"/>
      <c r="CC270" s="1"/>
      <c r="CD270" s="1"/>
      <c r="CE270">
        <v>64.089995999999999</v>
      </c>
      <c r="CF270">
        <v>62.52</v>
      </c>
      <c r="CG270" s="1"/>
      <c r="CH270" s="1"/>
      <c r="CI270" s="1"/>
      <c r="CJ270">
        <v>36.970001000000003</v>
      </c>
      <c r="CK270">
        <v>35.909999999999997</v>
      </c>
      <c r="CL270" s="1"/>
      <c r="CM270" s="1"/>
      <c r="CN270" s="1"/>
      <c r="CO270">
        <v>32.18</v>
      </c>
      <c r="CP270">
        <v>31.42</v>
      </c>
      <c r="CQ270" s="1"/>
      <c r="CR270" s="1"/>
      <c r="CS270" s="1"/>
      <c r="CT270">
        <v>44.57</v>
      </c>
      <c r="CU270">
        <v>43.360000999999997</v>
      </c>
      <c r="CV270" s="1"/>
      <c r="CW270" s="1"/>
      <c r="CX270" s="1"/>
      <c r="CY270">
        <v>41.369999</v>
      </c>
      <c r="CZ270">
        <v>40.419998</v>
      </c>
      <c r="DA270" s="1"/>
      <c r="DB270" s="1"/>
      <c r="DC270" s="1"/>
      <c r="DD270">
        <v>51.310001</v>
      </c>
      <c r="DE270">
        <v>50.029998999999997</v>
      </c>
      <c r="DF270" s="1"/>
      <c r="DG270" s="1"/>
      <c r="DH270" s="1"/>
      <c r="DI270">
        <v>35.200001</v>
      </c>
      <c r="DJ270">
        <v>34.290000999999997</v>
      </c>
    </row>
    <row r="271" spans="27:117">
      <c r="AA271" s="10">
        <v>42271</v>
      </c>
      <c r="AB271" s="13">
        <v>49.540000999999997</v>
      </c>
      <c r="AC271" s="13">
        <v>48.369999</v>
      </c>
      <c r="AD271" s="13"/>
      <c r="AE271" s="1"/>
      <c r="AF271" s="1"/>
      <c r="AG271" s="14">
        <v>57.470001000000003</v>
      </c>
      <c r="AH271" s="14">
        <v>56.509998000000003</v>
      </c>
      <c r="AI271" s="1"/>
      <c r="AJ271" s="1"/>
      <c r="AK271" s="1"/>
      <c r="AL271">
        <v>17.920000000000002</v>
      </c>
      <c r="AM271">
        <v>17.690000999999999</v>
      </c>
      <c r="AN271" s="1"/>
      <c r="AO271" s="1"/>
      <c r="AP271" s="1"/>
      <c r="AQ271">
        <v>66.180000000000007</v>
      </c>
      <c r="AR271">
        <v>65.379997000000003</v>
      </c>
      <c r="AS271" s="1"/>
      <c r="AT271" s="1"/>
      <c r="AU271" s="1"/>
      <c r="AV271">
        <v>78.860000999999997</v>
      </c>
      <c r="AW271">
        <v>77.809997999999993</v>
      </c>
      <c r="AX271" s="1"/>
      <c r="AY271" s="1"/>
      <c r="AZ271" s="1"/>
      <c r="BA271">
        <v>70.470000999999996</v>
      </c>
      <c r="BB271">
        <v>68.650002000000001</v>
      </c>
      <c r="BC271" s="1"/>
      <c r="BD271" s="1"/>
      <c r="BE271" s="1"/>
      <c r="BF271">
        <v>61.939999</v>
      </c>
      <c r="BG271">
        <v>60.759998000000003</v>
      </c>
      <c r="BH271" s="1"/>
      <c r="BI271" s="1"/>
      <c r="BJ271" s="1"/>
      <c r="BK271">
        <v>48.240001999999997</v>
      </c>
      <c r="BL271">
        <v>47.459999000000003</v>
      </c>
      <c r="BM271" s="1"/>
      <c r="BN271" s="1"/>
      <c r="BO271" s="1"/>
      <c r="BP271">
        <v>97.660004000000001</v>
      </c>
      <c r="BQ271">
        <v>96.470000999999996</v>
      </c>
      <c r="BR271" s="1"/>
      <c r="BS271" s="1"/>
      <c r="BT271" s="1"/>
      <c r="BU271">
        <v>52.290000999999997</v>
      </c>
      <c r="BV271">
        <v>51.209999000000003</v>
      </c>
      <c r="BW271" s="1"/>
      <c r="BX271" s="1"/>
      <c r="BY271" s="1"/>
      <c r="BZ271">
        <v>27.1</v>
      </c>
      <c r="CA271">
        <v>26.59</v>
      </c>
      <c r="CB271" s="1"/>
      <c r="CC271" s="1"/>
      <c r="CD271" s="1"/>
      <c r="CE271">
        <v>62.82</v>
      </c>
      <c r="CF271">
        <v>61.599997999999999</v>
      </c>
      <c r="CG271" s="1"/>
      <c r="CH271" s="1"/>
      <c r="CI271" s="1"/>
      <c r="CJ271">
        <v>36.139999000000003</v>
      </c>
      <c r="CK271">
        <v>35.259998000000003</v>
      </c>
      <c r="CL271" s="1"/>
      <c r="CM271" s="1"/>
      <c r="CN271" s="1"/>
      <c r="CO271">
        <v>31.700001</v>
      </c>
      <c r="CP271">
        <v>30.92</v>
      </c>
      <c r="CQ271" s="1"/>
      <c r="CR271" s="1"/>
      <c r="CS271" s="1"/>
      <c r="CT271">
        <v>43.560001</v>
      </c>
      <c r="CU271">
        <v>42.830002</v>
      </c>
      <c r="CV271" s="1"/>
      <c r="CW271" s="1"/>
      <c r="CX271" s="1"/>
      <c r="CY271">
        <v>40.810001</v>
      </c>
      <c r="CZ271">
        <v>40.040000999999997</v>
      </c>
      <c r="DA271" s="1"/>
      <c r="DB271" s="1"/>
      <c r="DC271" s="1"/>
      <c r="DD271">
        <v>50.34</v>
      </c>
      <c r="DE271">
        <v>49.18</v>
      </c>
      <c r="DF271" s="1"/>
      <c r="DG271" s="1"/>
      <c r="DH271" s="1"/>
      <c r="DI271">
        <v>34.490001999999997</v>
      </c>
      <c r="DJ271">
        <v>33.880001</v>
      </c>
    </row>
    <row r="272" spans="27:117">
      <c r="AA272" s="10">
        <v>42270</v>
      </c>
      <c r="AB272" s="13">
        <v>48.779998999999997</v>
      </c>
      <c r="AC272" s="13">
        <v>48.18</v>
      </c>
      <c r="AD272" s="13"/>
      <c r="AE272" s="1"/>
      <c r="AF272" s="1"/>
      <c r="AG272" s="14">
        <v>57.02</v>
      </c>
      <c r="AH272" s="14">
        <v>56.549999</v>
      </c>
      <c r="AI272" s="1"/>
      <c r="AJ272" s="1"/>
      <c r="AK272" s="1"/>
      <c r="AL272">
        <v>17.950001</v>
      </c>
      <c r="AM272">
        <v>17.719999000000001</v>
      </c>
      <c r="AN272" s="1"/>
      <c r="AO272" s="1"/>
      <c r="AP272" s="1"/>
      <c r="AQ272">
        <v>65.790001000000004</v>
      </c>
      <c r="AR272">
        <v>64.690002000000007</v>
      </c>
      <c r="AS272" s="1"/>
      <c r="AT272" s="1"/>
      <c r="AU272" s="1"/>
      <c r="AV272">
        <v>78.449996999999996</v>
      </c>
      <c r="AW272">
        <v>76.919998000000007</v>
      </c>
      <c r="AX272" s="1"/>
      <c r="AY272" s="1"/>
      <c r="AZ272" s="1"/>
      <c r="BA272">
        <v>69.360000999999997</v>
      </c>
      <c r="BB272">
        <v>68.459998999999996</v>
      </c>
      <c r="BC272" s="1"/>
      <c r="BD272" s="1"/>
      <c r="BE272" s="1"/>
      <c r="BF272">
        <v>61.209999000000003</v>
      </c>
      <c r="BG272">
        <v>60.369999</v>
      </c>
      <c r="BH272" s="1"/>
      <c r="BI272" s="1"/>
      <c r="BJ272" s="1"/>
      <c r="BK272">
        <v>47.880001</v>
      </c>
      <c r="BL272">
        <v>47.279998999999997</v>
      </c>
      <c r="BM272" s="1"/>
      <c r="BN272" s="1"/>
      <c r="BO272" s="1"/>
      <c r="BP272">
        <v>97.43</v>
      </c>
      <c r="BQ272">
        <v>96.660004000000001</v>
      </c>
      <c r="BR272" s="1"/>
      <c r="BS272" s="1"/>
      <c r="BT272" s="1"/>
      <c r="BU272">
        <v>51.380001</v>
      </c>
      <c r="BV272">
        <v>50.880001</v>
      </c>
      <c r="BW272" s="1"/>
      <c r="BX272" s="1"/>
      <c r="BY272" s="1"/>
      <c r="BZ272">
        <v>26.950001</v>
      </c>
      <c r="CA272">
        <v>26.67</v>
      </c>
      <c r="CB272" s="1"/>
      <c r="CC272" s="1"/>
      <c r="CD272" s="1"/>
      <c r="CE272">
        <v>62.540000999999997</v>
      </c>
      <c r="CF272">
        <v>61.860000999999997</v>
      </c>
      <c r="CG272" s="1"/>
      <c r="CH272" s="1"/>
      <c r="CI272" s="1"/>
      <c r="CJ272">
        <v>35.720001000000003</v>
      </c>
      <c r="CK272">
        <v>35.07</v>
      </c>
      <c r="CL272" s="1"/>
      <c r="CM272" s="1"/>
      <c r="CN272" s="1"/>
      <c r="CO272">
        <v>31.190000999999999</v>
      </c>
      <c r="CP272">
        <v>30.860001</v>
      </c>
      <c r="CQ272" s="1"/>
      <c r="CR272" s="1"/>
      <c r="CS272" s="1"/>
      <c r="CT272">
        <v>43.23</v>
      </c>
      <c r="CU272">
        <v>42.799999</v>
      </c>
      <c r="CV272" s="1"/>
      <c r="CW272" s="1"/>
      <c r="CX272" s="1"/>
      <c r="CY272">
        <v>40.639999000000003</v>
      </c>
      <c r="CZ272">
        <v>40.200001</v>
      </c>
      <c r="DA272" s="1"/>
      <c r="DB272" s="1"/>
      <c r="DC272" s="1"/>
      <c r="DD272">
        <v>49.540000999999997</v>
      </c>
      <c r="DE272">
        <v>48.939999</v>
      </c>
      <c r="DF272" s="1"/>
      <c r="DG272" s="1"/>
      <c r="DH272" s="1"/>
      <c r="DI272">
        <v>34.139999000000003</v>
      </c>
      <c r="DJ272">
        <v>33.779998999999997</v>
      </c>
    </row>
    <row r="273" spans="27:114">
      <c r="AA273" s="10">
        <v>42269</v>
      </c>
      <c r="AB273" s="13">
        <v>48.66</v>
      </c>
      <c r="AC273" s="13">
        <v>47.91</v>
      </c>
      <c r="AD273" s="13"/>
      <c r="AE273" s="1"/>
      <c r="AF273" s="1"/>
      <c r="AG273" s="14">
        <v>57.200001</v>
      </c>
      <c r="AH273" s="14">
        <v>56.560001</v>
      </c>
      <c r="AI273" s="1"/>
      <c r="AJ273" s="1"/>
      <c r="AK273" s="1"/>
      <c r="AL273">
        <v>18.16</v>
      </c>
      <c r="AM273">
        <v>17.75</v>
      </c>
      <c r="AN273" s="1"/>
      <c r="AO273" s="1"/>
      <c r="AP273" s="1"/>
      <c r="AQ273">
        <v>65.199996999999996</v>
      </c>
      <c r="AR273">
        <v>64.559997999999993</v>
      </c>
      <c r="AS273" s="1"/>
      <c r="AT273" s="1"/>
      <c r="AU273" s="1"/>
      <c r="AV273">
        <v>78.089995999999999</v>
      </c>
      <c r="AW273">
        <v>77.069999999999993</v>
      </c>
      <c r="AX273" s="1"/>
      <c r="AY273" s="1"/>
      <c r="AZ273" s="1"/>
      <c r="BA273">
        <v>70.040001000000004</v>
      </c>
      <c r="BB273">
        <v>68.940002000000007</v>
      </c>
      <c r="BC273" s="1"/>
      <c r="BD273" s="1"/>
      <c r="BE273" s="1"/>
      <c r="BF273">
        <v>61.52</v>
      </c>
      <c r="BG273">
        <v>60.59</v>
      </c>
      <c r="BH273" s="1"/>
      <c r="BI273" s="1"/>
      <c r="BJ273" s="1"/>
      <c r="BK273">
        <v>47.68</v>
      </c>
      <c r="BL273">
        <v>47.09</v>
      </c>
      <c r="BM273" s="1"/>
      <c r="BN273" s="1"/>
      <c r="BO273" s="1"/>
      <c r="BP273">
        <v>97.919998000000007</v>
      </c>
      <c r="BQ273">
        <v>96.580001999999993</v>
      </c>
      <c r="BR273" s="1"/>
      <c r="BS273" s="1"/>
      <c r="BT273" s="1"/>
      <c r="BU273">
        <v>51.630001</v>
      </c>
      <c r="BV273">
        <v>50.889999000000003</v>
      </c>
      <c r="BW273" s="1"/>
      <c r="BX273" s="1"/>
      <c r="BY273" s="1"/>
      <c r="BZ273">
        <v>27.33</v>
      </c>
      <c r="CA273">
        <v>26.790001</v>
      </c>
      <c r="CB273" s="1"/>
      <c r="CC273" s="1"/>
      <c r="CD273" s="1"/>
      <c r="CE273">
        <v>62.41</v>
      </c>
      <c r="CF273">
        <v>61.540000999999997</v>
      </c>
      <c r="CG273" s="1"/>
      <c r="CH273" s="1"/>
      <c r="CI273" s="1"/>
      <c r="CJ273">
        <v>35.93</v>
      </c>
      <c r="CK273">
        <v>35.439999</v>
      </c>
      <c r="CL273" s="1"/>
      <c r="CM273" s="1"/>
      <c r="CN273" s="1"/>
      <c r="CO273">
        <v>31.33</v>
      </c>
      <c r="CP273">
        <v>30.790001</v>
      </c>
      <c r="CQ273" s="1"/>
      <c r="CR273" s="1"/>
      <c r="CS273" s="1"/>
      <c r="CT273">
        <v>43.610000999999997</v>
      </c>
      <c r="CU273">
        <v>43</v>
      </c>
      <c r="CV273" s="1"/>
      <c r="CW273" s="1"/>
      <c r="CX273" s="1"/>
      <c r="CY273">
        <v>40.639999000000003</v>
      </c>
      <c r="CZ273">
        <v>40.209999000000003</v>
      </c>
      <c r="DA273" s="1"/>
      <c r="DB273" s="1"/>
      <c r="DC273" s="1"/>
      <c r="DD273">
        <v>49.59</v>
      </c>
      <c r="DE273">
        <v>48.990001999999997</v>
      </c>
      <c r="DF273" s="1"/>
      <c r="DG273" s="1"/>
      <c r="DH273" s="1"/>
      <c r="DI273">
        <v>34.18</v>
      </c>
      <c r="DJ273">
        <v>33.729999999999997</v>
      </c>
    </row>
    <row r="274" spans="27:114">
      <c r="AA274" s="10">
        <v>42268</v>
      </c>
      <c r="AB274" s="13">
        <v>48.830002</v>
      </c>
      <c r="AC274" s="13">
        <v>48.360000999999997</v>
      </c>
      <c r="AD274" s="13"/>
      <c r="AE274" s="1"/>
      <c r="AF274" s="1"/>
      <c r="AG274" s="14">
        <v>57.5</v>
      </c>
      <c r="AH274" s="14">
        <v>56.790000999999997</v>
      </c>
      <c r="AI274" s="1"/>
      <c r="AJ274" s="1"/>
      <c r="AK274" s="1"/>
      <c r="AL274">
        <v>18.34</v>
      </c>
      <c r="AM274">
        <v>18.059999000000001</v>
      </c>
      <c r="AN274" s="1"/>
      <c r="AO274" s="1"/>
      <c r="AP274" s="1"/>
      <c r="AQ274">
        <v>65.660004000000001</v>
      </c>
      <c r="AR274">
        <v>64.720000999999996</v>
      </c>
      <c r="AS274" s="1"/>
      <c r="AT274" s="1"/>
      <c r="AU274" s="1"/>
      <c r="AV274">
        <v>78.360000999999997</v>
      </c>
      <c r="AW274">
        <v>77.660004000000001</v>
      </c>
      <c r="AX274" s="1"/>
      <c r="AY274" s="1"/>
      <c r="AZ274" s="1"/>
      <c r="BA274">
        <v>70.180000000000007</v>
      </c>
      <c r="BB274">
        <v>69.25</v>
      </c>
      <c r="BC274" s="1"/>
      <c r="BD274" s="1"/>
      <c r="BE274" s="1"/>
      <c r="BF274">
        <v>62.060001</v>
      </c>
      <c r="BG274">
        <v>61.169998</v>
      </c>
      <c r="BH274" s="1"/>
      <c r="BI274" s="1"/>
      <c r="BJ274" s="1"/>
      <c r="BK274">
        <v>47.66</v>
      </c>
      <c r="BL274">
        <v>47.150002000000001</v>
      </c>
      <c r="BM274" s="1"/>
      <c r="BN274" s="1"/>
      <c r="BO274" s="1"/>
      <c r="BP274">
        <v>98.580001999999993</v>
      </c>
      <c r="BQ274">
        <v>97.410004000000001</v>
      </c>
      <c r="BR274" s="1"/>
      <c r="BS274" s="1"/>
      <c r="BT274" s="1"/>
      <c r="BU274">
        <v>51.610000999999997</v>
      </c>
      <c r="BV274">
        <v>51</v>
      </c>
      <c r="BW274" s="1"/>
      <c r="BX274" s="1"/>
      <c r="BY274" s="1"/>
      <c r="BZ274">
        <v>27.68</v>
      </c>
      <c r="CA274">
        <v>27.290001</v>
      </c>
      <c r="CB274" s="1"/>
      <c r="CC274" s="1"/>
      <c r="CD274" s="1"/>
      <c r="CE274">
        <v>62.77</v>
      </c>
      <c r="CF274">
        <v>61.650002000000001</v>
      </c>
      <c r="CG274" s="1"/>
      <c r="CH274" s="1"/>
      <c r="CI274" s="1"/>
      <c r="CJ274">
        <v>36</v>
      </c>
      <c r="CK274">
        <v>35.439999</v>
      </c>
      <c r="CL274" s="1"/>
      <c r="CM274" s="1"/>
      <c r="CN274" s="1"/>
      <c r="CO274">
        <v>31.34</v>
      </c>
      <c r="CP274">
        <v>31.01</v>
      </c>
      <c r="CQ274" s="1"/>
      <c r="CR274" s="1"/>
      <c r="CS274" s="1"/>
      <c r="CT274">
        <v>43.830002</v>
      </c>
      <c r="CU274">
        <v>43.400002000000001</v>
      </c>
      <c r="CV274" s="1"/>
      <c r="CW274" s="1"/>
      <c r="CX274" s="1"/>
      <c r="CY274">
        <v>40.709999000000003</v>
      </c>
      <c r="CZ274">
        <v>40.389999000000003</v>
      </c>
      <c r="DA274" s="1"/>
      <c r="DB274" s="1"/>
      <c r="DC274" s="1"/>
      <c r="DD274">
        <v>49.73</v>
      </c>
      <c r="DE274">
        <v>49.240001999999997</v>
      </c>
      <c r="DF274" s="1"/>
      <c r="DG274" s="1"/>
      <c r="DH274" s="1"/>
      <c r="DI274">
        <v>34.220001000000003</v>
      </c>
      <c r="DJ274">
        <v>33.610000999999997</v>
      </c>
    </row>
    <row r="275" spans="27:114">
      <c r="AA275" s="10">
        <v>42265</v>
      </c>
      <c r="AB275" s="13">
        <v>49.150002000000001</v>
      </c>
      <c r="AC275" s="13">
        <v>48.25</v>
      </c>
      <c r="AD275" s="13"/>
      <c r="AE275" s="1"/>
      <c r="AF275" s="1"/>
      <c r="AG275" s="14">
        <v>57.419998</v>
      </c>
      <c r="AH275" s="14">
        <v>56.380001</v>
      </c>
      <c r="AI275" s="1"/>
      <c r="AJ275" s="1"/>
      <c r="AK275" s="1"/>
      <c r="AL275">
        <v>18.350000000000001</v>
      </c>
      <c r="AM275">
        <v>18.010000000000002</v>
      </c>
      <c r="AN275" s="1"/>
      <c r="AO275" s="1"/>
      <c r="AP275" s="1"/>
      <c r="AQ275">
        <v>66</v>
      </c>
      <c r="AR275">
        <v>64.110000999999997</v>
      </c>
      <c r="AS275" s="1"/>
      <c r="AT275" s="1"/>
      <c r="AU275" s="1"/>
      <c r="AV275">
        <v>78.669998000000007</v>
      </c>
      <c r="AW275">
        <v>77.410004000000001</v>
      </c>
      <c r="AX275" s="1"/>
      <c r="AY275" s="1"/>
      <c r="AZ275" s="1"/>
      <c r="BA275">
        <v>70.059997999999993</v>
      </c>
      <c r="BB275">
        <v>69.180000000000007</v>
      </c>
      <c r="BC275" s="1"/>
      <c r="BD275" s="1"/>
      <c r="BE275" s="1"/>
      <c r="BF275">
        <v>62.16</v>
      </c>
      <c r="BG275">
        <v>59.880001</v>
      </c>
      <c r="BH275" s="1"/>
      <c r="BI275" s="1"/>
      <c r="BJ275" s="1"/>
      <c r="BK275">
        <v>48.080002</v>
      </c>
      <c r="BL275">
        <v>47.09</v>
      </c>
      <c r="BM275" s="1"/>
      <c r="BN275" s="1"/>
      <c r="BO275" s="1"/>
      <c r="BP275">
        <v>99.93</v>
      </c>
      <c r="BQ275">
        <v>97.260002</v>
      </c>
      <c r="BR275" s="1"/>
      <c r="BS275" s="1"/>
      <c r="BT275" s="1"/>
      <c r="BU275">
        <v>51.509998000000003</v>
      </c>
      <c r="BV275">
        <v>50.57</v>
      </c>
      <c r="BW275" s="1"/>
      <c r="BX275" s="1"/>
      <c r="BY275" s="1"/>
      <c r="BZ275">
        <v>27.629999000000002</v>
      </c>
      <c r="CA275">
        <v>27.15</v>
      </c>
      <c r="CB275" s="1"/>
      <c r="CC275" s="1"/>
      <c r="CD275" s="1"/>
      <c r="CE275">
        <v>62.330002</v>
      </c>
      <c r="CF275">
        <v>61.200001</v>
      </c>
      <c r="CG275" s="1"/>
      <c r="CH275" s="1"/>
      <c r="CI275" s="1"/>
      <c r="CJ275">
        <v>35.810001</v>
      </c>
      <c r="CK275">
        <v>35.139999000000003</v>
      </c>
      <c r="CL275" s="1"/>
      <c r="CM275" s="1"/>
      <c r="CN275" s="1"/>
      <c r="CO275">
        <v>31.23</v>
      </c>
      <c r="CP275">
        <v>30.66</v>
      </c>
      <c r="CQ275" s="1"/>
      <c r="CR275" s="1"/>
      <c r="CS275" s="1"/>
      <c r="CT275">
        <v>44.07</v>
      </c>
      <c r="CU275">
        <v>43.150002000000001</v>
      </c>
      <c r="CV275" s="1"/>
      <c r="CW275" s="1"/>
      <c r="CX275" s="1"/>
      <c r="CY275">
        <v>40.740001999999997</v>
      </c>
      <c r="CZ275">
        <v>39.860000999999997</v>
      </c>
      <c r="DA275" s="1"/>
      <c r="DB275" s="1"/>
      <c r="DC275" s="1"/>
      <c r="DD275">
        <v>49.630001</v>
      </c>
      <c r="DE275">
        <v>48.68</v>
      </c>
      <c r="DF275" s="1"/>
      <c r="DG275" s="1"/>
      <c r="DH275" s="1"/>
      <c r="DI275">
        <v>34.040000999999997</v>
      </c>
      <c r="DJ275">
        <v>33.509998000000003</v>
      </c>
    </row>
    <row r="276" spans="27:114">
      <c r="AA276" s="10">
        <v>42264</v>
      </c>
      <c r="AB276" s="13">
        <v>49.459999000000003</v>
      </c>
      <c r="AC276" s="13">
        <v>48.189999</v>
      </c>
      <c r="AD276" s="13"/>
      <c r="AE276" s="1"/>
      <c r="AF276" s="1"/>
      <c r="AG276" s="14">
        <v>57.82</v>
      </c>
      <c r="AH276" s="14">
        <v>56.099997999999999</v>
      </c>
      <c r="AI276" s="1"/>
      <c r="AJ276" s="1"/>
      <c r="AK276" s="1"/>
      <c r="AL276">
        <v>18.57</v>
      </c>
      <c r="AM276">
        <v>18.07</v>
      </c>
      <c r="AN276" s="1"/>
      <c r="AO276" s="1"/>
      <c r="AP276" s="1"/>
      <c r="AQ276">
        <v>65.309997999999993</v>
      </c>
      <c r="AR276">
        <v>63.389999000000003</v>
      </c>
      <c r="AS276" s="1"/>
      <c r="AT276" s="1"/>
      <c r="AU276" s="1"/>
      <c r="AV276">
        <v>79.279999000000004</v>
      </c>
      <c r="AW276">
        <v>76.730002999999996</v>
      </c>
      <c r="AX276" s="1"/>
      <c r="AY276" s="1"/>
      <c r="AZ276" s="1"/>
      <c r="BA276">
        <v>70.980002999999996</v>
      </c>
      <c r="BB276">
        <v>69.019997000000004</v>
      </c>
      <c r="BC276" s="1"/>
      <c r="BD276" s="1"/>
      <c r="BE276" s="1"/>
      <c r="BF276">
        <v>61.84</v>
      </c>
      <c r="BG276">
        <v>59.549999</v>
      </c>
      <c r="BH276" s="1"/>
      <c r="BI276" s="1"/>
      <c r="BJ276" s="1"/>
      <c r="BK276">
        <v>48.330002</v>
      </c>
      <c r="BL276">
        <v>46.57</v>
      </c>
      <c r="BM276" s="1"/>
      <c r="BN276" s="1"/>
      <c r="BO276" s="1"/>
      <c r="BP276">
        <v>100.220001</v>
      </c>
      <c r="BQ276">
        <v>97.199996999999996</v>
      </c>
      <c r="BR276" s="1"/>
      <c r="BS276" s="1"/>
      <c r="BT276" s="1"/>
      <c r="BU276">
        <v>51.599997999999999</v>
      </c>
      <c r="BV276">
        <v>50.299999</v>
      </c>
      <c r="BW276" s="1"/>
      <c r="BX276" s="1"/>
      <c r="BY276" s="1"/>
      <c r="BZ276">
        <v>28.049999</v>
      </c>
      <c r="CA276">
        <v>27.41</v>
      </c>
      <c r="CB276" s="1"/>
      <c r="CC276" s="1"/>
      <c r="CD276" s="1"/>
      <c r="CE276">
        <v>62.470001000000003</v>
      </c>
      <c r="CF276">
        <v>60.939999</v>
      </c>
      <c r="CG276" s="1"/>
      <c r="CH276" s="1"/>
      <c r="CI276" s="1"/>
      <c r="CJ276">
        <v>35.860000999999997</v>
      </c>
      <c r="CK276">
        <v>34.900002000000001</v>
      </c>
      <c r="CL276" s="1"/>
      <c r="CM276" s="1"/>
      <c r="CN276" s="1"/>
      <c r="CO276">
        <v>31.139999</v>
      </c>
      <c r="CP276">
        <v>30.27</v>
      </c>
      <c r="CQ276" s="1"/>
      <c r="CR276" s="1"/>
      <c r="CS276" s="1"/>
      <c r="CT276">
        <v>44.029998999999997</v>
      </c>
      <c r="CU276">
        <v>42.860000999999997</v>
      </c>
      <c r="CV276" s="1"/>
      <c r="CW276" s="1"/>
      <c r="CX276" s="1"/>
      <c r="CY276">
        <v>40.659999999999997</v>
      </c>
      <c r="CZ276">
        <v>39.610000999999997</v>
      </c>
      <c r="DA276" s="1"/>
      <c r="DB276" s="1"/>
      <c r="DC276" s="1"/>
      <c r="DD276">
        <v>49.77</v>
      </c>
      <c r="DE276">
        <v>48.259998000000003</v>
      </c>
      <c r="DF276" s="1"/>
      <c r="DG276" s="1"/>
      <c r="DH276" s="1"/>
      <c r="DI276">
        <v>34.240001999999997</v>
      </c>
      <c r="DJ276">
        <v>33.270000000000003</v>
      </c>
    </row>
    <row r="277" spans="27:114">
      <c r="AA277" s="10">
        <v>42263</v>
      </c>
      <c r="AB277" s="13">
        <v>48.810001</v>
      </c>
      <c r="AC277" s="13">
        <v>47.84</v>
      </c>
      <c r="AD277" s="13"/>
      <c r="AE277" s="1"/>
      <c r="AF277" s="1"/>
      <c r="AG277" s="14">
        <v>56.34</v>
      </c>
      <c r="AH277" s="14">
        <v>55.41</v>
      </c>
      <c r="AI277" s="1"/>
      <c r="AJ277" s="1"/>
      <c r="AK277" s="1"/>
      <c r="AL277">
        <v>18.170000000000002</v>
      </c>
      <c r="AM277">
        <v>17.829999999999998</v>
      </c>
      <c r="AN277" s="1"/>
      <c r="AO277" s="1"/>
      <c r="AP277" s="1"/>
      <c r="AQ277">
        <v>63.810001</v>
      </c>
      <c r="AR277">
        <v>62.549999</v>
      </c>
      <c r="AS277" s="1"/>
      <c r="AT277" s="1"/>
      <c r="AU277" s="1"/>
      <c r="AV277">
        <v>77.75</v>
      </c>
      <c r="AW277">
        <v>76.230002999999996</v>
      </c>
      <c r="AX277" s="1"/>
      <c r="AY277" s="1"/>
      <c r="AZ277" s="1"/>
      <c r="BA277">
        <v>69.419998000000007</v>
      </c>
      <c r="BB277">
        <v>68.629997000000003</v>
      </c>
      <c r="BC277" s="1"/>
      <c r="BD277" s="1"/>
      <c r="BE277" s="1"/>
      <c r="BF277">
        <v>59.889999000000003</v>
      </c>
      <c r="BG277">
        <v>59.16</v>
      </c>
      <c r="BH277" s="1"/>
      <c r="BI277" s="1"/>
      <c r="BJ277" s="1"/>
      <c r="BK277">
        <v>46.93</v>
      </c>
      <c r="BL277">
        <v>46.459999000000003</v>
      </c>
      <c r="BM277" s="1"/>
      <c r="BN277" s="1"/>
      <c r="BO277" s="1"/>
      <c r="BP277">
        <v>97.830001999999993</v>
      </c>
      <c r="BQ277">
        <v>96.300003000000004</v>
      </c>
      <c r="BR277" s="1"/>
      <c r="BS277" s="1"/>
      <c r="BT277" s="1"/>
      <c r="BU277">
        <v>50.790000999999997</v>
      </c>
      <c r="BV277">
        <v>50.119999</v>
      </c>
      <c r="BW277" s="1"/>
      <c r="BX277" s="1"/>
      <c r="BY277" s="1"/>
      <c r="BZ277">
        <v>27.549999</v>
      </c>
      <c r="CA277">
        <v>27.08</v>
      </c>
      <c r="CB277" s="1"/>
      <c r="CC277" s="1"/>
      <c r="CD277" s="1"/>
      <c r="CE277">
        <v>61.23</v>
      </c>
      <c r="CF277">
        <v>59.919998</v>
      </c>
      <c r="CG277" s="1"/>
      <c r="CH277" s="1"/>
      <c r="CI277" s="1"/>
      <c r="CJ277">
        <v>35.159999999999997</v>
      </c>
      <c r="CK277">
        <v>34.659999999999997</v>
      </c>
      <c r="CL277" s="1"/>
      <c r="CM277" s="1"/>
      <c r="CN277" s="1"/>
      <c r="CO277">
        <v>30.459999</v>
      </c>
      <c r="CP277">
        <v>30.1</v>
      </c>
      <c r="CQ277" s="1"/>
      <c r="CR277" s="1"/>
      <c r="CS277" s="1"/>
      <c r="CT277">
        <v>43.16</v>
      </c>
      <c r="CU277">
        <v>42.540000999999997</v>
      </c>
      <c r="CV277" s="1"/>
      <c r="CW277" s="1"/>
      <c r="CX277" s="1"/>
      <c r="CY277">
        <v>40</v>
      </c>
      <c r="CZ277">
        <v>39.020000000000003</v>
      </c>
      <c r="DA277" s="1"/>
      <c r="DB277" s="1"/>
      <c r="DC277" s="1"/>
      <c r="DD277">
        <v>48.650002000000001</v>
      </c>
      <c r="DE277">
        <v>48.080002</v>
      </c>
      <c r="DF277" s="1"/>
      <c r="DG277" s="1"/>
      <c r="DH277" s="1"/>
      <c r="DI277">
        <v>33.479999999999997</v>
      </c>
      <c r="DJ277">
        <v>33.040000999999997</v>
      </c>
    </row>
    <row r="278" spans="27:114">
      <c r="AA278" s="10">
        <v>42262</v>
      </c>
      <c r="AB278" s="13">
        <v>48.150002000000001</v>
      </c>
      <c r="AC278" s="13">
        <v>47.639999000000003</v>
      </c>
      <c r="AD278" s="13"/>
      <c r="AE278" s="1"/>
      <c r="AF278" s="1"/>
      <c r="AG278" s="14">
        <v>55.709999000000003</v>
      </c>
      <c r="AH278" s="14">
        <v>54.93</v>
      </c>
      <c r="AI278" s="1"/>
      <c r="AJ278" s="1"/>
      <c r="AK278" s="1"/>
      <c r="AL278">
        <v>17.91</v>
      </c>
      <c r="AM278">
        <v>17.709999</v>
      </c>
      <c r="AN278" s="1"/>
      <c r="AO278" s="1"/>
      <c r="AP278" s="1"/>
      <c r="AQ278">
        <v>62.959999000000003</v>
      </c>
      <c r="AR278">
        <v>61.959999000000003</v>
      </c>
      <c r="AS278" s="1"/>
      <c r="AT278" s="1"/>
      <c r="AU278" s="1"/>
      <c r="AV278">
        <v>76.589995999999999</v>
      </c>
      <c r="AW278">
        <v>75.279999000000004</v>
      </c>
      <c r="AX278" s="1"/>
      <c r="AY278" s="1"/>
      <c r="AZ278" s="1"/>
      <c r="BA278">
        <v>68.900002000000001</v>
      </c>
      <c r="BB278">
        <v>67.690002000000007</v>
      </c>
      <c r="BC278" s="1"/>
      <c r="BD278" s="1"/>
      <c r="BE278" s="1"/>
      <c r="BF278">
        <v>59.310001</v>
      </c>
      <c r="BG278">
        <v>57.900002000000001</v>
      </c>
      <c r="BH278" s="1"/>
      <c r="BI278" s="1"/>
      <c r="BJ278" s="1"/>
      <c r="BK278">
        <v>46.82</v>
      </c>
      <c r="BL278">
        <v>46.07</v>
      </c>
      <c r="BM278" s="1"/>
      <c r="BN278" s="1"/>
      <c r="BO278" s="1"/>
      <c r="BP278">
        <v>96.379997000000003</v>
      </c>
      <c r="BQ278">
        <v>95.25</v>
      </c>
      <c r="BR278" s="1"/>
      <c r="BS278" s="1"/>
      <c r="BT278" s="1"/>
      <c r="BU278">
        <v>50.150002000000001</v>
      </c>
      <c r="BV278">
        <v>49.41</v>
      </c>
      <c r="BW278" s="1"/>
      <c r="BX278" s="1"/>
      <c r="BY278" s="1"/>
      <c r="BZ278">
        <v>27.09</v>
      </c>
      <c r="CA278">
        <v>26.620000999999998</v>
      </c>
      <c r="CB278" s="1"/>
      <c r="CC278" s="1"/>
      <c r="CD278" s="1"/>
      <c r="CE278">
        <v>60.290000999999997</v>
      </c>
      <c r="CF278">
        <v>59.549999</v>
      </c>
      <c r="CG278" s="1"/>
      <c r="CH278" s="1"/>
      <c r="CI278" s="1"/>
      <c r="CJ278">
        <v>34.810001</v>
      </c>
      <c r="CK278">
        <v>34.369999</v>
      </c>
      <c r="CL278" s="1"/>
      <c r="CM278" s="1"/>
      <c r="CN278" s="1"/>
      <c r="CO278">
        <v>30.120000999999998</v>
      </c>
      <c r="CP278">
        <v>29.68</v>
      </c>
      <c r="CQ278" s="1"/>
      <c r="CR278" s="1"/>
      <c r="CS278" s="1"/>
      <c r="CT278">
        <v>42.810001</v>
      </c>
      <c r="CU278">
        <v>42.360000999999997</v>
      </c>
      <c r="CV278" s="1"/>
      <c r="CW278" s="1"/>
      <c r="CX278" s="1"/>
      <c r="CY278">
        <v>39.459999000000003</v>
      </c>
      <c r="CZ278">
        <v>38.970001000000003</v>
      </c>
      <c r="DA278" s="1"/>
      <c r="DB278" s="1"/>
      <c r="DC278" s="1"/>
      <c r="DD278">
        <v>48.459999000000003</v>
      </c>
      <c r="DE278">
        <v>47.639999000000003</v>
      </c>
      <c r="DF278" s="1"/>
      <c r="DG278" s="1"/>
      <c r="DH278" s="1"/>
      <c r="DI278">
        <v>33.290000999999997</v>
      </c>
      <c r="DJ278">
        <v>32.729999999999997</v>
      </c>
    </row>
    <row r="279" spans="27:114">
      <c r="AA279" s="10">
        <v>42261</v>
      </c>
      <c r="AB279" s="13">
        <v>48.580002</v>
      </c>
      <c r="AC279" s="13">
        <v>47.869999</v>
      </c>
      <c r="AD279" s="13"/>
      <c r="AE279" s="1"/>
      <c r="AF279" s="1"/>
      <c r="AG279" s="14">
        <v>55.68</v>
      </c>
      <c r="AH279" s="14">
        <v>55.009998000000003</v>
      </c>
      <c r="AI279" s="1"/>
      <c r="AJ279" s="1"/>
      <c r="AK279" s="1"/>
      <c r="AL279">
        <v>17.860001</v>
      </c>
      <c r="AM279">
        <v>17.670000000000002</v>
      </c>
      <c r="AN279" s="1"/>
      <c r="AO279" s="1"/>
      <c r="AP279" s="1"/>
      <c r="AQ279">
        <v>62.880001</v>
      </c>
      <c r="AR279">
        <v>62.259998000000003</v>
      </c>
      <c r="AS279" s="1"/>
      <c r="AT279" s="1"/>
      <c r="AU279" s="1"/>
      <c r="AV279">
        <v>76.529999000000004</v>
      </c>
      <c r="AW279">
        <v>75.680000000000007</v>
      </c>
      <c r="AX279" s="1"/>
      <c r="AY279" s="1"/>
      <c r="AZ279" s="1"/>
      <c r="BA279">
        <v>68.860000999999997</v>
      </c>
      <c r="BB279">
        <v>68.110000999999997</v>
      </c>
      <c r="BC279" s="1"/>
      <c r="BD279" s="1"/>
      <c r="BE279" s="1"/>
      <c r="BF279">
        <v>58.459999000000003</v>
      </c>
      <c r="BG279">
        <v>57.790000999999997</v>
      </c>
      <c r="BH279" s="1"/>
      <c r="BI279" s="1"/>
      <c r="BJ279" s="1"/>
      <c r="BK279">
        <v>46.470001000000003</v>
      </c>
      <c r="BL279">
        <v>45.970001000000003</v>
      </c>
      <c r="BM279" s="1"/>
      <c r="BN279" s="1"/>
      <c r="BO279" s="1"/>
      <c r="BP279">
        <v>96.739998</v>
      </c>
      <c r="BQ279">
        <v>95.580001999999993</v>
      </c>
      <c r="BR279" s="1"/>
      <c r="BS279" s="1"/>
      <c r="BT279" s="1"/>
      <c r="BU279">
        <v>50.279998999999997</v>
      </c>
      <c r="BV279">
        <v>49.689999</v>
      </c>
      <c r="BW279" s="1"/>
      <c r="BX279" s="1"/>
      <c r="BY279" s="1"/>
      <c r="BZ279">
        <v>27</v>
      </c>
      <c r="CA279">
        <v>26.799999</v>
      </c>
      <c r="CB279" s="1"/>
      <c r="CC279" s="1"/>
      <c r="CD279" s="1"/>
      <c r="CE279">
        <v>60.290000999999997</v>
      </c>
      <c r="CF279">
        <v>59.68</v>
      </c>
      <c r="CG279" s="1"/>
      <c r="CH279" s="1"/>
      <c r="CI279" s="1"/>
      <c r="CJ279">
        <v>34.909999999999997</v>
      </c>
      <c r="CK279">
        <v>34.5</v>
      </c>
      <c r="CL279" s="1"/>
      <c r="CM279" s="1"/>
      <c r="CN279" s="1"/>
      <c r="CO279">
        <v>30.09</v>
      </c>
      <c r="CP279">
        <v>29.690000999999999</v>
      </c>
      <c r="CQ279" s="1"/>
      <c r="CR279" s="1"/>
      <c r="CS279" s="1"/>
      <c r="CT279">
        <v>42.919998</v>
      </c>
      <c r="CU279">
        <v>42.57</v>
      </c>
      <c r="CV279" s="1"/>
      <c r="CW279" s="1"/>
      <c r="CX279" s="1"/>
      <c r="CY279">
        <v>39.310001</v>
      </c>
      <c r="CZ279">
        <v>38.909999999999997</v>
      </c>
      <c r="DA279" s="1"/>
      <c r="DB279" s="1"/>
      <c r="DC279" s="1"/>
      <c r="DD279">
        <v>48.5</v>
      </c>
      <c r="DE279">
        <v>47.950001</v>
      </c>
      <c r="DF279" s="1"/>
      <c r="DG279" s="1"/>
      <c r="DH279" s="1"/>
      <c r="DI279">
        <v>33.380001</v>
      </c>
      <c r="DJ279">
        <v>32.990001999999997</v>
      </c>
    </row>
    <row r="280" spans="27:114">
      <c r="AA280" s="10">
        <v>42258</v>
      </c>
      <c r="AB280" s="13">
        <v>48.16</v>
      </c>
      <c r="AC280" s="13">
        <v>46.759998000000003</v>
      </c>
      <c r="AD280" s="13"/>
      <c r="AE280" s="1"/>
      <c r="AF280" s="1"/>
      <c r="AG280" s="14">
        <v>55.259998000000003</v>
      </c>
      <c r="AH280" s="14">
        <v>54.5</v>
      </c>
      <c r="AI280" s="1"/>
      <c r="AJ280" s="1"/>
      <c r="AK280" s="1"/>
      <c r="AL280">
        <v>17.760000000000002</v>
      </c>
      <c r="AM280">
        <v>17.57</v>
      </c>
      <c r="AN280" s="1"/>
      <c r="AO280" s="1"/>
      <c r="AP280" s="1"/>
      <c r="AQ280">
        <v>62.41</v>
      </c>
      <c r="AR280">
        <v>61.310001</v>
      </c>
      <c r="AS280" s="1"/>
      <c r="AT280" s="1"/>
      <c r="AU280" s="1"/>
      <c r="AV280">
        <v>75.949996999999996</v>
      </c>
      <c r="AW280">
        <v>74.559997999999993</v>
      </c>
      <c r="AX280" s="1"/>
      <c r="AY280" s="1"/>
      <c r="AZ280" s="1"/>
      <c r="BA280">
        <v>68.360000999999997</v>
      </c>
      <c r="BB280">
        <v>67.269997000000004</v>
      </c>
      <c r="BC280" s="1"/>
      <c r="BD280" s="1"/>
      <c r="BE280" s="1"/>
      <c r="BF280">
        <v>57.93</v>
      </c>
      <c r="BG280">
        <v>56.689999</v>
      </c>
      <c r="BH280" s="1"/>
      <c r="BI280" s="1"/>
      <c r="BJ280" s="1"/>
      <c r="BK280">
        <v>46.09</v>
      </c>
      <c r="BL280">
        <v>45.139999000000003</v>
      </c>
      <c r="BM280" s="1"/>
      <c r="BN280" s="1"/>
      <c r="BO280" s="1"/>
      <c r="BP280">
        <v>95.93</v>
      </c>
      <c r="BQ280">
        <v>93.739998</v>
      </c>
      <c r="BR280" s="1"/>
      <c r="BS280" s="1"/>
      <c r="BT280" s="1"/>
      <c r="BU280">
        <v>49.73</v>
      </c>
      <c r="BV280">
        <v>48.470001000000003</v>
      </c>
      <c r="BW280" s="1"/>
      <c r="BX280" s="1"/>
      <c r="BY280" s="1"/>
      <c r="BZ280">
        <v>26.91</v>
      </c>
      <c r="CA280">
        <v>26.5</v>
      </c>
      <c r="CB280" s="1"/>
      <c r="CC280" s="1"/>
      <c r="CD280" s="1"/>
      <c r="CE280">
        <v>59.799999</v>
      </c>
      <c r="CF280">
        <v>58.610000999999997</v>
      </c>
      <c r="CG280" s="1"/>
      <c r="CH280" s="1"/>
      <c r="CI280" s="1"/>
      <c r="CJ280">
        <v>34.529998999999997</v>
      </c>
      <c r="CK280">
        <v>33.82</v>
      </c>
      <c r="CL280" s="1"/>
      <c r="CM280" s="1"/>
      <c r="CN280" s="1"/>
      <c r="CO280">
        <v>29.67</v>
      </c>
      <c r="CP280">
        <v>29.18</v>
      </c>
      <c r="CQ280" s="1"/>
      <c r="CR280" s="1"/>
      <c r="CS280" s="1"/>
      <c r="CT280">
        <v>42.709999000000003</v>
      </c>
      <c r="CU280">
        <v>42.080002</v>
      </c>
      <c r="CV280" s="1"/>
      <c r="CW280" s="1"/>
      <c r="CX280" s="1"/>
      <c r="CY280">
        <v>38.979999999999997</v>
      </c>
      <c r="CZ280">
        <v>38.299999</v>
      </c>
      <c r="DA280" s="1"/>
      <c r="DB280" s="1"/>
      <c r="DC280" s="1"/>
      <c r="DD280">
        <v>47.880001</v>
      </c>
      <c r="DE280">
        <v>46.860000999999997</v>
      </c>
      <c r="DF280" s="1"/>
      <c r="DG280" s="1"/>
      <c r="DH280" s="1"/>
      <c r="DI280">
        <v>33.169998</v>
      </c>
      <c r="DJ280">
        <v>32.479999999999997</v>
      </c>
    </row>
    <row r="281" spans="27:114">
      <c r="AA281" s="10">
        <v>42257</v>
      </c>
      <c r="AB281" s="13">
        <v>47.98</v>
      </c>
      <c r="AC281" s="13">
        <v>47.34</v>
      </c>
      <c r="AD281" s="13"/>
      <c r="AE281" s="1"/>
      <c r="AF281" s="1"/>
      <c r="AG281" s="14">
        <v>55.48</v>
      </c>
      <c r="AH281" s="14">
        <v>54.700001</v>
      </c>
      <c r="AI281" s="1"/>
      <c r="AJ281" s="1"/>
      <c r="AK281" s="1"/>
      <c r="AL281">
        <v>18.010000000000002</v>
      </c>
      <c r="AM281">
        <v>17.68</v>
      </c>
      <c r="AN281" s="1"/>
      <c r="AO281" s="1"/>
      <c r="AP281" s="1"/>
      <c r="AQ281">
        <v>62.080002</v>
      </c>
      <c r="AR281">
        <v>61.279998999999997</v>
      </c>
      <c r="AS281" s="1"/>
      <c r="AT281" s="1"/>
      <c r="AU281" s="1"/>
      <c r="AV281">
        <v>75.849997999999999</v>
      </c>
      <c r="AW281">
        <v>74.739998</v>
      </c>
      <c r="AX281" s="1"/>
      <c r="AY281" s="1"/>
      <c r="AZ281" s="1"/>
      <c r="BA281">
        <v>68.5</v>
      </c>
      <c r="BB281">
        <v>67.489998</v>
      </c>
      <c r="BC281" s="1"/>
      <c r="BD281" s="1"/>
      <c r="BE281" s="1"/>
      <c r="BF281">
        <v>57.93</v>
      </c>
      <c r="BG281">
        <v>57.029998999999997</v>
      </c>
      <c r="BH281" s="1"/>
      <c r="BI281" s="1"/>
      <c r="BJ281" s="1"/>
      <c r="BK281">
        <v>45.91</v>
      </c>
      <c r="BL281">
        <v>45.299999</v>
      </c>
      <c r="BM281" s="1"/>
      <c r="BN281" s="1"/>
      <c r="BO281" s="1"/>
      <c r="BP281">
        <v>96.160004000000001</v>
      </c>
      <c r="BQ281">
        <v>95</v>
      </c>
      <c r="BR281" s="1"/>
      <c r="BS281" s="1"/>
      <c r="BT281" s="1"/>
      <c r="BU281">
        <v>50.48</v>
      </c>
      <c r="BV281">
        <v>49.290000999999997</v>
      </c>
      <c r="BW281" s="1"/>
      <c r="BX281" s="1"/>
      <c r="BY281" s="1"/>
      <c r="BZ281">
        <v>27.139999</v>
      </c>
      <c r="CA281">
        <v>26.610001</v>
      </c>
      <c r="CB281" s="1"/>
      <c r="CC281" s="1"/>
      <c r="CD281" s="1"/>
      <c r="CE281">
        <v>59.689999</v>
      </c>
      <c r="CF281">
        <v>58.880001</v>
      </c>
      <c r="CG281" s="1"/>
      <c r="CH281" s="1"/>
      <c r="CI281" s="1"/>
      <c r="CJ281">
        <v>34.459999000000003</v>
      </c>
      <c r="CK281">
        <v>34</v>
      </c>
      <c r="CL281" s="1"/>
      <c r="CM281" s="1"/>
      <c r="CN281" s="1"/>
      <c r="CO281">
        <v>29.82</v>
      </c>
      <c r="CP281">
        <v>29.4</v>
      </c>
      <c r="CQ281" s="1"/>
      <c r="CR281" s="1"/>
      <c r="CS281" s="1"/>
      <c r="CT281">
        <v>42.73</v>
      </c>
      <c r="CU281">
        <v>42.150002000000001</v>
      </c>
      <c r="CV281" s="1"/>
      <c r="CW281" s="1"/>
      <c r="CX281" s="1"/>
      <c r="CY281">
        <v>39.090000000000003</v>
      </c>
      <c r="CZ281">
        <v>38.349997999999999</v>
      </c>
      <c r="DA281" s="1"/>
      <c r="DB281" s="1"/>
      <c r="DC281" s="1"/>
      <c r="DD281">
        <v>47.709999000000003</v>
      </c>
      <c r="DE281">
        <v>46.779998999999997</v>
      </c>
      <c r="DF281" s="1"/>
      <c r="DG281" s="1"/>
      <c r="DH281" s="1"/>
      <c r="DI281">
        <v>32.880001</v>
      </c>
      <c r="DJ281">
        <v>32.43</v>
      </c>
    </row>
    <row r="282" spans="27:114">
      <c r="AA282" s="10">
        <v>42256</v>
      </c>
      <c r="AB282" s="13">
        <v>47.759998000000003</v>
      </c>
      <c r="AC282" s="13">
        <v>47.290000999999997</v>
      </c>
      <c r="AD282" s="13"/>
      <c r="AE282" s="1"/>
      <c r="AF282" s="1"/>
      <c r="AG282" s="14">
        <v>55.919998</v>
      </c>
      <c r="AH282" s="14">
        <v>54.93</v>
      </c>
      <c r="AI282" s="1"/>
      <c r="AJ282" s="1"/>
      <c r="AK282" s="1"/>
      <c r="AL282">
        <v>18.09</v>
      </c>
      <c r="AM282">
        <v>17.719999000000001</v>
      </c>
      <c r="AN282" s="1"/>
      <c r="AO282" s="1"/>
      <c r="AP282" s="1"/>
      <c r="AQ282">
        <v>62.75</v>
      </c>
      <c r="AR282">
        <v>61.200001</v>
      </c>
      <c r="AS282" s="1"/>
      <c r="AT282" s="1"/>
      <c r="AU282" s="1"/>
      <c r="AV282">
        <v>76.819999999999993</v>
      </c>
      <c r="AW282">
        <v>75.040001000000004</v>
      </c>
      <c r="AX282" s="1"/>
      <c r="AY282" s="1"/>
      <c r="AZ282" s="1"/>
      <c r="BA282">
        <v>69.760002</v>
      </c>
      <c r="BB282">
        <v>68.099997999999999</v>
      </c>
      <c r="BC282" s="1"/>
      <c r="BD282" s="1"/>
      <c r="BE282" s="1"/>
      <c r="BF282">
        <v>58.32</v>
      </c>
      <c r="BG282">
        <v>57.130001</v>
      </c>
      <c r="BH282" s="1"/>
      <c r="BI282" s="1"/>
      <c r="BJ282" s="1"/>
      <c r="BK282">
        <v>46.619999</v>
      </c>
      <c r="BL282">
        <v>45.779998999999997</v>
      </c>
      <c r="BM282" s="1"/>
      <c r="BN282" s="1"/>
      <c r="BO282" s="1"/>
      <c r="BP282">
        <v>97.93</v>
      </c>
      <c r="BQ282">
        <v>95.139999000000003</v>
      </c>
      <c r="BR282" s="1"/>
      <c r="BS282" s="1"/>
      <c r="BT282" s="1"/>
      <c r="BU282">
        <v>51.009998000000003</v>
      </c>
      <c r="BV282">
        <v>50.169998</v>
      </c>
      <c r="BW282" s="1"/>
      <c r="BX282" s="1"/>
      <c r="BY282" s="1"/>
      <c r="BZ282">
        <v>27.5</v>
      </c>
      <c r="CA282">
        <v>26.860001</v>
      </c>
      <c r="CB282" s="1"/>
      <c r="CC282" s="1"/>
      <c r="CD282" s="1"/>
      <c r="CE282">
        <v>59.950001</v>
      </c>
      <c r="CF282">
        <v>59</v>
      </c>
      <c r="CG282" s="1"/>
      <c r="CH282" s="1"/>
      <c r="CI282" s="1"/>
      <c r="CJ282">
        <v>34.93</v>
      </c>
      <c r="CK282">
        <v>34.209999000000003</v>
      </c>
      <c r="CL282" s="1"/>
      <c r="CM282" s="1"/>
      <c r="CN282" s="1"/>
      <c r="CO282">
        <v>30.049999</v>
      </c>
      <c r="CP282">
        <v>29.35</v>
      </c>
      <c r="CQ282" s="1"/>
      <c r="CR282" s="1"/>
      <c r="CS282" s="1"/>
      <c r="CT282">
        <v>42.950001</v>
      </c>
      <c r="CU282">
        <v>42.389999000000003</v>
      </c>
      <c r="CV282" s="1"/>
      <c r="CW282" s="1"/>
      <c r="CX282" s="1"/>
      <c r="CY282">
        <v>39.400002000000001</v>
      </c>
      <c r="CZ282">
        <v>38.669998</v>
      </c>
      <c r="DA282" s="1"/>
      <c r="DB282" s="1"/>
      <c r="DC282" s="1"/>
      <c r="DD282">
        <v>47.810001</v>
      </c>
      <c r="DE282">
        <v>46.810001</v>
      </c>
      <c r="DF282" s="1"/>
      <c r="DG282" s="1"/>
      <c r="DH282" s="1"/>
      <c r="DI282">
        <v>33.229999999999997</v>
      </c>
      <c r="DJ282">
        <v>32.509998000000003</v>
      </c>
    </row>
    <row r="283" spans="27:114">
      <c r="AA283" s="10">
        <v>42255</v>
      </c>
      <c r="AB283" s="13">
        <v>47.380001</v>
      </c>
      <c r="AC283" s="13">
        <v>46.259998000000003</v>
      </c>
      <c r="AD283" s="13"/>
      <c r="AE283" s="1"/>
      <c r="AF283" s="1"/>
      <c r="AG283" s="14">
        <v>55.639999000000003</v>
      </c>
      <c r="AH283" s="14">
        <v>54.849997999999999</v>
      </c>
      <c r="AI283" s="1"/>
      <c r="AJ283" s="1"/>
      <c r="AK283" s="1"/>
      <c r="AL283">
        <v>18.010000000000002</v>
      </c>
      <c r="AM283">
        <v>17.799999</v>
      </c>
      <c r="AN283" s="1"/>
      <c r="AO283" s="1"/>
      <c r="AP283" s="1"/>
      <c r="AQ283">
        <v>62.369999</v>
      </c>
      <c r="AR283">
        <v>61.400002000000001</v>
      </c>
      <c r="AS283" s="1"/>
      <c r="AT283" s="1"/>
      <c r="AU283" s="1"/>
      <c r="AV283">
        <v>76.529999000000004</v>
      </c>
      <c r="AW283">
        <v>75.559997999999993</v>
      </c>
      <c r="AX283" s="1"/>
      <c r="AY283" s="1"/>
      <c r="AZ283" s="1"/>
      <c r="BA283">
        <v>69.370002999999997</v>
      </c>
      <c r="BB283">
        <v>68.540001000000004</v>
      </c>
      <c r="BC283" s="1"/>
      <c r="BD283" s="1"/>
      <c r="BE283" s="1"/>
      <c r="BF283">
        <v>58.360000999999997</v>
      </c>
      <c r="BG283">
        <v>57.349997999999999</v>
      </c>
      <c r="BH283" s="1"/>
      <c r="BI283" s="1"/>
      <c r="BJ283" s="1"/>
      <c r="BK283">
        <v>46.57</v>
      </c>
      <c r="BL283">
        <v>46.07</v>
      </c>
      <c r="BM283" s="1"/>
      <c r="BN283" s="1"/>
      <c r="BO283" s="1"/>
      <c r="BP283">
        <v>97.150002000000001</v>
      </c>
      <c r="BQ283">
        <v>95.699996999999996</v>
      </c>
      <c r="BR283" s="1"/>
      <c r="BS283" s="1"/>
      <c r="BT283" s="1"/>
      <c r="BU283">
        <v>50.82</v>
      </c>
      <c r="BV283">
        <v>50.290000999999997</v>
      </c>
      <c r="BW283" s="1"/>
      <c r="BX283" s="1"/>
      <c r="BY283" s="1"/>
      <c r="BZ283">
        <v>27.32</v>
      </c>
      <c r="CA283">
        <v>27.01</v>
      </c>
      <c r="CB283" s="1"/>
      <c r="CC283" s="1"/>
      <c r="CD283" s="1"/>
      <c r="CE283">
        <v>59.75</v>
      </c>
      <c r="CF283">
        <v>57.990001999999997</v>
      </c>
      <c r="CG283" s="1"/>
      <c r="CH283" s="1"/>
      <c r="CI283" s="1"/>
      <c r="CJ283">
        <v>34.799999</v>
      </c>
      <c r="CK283">
        <v>34.110000999999997</v>
      </c>
      <c r="CL283" s="1"/>
      <c r="CM283" s="1"/>
      <c r="CN283" s="1"/>
      <c r="CO283">
        <v>29.9</v>
      </c>
      <c r="CP283">
        <v>29.52</v>
      </c>
      <c r="CQ283" s="1"/>
      <c r="CR283" s="1"/>
      <c r="CS283" s="1"/>
      <c r="CT283">
        <v>42.75</v>
      </c>
      <c r="CU283">
        <v>42.139999000000003</v>
      </c>
      <c r="CV283" s="1"/>
      <c r="CW283" s="1"/>
      <c r="CX283" s="1"/>
      <c r="CY283">
        <v>39.119999</v>
      </c>
      <c r="CZ283">
        <v>38.529998999999997</v>
      </c>
      <c r="DA283" s="1"/>
      <c r="DB283" s="1"/>
      <c r="DC283" s="1"/>
      <c r="DD283">
        <v>47.400002000000001</v>
      </c>
      <c r="DE283">
        <v>46.900002000000001</v>
      </c>
      <c r="DF283" s="1"/>
      <c r="DG283" s="1"/>
      <c r="DH283" s="1"/>
      <c r="DI283">
        <v>33.099997999999999</v>
      </c>
      <c r="DJ283">
        <v>32.720001000000003</v>
      </c>
    </row>
    <row r="284" spans="27:114">
      <c r="AA284" s="10">
        <v>42251</v>
      </c>
      <c r="AB284" s="13">
        <v>46.509998000000003</v>
      </c>
      <c r="AC284" s="13">
        <v>46.139999000000003</v>
      </c>
      <c r="AD284" s="13"/>
      <c r="AE284" s="1"/>
      <c r="AF284" s="1"/>
      <c r="AG284" s="14">
        <v>55.040000999999997</v>
      </c>
      <c r="AH284" s="14">
        <v>54.27</v>
      </c>
      <c r="AI284" s="1"/>
      <c r="AJ284" s="1"/>
      <c r="AK284" s="1"/>
      <c r="AL284">
        <v>17.790001</v>
      </c>
      <c r="AM284">
        <v>17.540001</v>
      </c>
      <c r="AN284" s="1"/>
      <c r="AO284" s="1"/>
      <c r="AP284" s="1"/>
      <c r="AQ284">
        <v>61.639999000000003</v>
      </c>
      <c r="AR284">
        <v>60.490001999999997</v>
      </c>
      <c r="AS284" s="1"/>
      <c r="AT284" s="1"/>
      <c r="AU284" s="1"/>
      <c r="AV284">
        <v>75.900002000000001</v>
      </c>
      <c r="AW284">
        <v>74.639999000000003</v>
      </c>
      <c r="AX284" s="1"/>
      <c r="AY284" s="1"/>
      <c r="AZ284" s="1"/>
      <c r="BA284">
        <v>68.900002000000001</v>
      </c>
      <c r="BB284">
        <v>67.980002999999996</v>
      </c>
      <c r="BC284" s="1"/>
      <c r="BD284" s="1"/>
      <c r="BE284" s="1"/>
      <c r="BF284">
        <v>57.48</v>
      </c>
      <c r="BG284">
        <v>56.68</v>
      </c>
      <c r="BH284" s="1"/>
      <c r="BI284" s="1"/>
      <c r="BJ284" s="1"/>
      <c r="BK284">
        <v>46.18</v>
      </c>
      <c r="BL284">
        <v>45.630001</v>
      </c>
      <c r="BM284" s="1"/>
      <c r="BN284" s="1"/>
      <c r="BO284" s="1"/>
      <c r="BP284">
        <v>95.260002</v>
      </c>
      <c r="BQ284">
        <v>94.040001000000004</v>
      </c>
      <c r="BR284" s="1"/>
      <c r="BS284" s="1"/>
      <c r="BT284" s="1"/>
      <c r="BU284">
        <v>50.139999000000003</v>
      </c>
      <c r="BV284">
        <v>49.66</v>
      </c>
      <c r="BW284" s="1"/>
      <c r="BX284" s="1"/>
      <c r="BY284" s="1"/>
      <c r="BZ284">
        <v>26.99</v>
      </c>
      <c r="CA284">
        <v>26.610001</v>
      </c>
      <c r="CB284" s="1"/>
      <c r="CC284" s="1"/>
      <c r="CD284" s="1"/>
      <c r="CE284">
        <v>58.009998000000003</v>
      </c>
      <c r="CF284">
        <v>57.330002</v>
      </c>
      <c r="CG284" s="1"/>
      <c r="CH284" s="1"/>
      <c r="CI284" s="1"/>
      <c r="CJ284">
        <v>33.959999000000003</v>
      </c>
      <c r="CK284">
        <v>33.590000000000003</v>
      </c>
      <c r="CL284" s="1"/>
      <c r="CM284" s="1"/>
      <c r="CN284" s="1"/>
      <c r="CO284">
        <v>30.059999000000001</v>
      </c>
      <c r="CP284">
        <v>29.59</v>
      </c>
      <c r="CQ284" s="1"/>
      <c r="CR284" s="1"/>
      <c r="CS284" s="1"/>
      <c r="CT284">
        <v>42.290000999999997</v>
      </c>
      <c r="CU284">
        <v>41.810001</v>
      </c>
      <c r="CV284" s="1"/>
      <c r="CW284" s="1"/>
      <c r="CX284" s="1"/>
      <c r="CY284">
        <v>38.599997999999999</v>
      </c>
      <c r="CZ284">
        <v>38.060001</v>
      </c>
      <c r="DA284" s="1"/>
      <c r="DB284" s="1"/>
      <c r="DC284" s="1"/>
      <c r="DD284">
        <v>46.869999</v>
      </c>
      <c r="DE284">
        <v>46.25</v>
      </c>
      <c r="DF284" s="1"/>
      <c r="DG284" s="1"/>
      <c r="DH284" s="1"/>
      <c r="DI284">
        <v>33.119999</v>
      </c>
      <c r="DJ284">
        <v>32.439999</v>
      </c>
    </row>
    <row r="285" spans="27:114">
      <c r="AA285" s="10">
        <v>42250</v>
      </c>
      <c r="AB285" s="13">
        <v>46.900002000000001</v>
      </c>
      <c r="AC285" s="13">
        <v>45.860000999999997</v>
      </c>
      <c r="AD285" s="13"/>
      <c r="AE285" s="1"/>
      <c r="AF285" s="1"/>
      <c r="AG285" s="14">
        <v>55.759998000000003</v>
      </c>
      <c r="AH285" s="14">
        <v>55.16</v>
      </c>
      <c r="AI285" s="1"/>
      <c r="AJ285" s="1"/>
      <c r="AK285" s="1"/>
      <c r="AL285">
        <v>18.07</v>
      </c>
      <c r="AM285">
        <v>17.75</v>
      </c>
      <c r="AN285" s="1"/>
      <c r="AO285" s="1"/>
      <c r="AP285" s="1"/>
      <c r="AQ285">
        <v>62.220001000000003</v>
      </c>
      <c r="AR285">
        <v>61.619999</v>
      </c>
      <c r="AS285" s="1"/>
      <c r="AT285" s="1"/>
      <c r="AU285" s="1"/>
      <c r="AV285">
        <v>76.919998000000007</v>
      </c>
      <c r="AW285">
        <v>76.059997999999993</v>
      </c>
      <c r="AX285" s="1"/>
      <c r="AY285" s="1"/>
      <c r="AZ285" s="1"/>
      <c r="BA285">
        <v>69.739998</v>
      </c>
      <c r="BB285">
        <v>69.029999000000004</v>
      </c>
      <c r="BC285" s="1"/>
      <c r="BD285" s="1"/>
      <c r="BE285" s="1"/>
      <c r="BF285">
        <v>58.09</v>
      </c>
      <c r="BG285">
        <v>57.349997999999999</v>
      </c>
      <c r="BH285" s="1"/>
      <c r="BI285" s="1"/>
      <c r="BJ285" s="1"/>
      <c r="BK285">
        <v>46.610000999999997</v>
      </c>
      <c r="BL285">
        <v>46.169998</v>
      </c>
      <c r="BM285" s="1"/>
      <c r="BN285" s="1"/>
      <c r="BO285" s="1"/>
      <c r="BP285">
        <v>96</v>
      </c>
      <c r="BQ285">
        <v>94.730002999999996</v>
      </c>
      <c r="BR285" s="1"/>
      <c r="BS285" s="1"/>
      <c r="BT285" s="1"/>
      <c r="BU285">
        <v>50.57</v>
      </c>
      <c r="BV285">
        <v>50</v>
      </c>
      <c r="BW285" s="1"/>
      <c r="BX285" s="1"/>
      <c r="BY285" s="1"/>
      <c r="BZ285">
        <v>27.34</v>
      </c>
      <c r="CA285">
        <v>26.809999000000001</v>
      </c>
      <c r="CB285" s="1"/>
      <c r="CC285" s="1"/>
      <c r="CD285" s="1"/>
      <c r="CE285">
        <v>58.68</v>
      </c>
      <c r="CF285">
        <v>58.02</v>
      </c>
      <c r="CG285" s="1"/>
      <c r="CH285" s="1"/>
      <c r="CI285" s="1"/>
      <c r="CJ285">
        <v>34.189999</v>
      </c>
      <c r="CK285">
        <v>33.330002</v>
      </c>
      <c r="CL285" s="1"/>
      <c r="CM285" s="1"/>
      <c r="CN285" s="1"/>
      <c r="CO285">
        <v>30.48</v>
      </c>
      <c r="CP285">
        <v>30.07</v>
      </c>
      <c r="CQ285" s="1"/>
      <c r="CR285" s="1"/>
      <c r="CS285" s="1"/>
      <c r="CT285">
        <v>42.759998000000003</v>
      </c>
      <c r="CU285">
        <v>42.419998</v>
      </c>
      <c r="CV285" s="1"/>
      <c r="CW285" s="1"/>
      <c r="CX285" s="1"/>
      <c r="CY285">
        <v>39.130001</v>
      </c>
      <c r="CZ285">
        <v>38.639999000000003</v>
      </c>
      <c r="DA285" s="1"/>
      <c r="DB285" s="1"/>
      <c r="DC285" s="1"/>
      <c r="DD285">
        <v>47.240001999999997</v>
      </c>
      <c r="DE285">
        <v>46.669998</v>
      </c>
      <c r="DF285" s="1"/>
      <c r="DG285" s="1"/>
      <c r="DH285" s="1"/>
      <c r="DI285">
        <v>33.479999999999997</v>
      </c>
      <c r="DJ285">
        <v>33.040000999999997</v>
      </c>
    </row>
    <row r="286" spans="27:114">
      <c r="AA286" s="10">
        <v>42249</v>
      </c>
      <c r="AB286" s="13">
        <v>46.639999000000003</v>
      </c>
      <c r="AC286" s="13">
        <v>45.990001999999997</v>
      </c>
      <c r="AD286" s="13"/>
      <c r="AE286" s="1"/>
      <c r="AF286" s="1"/>
      <c r="AG286" s="14">
        <v>55.91</v>
      </c>
      <c r="AH286" s="14">
        <v>54.66</v>
      </c>
      <c r="AI286" s="1"/>
      <c r="AJ286" s="1"/>
      <c r="AK286" s="1"/>
      <c r="AL286">
        <v>18.07</v>
      </c>
      <c r="AM286">
        <v>17.48</v>
      </c>
      <c r="AN286" s="1"/>
      <c r="AO286" s="1"/>
      <c r="AP286" s="1"/>
      <c r="AQ286">
        <v>62.099997999999999</v>
      </c>
      <c r="AR286">
        <v>60.959999000000003</v>
      </c>
      <c r="AS286" s="1"/>
      <c r="AT286" s="1"/>
      <c r="AU286" s="1"/>
      <c r="AV286">
        <v>76.930000000000007</v>
      </c>
      <c r="AW286">
        <v>75.370002999999997</v>
      </c>
      <c r="AX286" s="1"/>
      <c r="AY286" s="1"/>
      <c r="AZ286" s="1"/>
      <c r="BA286">
        <v>69.779999000000004</v>
      </c>
      <c r="BB286">
        <v>68.669998000000007</v>
      </c>
      <c r="BC286" s="1"/>
      <c r="BD286" s="1"/>
      <c r="BE286" s="1"/>
      <c r="BF286">
        <v>57.889999000000003</v>
      </c>
      <c r="BG286">
        <v>57.060001</v>
      </c>
      <c r="BH286" s="1"/>
      <c r="BI286" s="1"/>
      <c r="BJ286" s="1"/>
      <c r="BK286">
        <v>46.619999</v>
      </c>
      <c r="BL286">
        <v>45.880001</v>
      </c>
      <c r="BM286" s="1"/>
      <c r="BN286" s="1"/>
      <c r="BO286" s="1"/>
      <c r="BP286">
        <v>96.419998000000007</v>
      </c>
      <c r="BQ286">
        <v>94.349997999999999</v>
      </c>
      <c r="BR286" s="1"/>
      <c r="BS286" s="1"/>
      <c r="BT286" s="1"/>
      <c r="BU286">
        <v>51.110000999999997</v>
      </c>
      <c r="BV286">
        <v>49.73</v>
      </c>
      <c r="BW286" s="1"/>
      <c r="BX286" s="1"/>
      <c r="BY286" s="1"/>
      <c r="BZ286">
        <v>27.49</v>
      </c>
      <c r="CA286">
        <v>26.549999</v>
      </c>
      <c r="CB286" s="1"/>
      <c r="CC286" s="1"/>
      <c r="CD286" s="1"/>
      <c r="CE286">
        <v>58.73</v>
      </c>
      <c r="CF286">
        <v>57.57</v>
      </c>
      <c r="CG286" s="1"/>
      <c r="CH286" s="1"/>
      <c r="CI286" s="1"/>
      <c r="CJ286">
        <v>33.990001999999997</v>
      </c>
      <c r="CK286">
        <v>33.389999000000003</v>
      </c>
      <c r="CL286" s="1"/>
      <c r="CM286" s="1"/>
      <c r="CN286" s="1"/>
      <c r="CO286">
        <v>30.389999</v>
      </c>
      <c r="CP286">
        <v>29.870000999999998</v>
      </c>
      <c r="CQ286" s="1"/>
      <c r="CR286" s="1"/>
      <c r="CS286" s="1"/>
      <c r="CT286">
        <v>42.810001</v>
      </c>
      <c r="CU286">
        <v>42.139999000000003</v>
      </c>
      <c r="CV286" s="1"/>
      <c r="CW286" s="1"/>
      <c r="CX286" s="1"/>
      <c r="CY286">
        <v>39.419998</v>
      </c>
      <c r="CZ286">
        <v>38.529998999999997</v>
      </c>
      <c r="DA286" s="1"/>
      <c r="DB286" s="1"/>
      <c r="DC286" s="1"/>
      <c r="DD286">
        <v>47.23</v>
      </c>
      <c r="DE286">
        <v>46.23</v>
      </c>
      <c r="DF286" s="1"/>
      <c r="DG286" s="1"/>
      <c r="DH286" s="1"/>
      <c r="DI286">
        <v>33.310001</v>
      </c>
      <c r="DJ286">
        <v>32.799999</v>
      </c>
    </row>
    <row r="287" spans="27:114">
      <c r="AA287" s="10">
        <v>42248</v>
      </c>
      <c r="AB287" s="13">
        <v>47.540000999999997</v>
      </c>
      <c r="AC287" s="13">
        <v>45.91</v>
      </c>
      <c r="AD287" s="13"/>
      <c r="AE287" s="1"/>
      <c r="AF287" s="1"/>
      <c r="AG287" s="14">
        <v>56.110000999999997</v>
      </c>
      <c r="AH287" s="14">
        <v>54.880001</v>
      </c>
      <c r="AI287" s="1"/>
      <c r="AJ287" s="1"/>
      <c r="AK287" s="1"/>
      <c r="AL287">
        <v>18.32</v>
      </c>
      <c r="AM287">
        <v>17.75</v>
      </c>
      <c r="AN287" s="1"/>
      <c r="AO287" s="1"/>
      <c r="AP287" s="1"/>
      <c r="AQ287">
        <v>62.330002</v>
      </c>
      <c r="AR287">
        <v>61.189999</v>
      </c>
      <c r="AS287" s="1"/>
      <c r="AT287" s="1"/>
      <c r="AU287" s="1"/>
      <c r="AV287">
        <v>77.550003000000004</v>
      </c>
      <c r="AW287">
        <v>75.690002000000007</v>
      </c>
      <c r="AX287" s="1"/>
      <c r="AY287" s="1"/>
      <c r="AZ287" s="1"/>
      <c r="BA287">
        <v>70.290001000000004</v>
      </c>
      <c r="BB287">
        <v>68.660004000000001</v>
      </c>
      <c r="BC287" s="1"/>
      <c r="BD287" s="1"/>
      <c r="BE287" s="1"/>
      <c r="BF287">
        <v>58.16</v>
      </c>
      <c r="BG287">
        <v>56.880001</v>
      </c>
      <c r="BH287" s="1"/>
      <c r="BI287" s="1"/>
      <c r="BJ287" s="1"/>
      <c r="BK287">
        <v>46.75</v>
      </c>
      <c r="BL287">
        <v>45.830002</v>
      </c>
      <c r="BM287" s="1"/>
      <c r="BN287" s="1"/>
      <c r="BO287" s="1"/>
      <c r="BP287">
        <v>97.43</v>
      </c>
      <c r="BQ287">
        <v>94.650002000000001</v>
      </c>
      <c r="BR287" s="1"/>
      <c r="BS287" s="1"/>
      <c r="BT287" s="1"/>
      <c r="BU287">
        <v>51.029998999999997</v>
      </c>
      <c r="BV287">
        <v>50.09</v>
      </c>
      <c r="BW287" s="1"/>
      <c r="BX287" s="1"/>
      <c r="BY287" s="1"/>
      <c r="BZ287">
        <v>27.639999</v>
      </c>
      <c r="CA287">
        <v>27.049999</v>
      </c>
      <c r="CB287" s="1"/>
      <c r="CC287" s="1"/>
      <c r="CD287" s="1"/>
      <c r="CE287">
        <v>59.02</v>
      </c>
      <c r="CF287">
        <v>57.779998999999997</v>
      </c>
      <c r="CG287" s="1"/>
      <c r="CH287" s="1"/>
      <c r="CI287" s="1"/>
      <c r="CJ287">
        <v>34.259998000000003</v>
      </c>
      <c r="CK287">
        <v>33.529998999999997</v>
      </c>
      <c r="CL287" s="1"/>
      <c r="CM287" s="1"/>
      <c r="CN287" s="1"/>
      <c r="CO287">
        <v>30.67</v>
      </c>
      <c r="CP287">
        <v>29.83</v>
      </c>
      <c r="CQ287" s="1"/>
      <c r="CR287" s="1"/>
      <c r="CS287" s="1"/>
      <c r="CT287">
        <v>42.950001</v>
      </c>
      <c r="CU287">
        <v>42.220001000000003</v>
      </c>
      <c r="CV287" s="1"/>
      <c r="CW287" s="1"/>
      <c r="CX287" s="1"/>
      <c r="CY287">
        <v>39.82</v>
      </c>
      <c r="CZ287">
        <v>38.740001999999997</v>
      </c>
      <c r="DA287" s="1"/>
      <c r="DB287" s="1"/>
      <c r="DC287" s="1"/>
      <c r="DD287">
        <v>49.369999</v>
      </c>
      <c r="DE287">
        <v>46.450001</v>
      </c>
      <c r="DF287" s="1"/>
      <c r="DG287" s="1"/>
      <c r="DH287" s="1"/>
      <c r="DI287">
        <v>33.470001000000003</v>
      </c>
      <c r="DJ287">
        <v>32.82</v>
      </c>
    </row>
    <row r="288" spans="27:114">
      <c r="AD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</row>
    <row r="289" spans="94:196"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</row>
    <row r="290" spans="94:196"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</row>
    <row r="291" spans="94:196"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Q291" s="204"/>
      <c r="DR291" s="204"/>
      <c r="DS291" s="204"/>
      <c r="DT291" s="204"/>
      <c r="DU291" s="204"/>
      <c r="DV291" s="204"/>
      <c r="DW291" s="204"/>
      <c r="DX291" s="204"/>
      <c r="DY291" s="204"/>
      <c r="DZ291" s="204"/>
      <c r="EA291" s="238" t="s">
        <v>311</v>
      </c>
      <c r="EB291" s="238"/>
      <c r="EC291" s="238"/>
      <c r="ED291" s="238"/>
      <c r="EE291" s="238"/>
      <c r="EF291" s="238"/>
      <c r="EG291" s="238"/>
      <c r="EH291" s="238"/>
      <c r="EI291" s="204"/>
      <c r="EJ291" s="204"/>
      <c r="EK291" s="204"/>
      <c r="EL291" s="204"/>
      <c r="EM291" s="204"/>
      <c r="EN291" s="204"/>
      <c r="EO291" s="204"/>
      <c r="EP291" s="204"/>
      <c r="EQ291" s="204"/>
      <c r="ER291" s="204"/>
      <c r="ES291" s="41"/>
      <c r="ET291" s="41"/>
      <c r="EU291" s="41"/>
      <c r="EV291" s="41"/>
      <c r="EW291" s="41"/>
      <c r="EX291" s="41"/>
      <c r="EY291" s="41"/>
      <c r="EZ291" s="41"/>
      <c r="FA291" s="41"/>
      <c r="FB291" s="41"/>
      <c r="FC291" s="41"/>
      <c r="FD291" s="41"/>
      <c r="FE291" s="41"/>
      <c r="FF291" s="41"/>
      <c r="FG291" s="41"/>
      <c r="FH291" s="41"/>
      <c r="FI291" s="41"/>
      <c r="FJ291" s="41"/>
      <c r="FK291" s="41"/>
      <c r="FL291" s="41"/>
      <c r="FM291" s="41"/>
      <c r="FN291" s="41"/>
      <c r="FO291" s="41"/>
      <c r="FP291" s="41"/>
      <c r="FQ291" s="41"/>
      <c r="FR291" s="41"/>
      <c r="FS291" s="41"/>
      <c r="FT291" s="41"/>
      <c r="FU291" s="41"/>
      <c r="FV291" s="41"/>
      <c r="FW291" s="41"/>
      <c r="FX291" s="41"/>
      <c r="FY291" s="41"/>
      <c r="FZ291" s="41"/>
      <c r="GA291" s="41"/>
      <c r="GB291" s="41"/>
      <c r="GC291" s="41"/>
      <c r="GD291" s="41"/>
      <c r="GE291" s="41"/>
      <c r="GF291" s="41"/>
      <c r="GG291" s="41"/>
      <c r="GH291" s="41"/>
      <c r="GI291" s="41"/>
      <c r="GJ291" s="41"/>
      <c r="GK291" s="41"/>
      <c r="GL291" s="41"/>
      <c r="GM291" s="41"/>
      <c r="GN291" s="41"/>
    </row>
    <row r="292" spans="94:196"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Q292" s="204"/>
      <c r="DR292" s="204"/>
      <c r="DS292" s="204"/>
      <c r="DT292" s="204"/>
      <c r="DU292" s="204"/>
      <c r="DV292" s="204"/>
      <c r="DW292" s="204"/>
      <c r="DX292" s="204"/>
      <c r="DY292" s="204"/>
      <c r="DZ292" s="204"/>
      <c r="EA292" s="204"/>
      <c r="EB292" s="204"/>
      <c r="EC292" s="204"/>
      <c r="ED292" s="204"/>
      <c r="EE292" s="204"/>
      <c r="EF292" s="204"/>
      <c r="EG292" s="204"/>
      <c r="EH292" s="204"/>
      <c r="EI292" s="204"/>
      <c r="EJ292" s="204"/>
      <c r="EK292" s="204"/>
      <c r="EL292" s="204"/>
      <c r="EM292" s="204"/>
      <c r="EN292" s="204"/>
      <c r="EO292" s="204"/>
      <c r="EP292" s="204"/>
      <c r="EQ292" s="204"/>
      <c r="ER292" s="204"/>
      <c r="ES292" s="41"/>
      <c r="ET292" s="41"/>
      <c r="EU292" s="41"/>
      <c r="EV292" s="41"/>
      <c r="EW292" s="41"/>
      <c r="EX292" s="41"/>
      <c r="EY292" s="41"/>
      <c r="EZ292" s="41"/>
      <c r="FA292" s="41"/>
      <c r="FB292" s="41"/>
      <c r="FC292" s="41"/>
      <c r="FD292" s="41"/>
      <c r="FE292" s="41"/>
      <c r="FF292" s="41"/>
      <c r="FG292" s="41"/>
      <c r="FH292" s="41"/>
      <c r="FI292" s="41"/>
      <c r="FJ292" s="41"/>
      <c r="FK292" s="41"/>
      <c r="FL292" s="41"/>
      <c r="FM292" s="41"/>
      <c r="FN292" s="41"/>
      <c r="FO292" s="41"/>
      <c r="FP292" s="41"/>
      <c r="FQ292" s="41"/>
      <c r="FR292" s="41"/>
      <c r="FS292" s="41"/>
      <c r="FT292" s="41"/>
      <c r="FU292" s="41"/>
      <c r="FV292" s="41"/>
      <c r="FW292" s="41"/>
      <c r="FX292" s="41"/>
      <c r="FY292" s="41"/>
      <c r="FZ292" s="41"/>
      <c r="GA292" s="41"/>
      <c r="GB292" s="41"/>
      <c r="GC292" s="41"/>
      <c r="GD292" s="41"/>
      <c r="GE292" s="41"/>
      <c r="GF292" s="41"/>
      <c r="GG292" s="41"/>
      <c r="GH292" s="41"/>
      <c r="GI292" s="41"/>
      <c r="GJ292" s="41"/>
      <c r="GK292" s="41"/>
      <c r="GL292" s="41"/>
      <c r="GM292" s="41"/>
      <c r="GN292" s="41"/>
    </row>
    <row r="293" spans="94:196"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Q293" s="204"/>
      <c r="DR293" s="204"/>
      <c r="DS293" s="204"/>
      <c r="DT293" s="204"/>
      <c r="DU293" s="204"/>
      <c r="DV293" s="204"/>
      <c r="DW293" s="204"/>
      <c r="DX293" s="204"/>
      <c r="DY293" s="204"/>
      <c r="DZ293" s="204"/>
      <c r="EA293" s="204"/>
      <c r="EB293" s="204"/>
      <c r="EC293" s="204"/>
      <c r="ED293" s="204"/>
      <c r="EE293" s="204"/>
      <c r="EF293" s="204"/>
      <c r="EG293" s="204"/>
      <c r="EH293" s="204"/>
      <c r="EI293" s="204"/>
      <c r="EJ293" s="204"/>
      <c r="EK293" s="204"/>
      <c r="EL293" s="204"/>
      <c r="EM293" s="204"/>
      <c r="EN293" s="204"/>
      <c r="EO293" s="204"/>
      <c r="EP293" s="204"/>
      <c r="EQ293" s="204"/>
      <c r="ER293" s="204"/>
      <c r="ES293" s="41"/>
      <c r="ET293" s="41"/>
      <c r="EU293" s="41"/>
      <c r="EV293" s="41"/>
      <c r="EW293" s="41"/>
      <c r="EX293" s="41"/>
      <c r="EY293" s="41"/>
      <c r="EZ293" s="41"/>
      <c r="FA293" s="41"/>
      <c r="FB293" s="41"/>
      <c r="FC293" s="41"/>
      <c r="FD293" s="41"/>
      <c r="FE293" s="41"/>
      <c r="FF293" s="41"/>
      <c r="FG293" s="41"/>
      <c r="FH293" s="41"/>
      <c r="FI293" s="41"/>
      <c r="FJ293" s="41"/>
      <c r="FK293" s="41"/>
      <c r="FL293" s="41"/>
      <c r="FM293" s="41"/>
      <c r="FN293" s="41"/>
      <c r="FO293" s="41"/>
      <c r="FP293" s="41"/>
      <c r="FQ293" s="41"/>
      <c r="FR293" s="41"/>
      <c r="FS293" s="41"/>
      <c r="FT293" s="41"/>
      <c r="FU293" s="41"/>
      <c r="FV293" s="41"/>
      <c r="FW293" s="41"/>
      <c r="FX293" s="41"/>
      <c r="FY293" s="41"/>
      <c r="FZ293" s="41"/>
      <c r="GA293" s="41"/>
      <c r="GB293" s="41"/>
      <c r="GC293" s="41"/>
      <c r="GD293" s="41"/>
      <c r="GE293" s="41"/>
      <c r="GF293" s="41"/>
      <c r="GG293" s="41"/>
      <c r="GH293" s="41"/>
      <c r="GI293" s="41"/>
      <c r="GJ293" s="41"/>
      <c r="GK293" s="41"/>
      <c r="GL293" s="41"/>
      <c r="GM293" s="41"/>
      <c r="GN293" s="41"/>
    </row>
    <row r="294" spans="94:196"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Q294" s="204"/>
      <c r="DR294" s="204"/>
      <c r="DS294" s="239" t="s">
        <v>277</v>
      </c>
      <c r="DT294" s="240"/>
      <c r="DU294" s="240"/>
      <c r="DV294" s="241"/>
      <c r="DW294" s="240" t="s">
        <v>278</v>
      </c>
      <c r="DX294" s="240"/>
      <c r="DY294" s="240"/>
      <c r="DZ294" s="241"/>
      <c r="EA294" s="240" t="s">
        <v>279</v>
      </c>
      <c r="EB294" s="240"/>
      <c r="EC294" s="240"/>
      <c r="ED294" s="241"/>
      <c r="EE294" s="240" t="s">
        <v>280</v>
      </c>
      <c r="EF294" s="240"/>
      <c r="EG294" s="240"/>
      <c r="EH294" s="241"/>
      <c r="EI294" s="240" t="s">
        <v>281</v>
      </c>
      <c r="EJ294" s="240"/>
      <c r="EK294" s="240"/>
      <c r="EL294" s="241"/>
      <c r="EM294" s="239" t="s">
        <v>282</v>
      </c>
      <c r="EN294" s="240"/>
      <c r="EO294" s="240"/>
      <c r="EP294" s="241"/>
      <c r="EQ294" s="205"/>
      <c r="ER294" s="205"/>
      <c r="ES294" s="146"/>
      <c r="ET294" s="146"/>
      <c r="EU294" s="41"/>
      <c r="EV294" s="41"/>
      <c r="EW294" s="41"/>
      <c r="EX294" s="41"/>
      <c r="EY294" s="41"/>
      <c r="EZ294" s="41"/>
      <c r="FA294" s="41"/>
      <c r="FB294" s="41"/>
      <c r="FC294" s="41"/>
      <c r="FD294" s="41"/>
      <c r="FE294" s="41"/>
      <c r="FF294" s="41"/>
      <c r="FG294" s="41"/>
      <c r="FH294" s="41"/>
      <c r="FI294" s="41"/>
      <c r="FJ294" s="41"/>
      <c r="FK294" s="41"/>
      <c r="FL294" s="41"/>
      <c r="FM294" s="41"/>
      <c r="FN294" s="41"/>
      <c r="FO294" s="41"/>
      <c r="FP294" s="41"/>
      <c r="FQ294" s="41"/>
      <c r="FR294" s="41"/>
      <c r="FS294" s="41"/>
      <c r="FT294" s="41"/>
      <c r="FU294" s="41"/>
      <c r="FV294" s="41"/>
      <c r="FW294" s="41"/>
      <c r="FX294" s="41"/>
      <c r="FY294" s="41"/>
      <c r="FZ294" s="41"/>
      <c r="GA294" s="41"/>
      <c r="GB294" s="41"/>
      <c r="GC294" s="41"/>
      <c r="GD294" s="41"/>
      <c r="GE294" s="41"/>
      <c r="GF294" s="41"/>
      <c r="GG294" s="41"/>
      <c r="GH294" s="41"/>
      <c r="GI294" s="41"/>
      <c r="GJ294" s="41"/>
      <c r="GK294" s="41"/>
      <c r="GL294" s="41"/>
      <c r="GM294" s="41"/>
      <c r="GN294" s="41"/>
    </row>
    <row r="295" spans="94:196"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Q295" s="204"/>
      <c r="DR295" s="204"/>
      <c r="DS295" s="225"/>
      <c r="DT295" s="206"/>
      <c r="DU295" s="206" t="s">
        <v>273</v>
      </c>
      <c r="DV295" s="207"/>
      <c r="DW295" s="206"/>
      <c r="DX295" s="206"/>
      <c r="DY295" s="206" t="s">
        <v>273</v>
      </c>
      <c r="DZ295" s="207"/>
      <c r="EA295" s="206"/>
      <c r="EB295" s="206"/>
      <c r="EC295" s="206" t="s">
        <v>273</v>
      </c>
      <c r="ED295" s="207"/>
      <c r="EE295" s="206"/>
      <c r="EF295" s="206"/>
      <c r="EG295" s="206" t="s">
        <v>273</v>
      </c>
      <c r="EH295" s="207"/>
      <c r="EI295" s="206"/>
      <c r="EJ295" s="206"/>
      <c r="EK295" s="206" t="s">
        <v>273</v>
      </c>
      <c r="EL295" s="207"/>
      <c r="EM295" s="206"/>
      <c r="EN295" s="206"/>
      <c r="EO295" s="206" t="s">
        <v>273</v>
      </c>
      <c r="EP295" s="207"/>
      <c r="EQ295" s="206"/>
      <c r="ER295" s="206" t="s">
        <v>191</v>
      </c>
      <c r="ES295" s="47"/>
      <c r="ET295" s="47"/>
      <c r="EU295" s="41"/>
      <c r="EV295" s="41"/>
      <c r="EW295" s="41"/>
      <c r="EX295" s="41"/>
      <c r="EY295" s="41"/>
      <c r="EZ295" s="41"/>
      <c r="FA295" s="41"/>
      <c r="FB295" s="41"/>
      <c r="FC295" s="41"/>
      <c r="FD295" s="41"/>
      <c r="FE295" s="41"/>
      <c r="FF295" s="41"/>
      <c r="FG295" s="41"/>
      <c r="FH295" s="41"/>
      <c r="FI295" s="41"/>
      <c r="FJ295" s="41"/>
      <c r="FK295" s="41"/>
      <c r="FL295" s="41"/>
      <c r="FM295" s="41"/>
      <c r="FN295" s="41"/>
      <c r="FO295" s="41"/>
      <c r="FP295" s="41"/>
      <c r="FQ295" s="41"/>
      <c r="FR295" s="41"/>
      <c r="FS295" s="41"/>
      <c r="FT295" s="41"/>
      <c r="FU295" s="41"/>
      <c r="FV295" s="41"/>
      <c r="FW295" s="41"/>
      <c r="FX295" s="41"/>
      <c r="FY295" s="41"/>
      <c r="FZ295" s="41"/>
      <c r="GA295" s="41"/>
      <c r="GB295" s="41"/>
      <c r="GC295" s="41"/>
      <c r="GD295" s="41"/>
      <c r="GE295" s="41"/>
      <c r="GF295" s="41"/>
      <c r="GG295" s="41"/>
      <c r="GH295" s="41"/>
      <c r="GI295" s="41"/>
      <c r="GJ295" s="41"/>
      <c r="GK295" s="41"/>
      <c r="GL295" s="41"/>
      <c r="GM295" s="41"/>
      <c r="GN295" s="41"/>
    </row>
    <row r="296" spans="94:196"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Q296" s="204"/>
      <c r="DR296" s="204"/>
      <c r="DS296" s="225" t="s">
        <v>112</v>
      </c>
      <c r="DT296" s="206" t="s">
        <v>113</v>
      </c>
      <c r="DU296" s="206" t="s">
        <v>275</v>
      </c>
      <c r="DV296" s="207" t="s">
        <v>274</v>
      </c>
      <c r="DW296" s="206" t="s">
        <v>112</v>
      </c>
      <c r="DX296" s="206" t="s">
        <v>113</v>
      </c>
      <c r="DY296" s="206" t="s">
        <v>275</v>
      </c>
      <c r="DZ296" s="207" t="s">
        <v>274</v>
      </c>
      <c r="EA296" s="206" t="s">
        <v>112</v>
      </c>
      <c r="EB296" s="206" t="s">
        <v>113</v>
      </c>
      <c r="EC296" s="206" t="s">
        <v>275</v>
      </c>
      <c r="ED296" s="207" t="s">
        <v>274</v>
      </c>
      <c r="EE296" s="206" t="s">
        <v>112</v>
      </c>
      <c r="EF296" s="206" t="s">
        <v>113</v>
      </c>
      <c r="EG296" s="206" t="s">
        <v>275</v>
      </c>
      <c r="EH296" s="207" t="s">
        <v>274</v>
      </c>
      <c r="EI296" s="206" t="s">
        <v>112</v>
      </c>
      <c r="EJ296" s="206" t="s">
        <v>113</v>
      </c>
      <c r="EK296" s="206" t="s">
        <v>275</v>
      </c>
      <c r="EL296" s="207" t="s">
        <v>274</v>
      </c>
      <c r="EM296" s="206" t="s">
        <v>112</v>
      </c>
      <c r="EN296" s="206" t="s">
        <v>113</v>
      </c>
      <c r="EO296" s="206" t="s">
        <v>275</v>
      </c>
      <c r="EP296" s="207" t="s">
        <v>274</v>
      </c>
      <c r="EQ296" s="206"/>
      <c r="ER296" s="206" t="s">
        <v>274</v>
      </c>
      <c r="ES296" s="47"/>
      <c r="ET296" s="47"/>
      <c r="EU296" s="41"/>
      <c r="EV296" s="41"/>
      <c r="EW296" s="41"/>
      <c r="EX296" s="41"/>
      <c r="EY296" s="41"/>
      <c r="EZ296" s="41"/>
      <c r="FA296" s="41"/>
      <c r="FB296" s="41"/>
      <c r="FC296" s="41"/>
      <c r="FD296" s="41"/>
      <c r="FE296" s="41"/>
      <c r="FF296" s="41"/>
      <c r="FG296" s="41"/>
      <c r="FH296" s="41"/>
      <c r="FI296" s="41"/>
      <c r="FJ296" s="41"/>
      <c r="FK296" s="41"/>
      <c r="FL296" s="41"/>
      <c r="FM296" s="41"/>
      <c r="FN296" s="41"/>
      <c r="FO296" s="41"/>
      <c r="FP296" s="41"/>
      <c r="FQ296" s="41"/>
      <c r="FR296" s="41"/>
      <c r="FS296" s="41"/>
      <c r="FT296" s="41"/>
      <c r="FU296" s="41"/>
      <c r="FV296" s="41"/>
      <c r="FW296" s="41"/>
      <c r="FX296" s="41"/>
      <c r="FY296" s="41"/>
      <c r="FZ296" s="41"/>
      <c r="GA296" s="41"/>
      <c r="GB296" s="41"/>
      <c r="GC296" s="41"/>
      <c r="GD296" s="41"/>
      <c r="GE296" s="41"/>
      <c r="GF296" s="41"/>
      <c r="GG296" s="41"/>
      <c r="GH296" s="41"/>
      <c r="GI296" s="41"/>
      <c r="GJ296" s="41"/>
      <c r="GK296" s="41"/>
      <c r="GL296" s="41"/>
      <c r="GM296" s="41"/>
      <c r="GN296" s="41"/>
    </row>
    <row r="297" spans="94:196"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P297" s="208" t="s">
        <v>105</v>
      </c>
      <c r="DQ297" s="208" t="s">
        <v>48</v>
      </c>
      <c r="DR297" s="209" t="s">
        <v>49</v>
      </c>
      <c r="DS297" s="226" t="s">
        <v>272</v>
      </c>
      <c r="DT297" s="209" t="s">
        <v>272</v>
      </c>
      <c r="DU297" s="209" t="s">
        <v>274</v>
      </c>
      <c r="DV297" s="210" t="s">
        <v>276</v>
      </c>
      <c r="DW297" s="209" t="s">
        <v>272</v>
      </c>
      <c r="DX297" s="209" t="s">
        <v>272</v>
      </c>
      <c r="DY297" s="209" t="s">
        <v>274</v>
      </c>
      <c r="DZ297" s="210" t="s">
        <v>276</v>
      </c>
      <c r="EA297" s="209" t="s">
        <v>272</v>
      </c>
      <c r="EB297" s="209" t="s">
        <v>272</v>
      </c>
      <c r="EC297" s="209" t="s">
        <v>274</v>
      </c>
      <c r="ED297" s="210" t="s">
        <v>276</v>
      </c>
      <c r="EE297" s="209" t="s">
        <v>272</v>
      </c>
      <c r="EF297" s="209" t="s">
        <v>272</v>
      </c>
      <c r="EG297" s="209" t="s">
        <v>274</v>
      </c>
      <c r="EH297" s="210" t="s">
        <v>276</v>
      </c>
      <c r="EI297" s="209" t="s">
        <v>272</v>
      </c>
      <c r="EJ297" s="209" t="s">
        <v>272</v>
      </c>
      <c r="EK297" s="209" t="s">
        <v>274</v>
      </c>
      <c r="EL297" s="210" t="s">
        <v>276</v>
      </c>
      <c r="EM297" s="209" t="s">
        <v>272</v>
      </c>
      <c r="EN297" s="209" t="s">
        <v>272</v>
      </c>
      <c r="EO297" s="209" t="s">
        <v>274</v>
      </c>
      <c r="EP297" s="210" t="s">
        <v>276</v>
      </c>
      <c r="EQ297" s="206"/>
      <c r="ER297" s="209" t="s">
        <v>276</v>
      </c>
      <c r="ES297" s="47"/>
      <c r="ET297" s="47"/>
      <c r="EU297" s="41"/>
      <c r="EV297" s="41"/>
    </row>
    <row r="298" spans="94:196"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P298" s="206">
        <v>1</v>
      </c>
      <c r="DQ298" s="204" t="s">
        <v>13</v>
      </c>
      <c r="DR298" s="211" t="s">
        <v>50</v>
      </c>
      <c r="DS298" s="224">
        <f>MAX(AB267:AB287)</f>
        <v>51.130001</v>
      </c>
      <c r="DT298" s="212">
        <f>MIN(AC267:AC287)</f>
        <v>45.860000999999997</v>
      </c>
      <c r="DU298" s="212">
        <f>AE267</f>
        <v>2.02</v>
      </c>
      <c r="DV298" s="213">
        <f>DU298/((DS298+DT298)/2)</f>
        <v>4.1653777881146964E-2</v>
      </c>
      <c r="DW298" s="223">
        <f>MAX(AB245:AB266)</f>
        <v>52.900002000000001</v>
      </c>
      <c r="DX298" s="212">
        <f>MIN(AC245:AC266)</f>
        <v>49.290000999999997</v>
      </c>
      <c r="DY298" s="212">
        <f>AE245</f>
        <v>2.02</v>
      </c>
      <c r="DZ298" s="213">
        <f>DY298/((DW298+DX298)/2)</f>
        <v>3.9534199837532057E-2</v>
      </c>
      <c r="EA298" s="223">
        <f>MAX(AB225:AB244)</f>
        <v>52.779998999999997</v>
      </c>
      <c r="EB298" s="212">
        <f>MIN(AB225:AB244)</f>
        <v>50.59</v>
      </c>
      <c r="EC298" s="212">
        <f>AE225</f>
        <v>2.02</v>
      </c>
      <c r="ED298" s="213">
        <f>EC298/((EA298+EB298)/2)</f>
        <v>3.9082906443677144E-2</v>
      </c>
      <c r="EE298" s="223">
        <f>MAX(AB203:AB224)</f>
        <v>51.849997999999999</v>
      </c>
      <c r="EF298" s="212">
        <f>MIN(AC203:AC224)</f>
        <v>47.93</v>
      </c>
      <c r="EG298" s="212">
        <f>AE203</f>
        <v>2.02</v>
      </c>
      <c r="EH298" s="213">
        <f>EG298/((EE298+EF298)/2)</f>
        <v>4.0489076778694663E-2</v>
      </c>
      <c r="EI298" s="223">
        <f>MAX(AB184:AB202)</f>
        <v>53.740001999999997</v>
      </c>
      <c r="EJ298" s="212">
        <f>MIN(AB184:AB202)</f>
        <v>50.029998999999997</v>
      </c>
      <c r="EK298" s="212">
        <f>AE184</f>
        <v>2.08</v>
      </c>
      <c r="EL298" s="213">
        <f>EK298/((EI298+EJ298)/2)</f>
        <v>4.0088657221849698E-2</v>
      </c>
      <c r="EM298" s="223">
        <f>MAX(AB164:AB183)</f>
        <v>54.959999000000003</v>
      </c>
      <c r="EN298" s="212">
        <f>MIN(AC164:AC183)</f>
        <v>50.830002</v>
      </c>
      <c r="EO298" s="212">
        <f>AE164</f>
        <v>2.08</v>
      </c>
      <c r="EP298" s="227">
        <f>EO298/((EM298+EN298)/2)</f>
        <v>3.9323187075118754E-2</v>
      </c>
      <c r="EQ298" s="204"/>
      <c r="ER298" s="213">
        <f>AVERAGE(DV298,DZ298,ED298,EH298,EL298,EP298)</f>
        <v>4.0028634206336546E-2</v>
      </c>
      <c r="ES298" s="41"/>
      <c r="ET298" s="41"/>
      <c r="EU298" s="41"/>
      <c r="EV298" s="41"/>
    </row>
    <row r="299" spans="94:196"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P299" s="211">
        <f>DP298+1</f>
        <v>2</v>
      </c>
      <c r="DQ299" s="204" t="s">
        <v>43</v>
      </c>
      <c r="DR299" s="211" t="s">
        <v>51</v>
      </c>
      <c r="DS299" s="224">
        <f>MAX(AG267:AG287)</f>
        <v>58.639999000000003</v>
      </c>
      <c r="DT299" s="212">
        <f>MIN(AH267:AH287)</f>
        <v>54.27</v>
      </c>
      <c r="DU299" s="212">
        <f>AJ267</f>
        <v>2.2000000000000002</v>
      </c>
      <c r="DV299" s="213">
        <f t="shared" ref="DV299:DV315" si="36">DU299/((DS299+DT299)/2)</f>
        <v>3.896909077113711E-2</v>
      </c>
      <c r="DW299" s="224">
        <f>MAX(AG245:AG266)</f>
        <v>61.669998</v>
      </c>
      <c r="DX299" s="212">
        <f>MIN(AH245:AH266)</f>
        <v>57.18</v>
      </c>
      <c r="DY299" s="212">
        <f>AJ245</f>
        <v>2.2000000000000002</v>
      </c>
      <c r="DZ299" s="213">
        <f t="shared" ref="DZ299:DZ315" si="37">DY299/((DW299+DX299)/2)</f>
        <v>3.7021456239317733E-2</v>
      </c>
      <c r="EA299" s="224">
        <f>MAX(AG225:AG244)</f>
        <v>61.16</v>
      </c>
      <c r="EB299" s="212">
        <f>MIN(AH225:AH244)</f>
        <v>56.139999000000003</v>
      </c>
      <c r="EC299" s="212">
        <f>AJ225</f>
        <v>2.35</v>
      </c>
      <c r="ED299" s="213">
        <f t="shared" ref="ED299:ED315" si="38">EC299/((EA299+EB299)/2)</f>
        <v>4.0068201535108282E-2</v>
      </c>
      <c r="EE299" s="224">
        <f>MAX(AG203:AG224)</f>
        <v>64.25</v>
      </c>
      <c r="EF299" s="212">
        <f>MIN(AH203:AH224)</f>
        <v>58.130001</v>
      </c>
      <c r="EG299" s="212">
        <f>AJ203</f>
        <v>2.35</v>
      </c>
      <c r="EH299" s="213">
        <f t="shared" ref="EH299:EH315" si="39">EG299/((EE299+EF299)/2)</f>
        <v>3.8404967818230371E-2</v>
      </c>
      <c r="EI299" s="224">
        <f>MAX(AG184:AG202)</f>
        <v>65.349997999999999</v>
      </c>
      <c r="EJ299" s="212">
        <f>MIN(AH184:AH202)</f>
        <v>60.75</v>
      </c>
      <c r="EK299" s="212">
        <f>AJ184</f>
        <v>2.35</v>
      </c>
      <c r="EL299" s="213">
        <f t="shared" ref="EL299:EL315" si="40">EK299/((EI299+EJ299)/2)</f>
        <v>3.7272006935321282E-2</v>
      </c>
      <c r="EM299" s="224">
        <f>MAX(AG164:AG183)</f>
        <v>70.25</v>
      </c>
      <c r="EN299" s="212">
        <f>MIN(AH164:AH183)</f>
        <v>64.760002</v>
      </c>
      <c r="EO299" s="212">
        <f>AJ164</f>
        <v>2.35</v>
      </c>
      <c r="EP299" s="227">
        <f t="shared" ref="EP299:EP315" si="41">EO299/((EM299+EN299)/2)</f>
        <v>3.4812235614958366E-2</v>
      </c>
      <c r="EQ299" s="204"/>
      <c r="ER299" s="213">
        <f t="shared" ref="ER299:ER315" si="42">AVERAGE(DV299,DZ299,ED299,EH299,EL299,EP299)</f>
        <v>3.7757993152345529E-2</v>
      </c>
      <c r="ES299" s="41"/>
      <c r="ET299" s="41"/>
      <c r="EU299" s="41"/>
      <c r="EV299" s="41"/>
    </row>
    <row r="300" spans="94:196"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P300" s="211">
        <f t="shared" ref="DP300:DP315" si="43">DP299+1</f>
        <v>3</v>
      </c>
      <c r="DQ300" s="204" t="s">
        <v>17</v>
      </c>
      <c r="DR300" s="211" t="s">
        <v>55</v>
      </c>
      <c r="DS300" s="224">
        <f>MAX(AL267:AL287)</f>
        <v>18.57</v>
      </c>
      <c r="DT300" s="212">
        <f>MIN(AM267:AM287)</f>
        <v>17.48</v>
      </c>
      <c r="DU300" s="212">
        <f>AO267</f>
        <v>0.99</v>
      </c>
      <c r="DV300" s="213">
        <f t="shared" si="36"/>
        <v>5.4923717059639394E-2</v>
      </c>
      <c r="DW300" s="224">
        <f>MAX(AL245:AL266)</f>
        <v>19.260000000000002</v>
      </c>
      <c r="DX300" s="212">
        <f>MIN(AM245:AM266)</f>
        <v>17.600000000000001</v>
      </c>
      <c r="DY300" s="212">
        <f>AO245</f>
        <v>0.99</v>
      </c>
      <c r="DZ300" s="213">
        <f t="shared" si="37"/>
        <v>5.3716766142159526E-2</v>
      </c>
      <c r="EA300" s="224">
        <f>MAX(AL225:AL244)</f>
        <v>18.899999999999999</v>
      </c>
      <c r="EB300" s="212">
        <f>MIN(AM225:AM244)</f>
        <v>16.850000000000001</v>
      </c>
      <c r="EC300" s="212">
        <f>AO225</f>
        <v>0.99</v>
      </c>
      <c r="ED300" s="213">
        <f t="shared" si="38"/>
        <v>5.5384615384615386E-2</v>
      </c>
      <c r="EE300" s="224">
        <f>MAX(AL203:AL224)</f>
        <v>18.48</v>
      </c>
      <c r="EF300" s="212">
        <f>MIN(AM203:AM224)</f>
        <v>16.049999</v>
      </c>
      <c r="EG300" s="212">
        <f>AO203</f>
        <v>0.99</v>
      </c>
      <c r="EH300" s="213">
        <f t="shared" si="39"/>
        <v>5.7341443884779721E-2</v>
      </c>
      <c r="EI300" s="224">
        <f>MAX(AL184:AL202)</f>
        <v>18.489999999999998</v>
      </c>
      <c r="EJ300" s="212">
        <f>MIN(AM184:AM202)</f>
        <v>16.379999000000002</v>
      </c>
      <c r="EK300" s="212">
        <f>AO184</f>
        <v>1.03</v>
      </c>
      <c r="EL300" s="213">
        <f t="shared" si="40"/>
        <v>5.9076571811774357E-2</v>
      </c>
      <c r="EM300" s="224">
        <f>MAX(AL164:AL183)</f>
        <v>19.27</v>
      </c>
      <c r="EN300" s="212">
        <f>MIN(AM164:AM183)</f>
        <v>17.52</v>
      </c>
      <c r="EO300" s="212">
        <f>AO164</f>
        <v>1.03</v>
      </c>
      <c r="EP300" s="227">
        <f t="shared" si="41"/>
        <v>5.5993476488176139E-2</v>
      </c>
      <c r="EQ300" s="204"/>
      <c r="ER300" s="213">
        <f t="shared" si="42"/>
        <v>5.6072765128524084E-2</v>
      </c>
      <c r="ES300" s="41"/>
      <c r="ET300" s="41"/>
      <c r="EU300" s="41"/>
      <c r="EV300" s="41"/>
    </row>
    <row r="301" spans="94:196"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P301" s="211">
        <f t="shared" si="43"/>
        <v>4</v>
      </c>
      <c r="DQ301" s="204" t="s">
        <v>0</v>
      </c>
      <c r="DR301" s="211" t="s">
        <v>59</v>
      </c>
      <c r="DS301" s="224">
        <f>MAX(AQ267:AQ287)</f>
        <v>66.970000999999996</v>
      </c>
      <c r="DT301" s="212">
        <f>MIN(AR267:AR287)</f>
        <v>60.490001999999997</v>
      </c>
      <c r="DU301" s="212">
        <f>AT267</f>
        <v>2.6</v>
      </c>
      <c r="DV301" s="213">
        <f t="shared" si="36"/>
        <v>4.0797111859474849E-2</v>
      </c>
      <c r="DW301" s="224">
        <f>MAX(AQ245:AQ266)</f>
        <v>67.940002000000007</v>
      </c>
      <c r="DX301" s="212">
        <f>MIN(AR245:AR266)</f>
        <v>64.830001999999993</v>
      </c>
      <c r="DY301" s="212">
        <f>AT245</f>
        <v>2.6</v>
      </c>
      <c r="DZ301" s="213">
        <f t="shared" si="37"/>
        <v>3.9165472948242137E-2</v>
      </c>
      <c r="EA301" s="224">
        <f>MAX(AQ225:AQ244)</f>
        <v>66.309997999999993</v>
      </c>
      <c r="EB301" s="212">
        <f>MIN(AR225:AR244)</f>
        <v>61.189999</v>
      </c>
      <c r="EC301" s="212">
        <f>AT225</f>
        <v>2.6</v>
      </c>
      <c r="ED301" s="213">
        <f t="shared" si="38"/>
        <v>4.0784314685121136E-2</v>
      </c>
      <c r="EE301" s="224">
        <f>MAX(AQ203:AQ224)</f>
        <v>65.660004000000001</v>
      </c>
      <c r="EF301" s="212">
        <f>MIN(AR203:AR224)</f>
        <v>60.299999</v>
      </c>
      <c r="EG301" s="212">
        <f>AT203</f>
        <v>2.6</v>
      </c>
      <c r="EH301" s="213">
        <f t="shared" si="39"/>
        <v>4.1282945984051779E-2</v>
      </c>
      <c r="EI301" s="224">
        <f>MAX(AQ184:AQ202)</f>
        <v>70.199996999999996</v>
      </c>
      <c r="EJ301" s="212">
        <f>MIN(AR184:AR202)</f>
        <v>63.470001000000003</v>
      </c>
      <c r="EK301" s="212">
        <f>AT184</f>
        <v>2.68</v>
      </c>
      <c r="EL301" s="213">
        <f t="shared" si="40"/>
        <v>4.0098751254563497E-2</v>
      </c>
      <c r="EM301" s="224">
        <f>MAX(AQ164:AQ183)</f>
        <v>73.900002000000001</v>
      </c>
      <c r="EN301" s="212">
        <f>MIN(AR164:AR183)</f>
        <v>69.080001999999993</v>
      </c>
      <c r="EO301" s="212">
        <f>AT164</f>
        <v>2.68</v>
      </c>
      <c r="EP301" s="227">
        <f t="shared" si="41"/>
        <v>3.7487759477192351E-2</v>
      </c>
      <c r="EQ301" s="204"/>
      <c r="ER301" s="213">
        <f t="shared" si="42"/>
        <v>3.9936059368107624E-2</v>
      </c>
      <c r="ES301" s="41"/>
      <c r="ET301" s="41"/>
      <c r="EU301" s="41"/>
      <c r="EV301" s="41"/>
    </row>
    <row r="302" spans="94:196"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P302" s="211">
        <f t="shared" si="43"/>
        <v>5</v>
      </c>
      <c r="DQ302" s="204" t="s">
        <v>19</v>
      </c>
      <c r="DR302" s="211" t="s">
        <v>61</v>
      </c>
      <c r="DS302" s="224">
        <f>MAX(AV267:AV287)</f>
        <v>80.470000999999996</v>
      </c>
      <c r="DT302" s="212">
        <f>MIN(AW267:AW287)</f>
        <v>74.559997999999993</v>
      </c>
      <c r="DU302" s="212">
        <f>AY267</f>
        <v>2.92</v>
      </c>
      <c r="DV302" s="213">
        <f t="shared" si="36"/>
        <v>3.767012860523853E-2</v>
      </c>
      <c r="DW302" s="224">
        <f>MAX(AV245:AV266)</f>
        <v>85.360000999999997</v>
      </c>
      <c r="DX302" s="212">
        <f>MIN(AW245:AW266)</f>
        <v>78.389999000000003</v>
      </c>
      <c r="DY302" s="212">
        <f>AY245</f>
        <v>2.92</v>
      </c>
      <c r="DZ302" s="213">
        <f t="shared" si="37"/>
        <v>3.566412213740458E-2</v>
      </c>
      <c r="EA302" s="224">
        <f>MAX(AV225:AV244)</f>
        <v>83.480002999999996</v>
      </c>
      <c r="EB302" s="212">
        <f>MIN(AW225:AW244)</f>
        <v>78.260002</v>
      </c>
      <c r="EC302" s="212">
        <f>AY225</f>
        <v>2.92</v>
      </c>
      <c r="ED302" s="213">
        <f t="shared" si="38"/>
        <v>3.6107331640060233E-2</v>
      </c>
      <c r="EE302" s="224">
        <f>MAX(AV203:AV224)</f>
        <v>81.93</v>
      </c>
      <c r="EF302" s="212">
        <f>MIN(AW203:AW224)</f>
        <v>77.349997999999999</v>
      </c>
      <c r="EG302" s="212">
        <f>AY203</f>
        <v>2.92</v>
      </c>
      <c r="EH302" s="213">
        <f t="shared" si="39"/>
        <v>3.6664992926481579E-2</v>
      </c>
      <c r="EI302" s="224">
        <f>MAX(AV184:AV202)</f>
        <v>85.18</v>
      </c>
      <c r="EJ302" s="212">
        <f>MIN(AW184:AW202)</f>
        <v>78.010002</v>
      </c>
      <c r="EK302" s="212">
        <f>AY184</f>
        <v>2.92</v>
      </c>
      <c r="EL302" s="213">
        <f t="shared" si="40"/>
        <v>3.578650608754818E-2</v>
      </c>
      <c r="EM302" s="224">
        <f>MAX(AV164:AV183)</f>
        <v>87.839995999999999</v>
      </c>
      <c r="EN302" s="212">
        <f>MIN(AW164:AW183)</f>
        <v>82.93</v>
      </c>
      <c r="EO302" s="212">
        <f>AY164</f>
        <v>2.92</v>
      </c>
      <c r="EP302" s="227">
        <f t="shared" si="41"/>
        <v>3.4198044953985943E-2</v>
      </c>
      <c r="EQ302" s="204"/>
      <c r="ER302" s="213">
        <f t="shared" si="42"/>
        <v>3.6015187725119836E-2</v>
      </c>
      <c r="ES302" s="41"/>
      <c r="ET302" s="41"/>
      <c r="EU302" s="41"/>
      <c r="EV302" s="41"/>
    </row>
    <row r="303" spans="94:196"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P303" s="211">
        <f t="shared" si="43"/>
        <v>6</v>
      </c>
      <c r="DQ303" s="204" t="s">
        <v>3</v>
      </c>
      <c r="DR303" s="211" t="s">
        <v>62</v>
      </c>
      <c r="DS303" s="224">
        <f>MAX(BA267:BA287)</f>
        <v>72.019997000000004</v>
      </c>
      <c r="DT303" s="212">
        <f>MIN(BB267:BB287)</f>
        <v>67.269997000000004</v>
      </c>
      <c r="DU303" s="212">
        <f>BD267</f>
        <v>3.3</v>
      </c>
      <c r="DV303" s="213">
        <f t="shared" si="36"/>
        <v>4.7383159482367411E-2</v>
      </c>
      <c r="DW303" s="224">
        <f>MAX(BA245:BA266)</f>
        <v>75.290001000000004</v>
      </c>
      <c r="DX303" s="212">
        <f>MIN(BB245:BB266)</f>
        <v>70</v>
      </c>
      <c r="DY303" s="212">
        <f>BD245</f>
        <v>3.3</v>
      </c>
      <c r="DZ303" s="213">
        <f t="shared" si="37"/>
        <v>4.5426388289446007E-2</v>
      </c>
      <c r="EA303" s="224">
        <f>MAX(BA225:BA244)</f>
        <v>72.550003000000004</v>
      </c>
      <c r="EB303" s="212">
        <f>MIN(BB225:BB244)</f>
        <v>65.650002000000001</v>
      </c>
      <c r="EC303" s="212">
        <f>BD225</f>
        <v>3.3</v>
      </c>
      <c r="ED303" s="213">
        <f t="shared" si="38"/>
        <v>4.7756872367696365E-2</v>
      </c>
      <c r="EE303" s="224">
        <f>MAX(BA203:BA224)</f>
        <v>72.75</v>
      </c>
      <c r="EF303" s="212">
        <f>MIN(BB203:BB224)</f>
        <v>65.5</v>
      </c>
      <c r="EG303" s="212">
        <f>BD203</f>
        <v>3.3</v>
      </c>
      <c r="EH303" s="213">
        <f t="shared" si="39"/>
        <v>4.7739602169981916E-2</v>
      </c>
      <c r="EI303" s="224">
        <f>MAX(BA184:BA202)</f>
        <v>75.410004000000001</v>
      </c>
      <c r="EJ303" s="212">
        <f>MIN(BB184:BB202)</f>
        <v>70.160004000000001</v>
      </c>
      <c r="EK303" s="212">
        <f>BD184</f>
        <v>3.3</v>
      </c>
      <c r="EL303" s="213">
        <f t="shared" si="40"/>
        <v>4.5339009667430943E-2</v>
      </c>
      <c r="EM303" s="224">
        <f>MAX(BA164:BA183)</f>
        <v>80.099997999999999</v>
      </c>
      <c r="EN303" s="212">
        <f>MIN(BB164:BB183)</f>
        <v>73.790001000000004</v>
      </c>
      <c r="EO303" s="212">
        <f>BD164</f>
        <v>3.3</v>
      </c>
      <c r="EP303" s="227">
        <f t="shared" si="41"/>
        <v>4.2887777262250813E-2</v>
      </c>
      <c r="EQ303" s="204"/>
      <c r="ER303" s="213">
        <f t="shared" si="42"/>
        <v>4.608880153986223E-2</v>
      </c>
      <c r="ES303" s="41"/>
      <c r="ET303" s="41"/>
      <c r="EU303" s="41"/>
      <c r="EV303" s="41"/>
    </row>
    <row r="304" spans="94:196"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P304" s="211">
        <f t="shared" si="43"/>
        <v>7</v>
      </c>
      <c r="DQ304" s="214" t="s">
        <v>32</v>
      </c>
      <c r="DR304" s="215" t="s">
        <v>63</v>
      </c>
      <c r="DS304" s="224">
        <f>MAX(BF267:BF287)</f>
        <v>63.150002000000001</v>
      </c>
      <c r="DT304" s="212">
        <f>MIN(BG267:BG287)</f>
        <v>56.68</v>
      </c>
      <c r="DU304" s="212">
        <f>BI267</f>
        <v>1.67</v>
      </c>
      <c r="DV304" s="213">
        <f t="shared" si="36"/>
        <v>2.7872819362883761E-2</v>
      </c>
      <c r="DW304" s="224">
        <f>MAX(BF245:BF266)</f>
        <v>66.290001000000004</v>
      </c>
      <c r="DX304" s="212">
        <f>MIN(BG245:BG266)</f>
        <v>59.84</v>
      </c>
      <c r="DY304" s="212">
        <f>BI245</f>
        <v>1.67</v>
      </c>
      <c r="DZ304" s="213">
        <f t="shared" si="37"/>
        <v>2.6480615028299251E-2</v>
      </c>
      <c r="EA304" s="224">
        <f>MAX(BF225:BF244)</f>
        <v>61.16</v>
      </c>
      <c r="EB304" s="212">
        <f>MIN(BG225:BG266)</f>
        <v>57.509998000000003</v>
      </c>
      <c r="EC304" s="212">
        <f>BI225</f>
        <v>1.67</v>
      </c>
      <c r="ED304" s="213">
        <f t="shared" si="38"/>
        <v>2.8145277292412191E-2</v>
      </c>
      <c r="EE304" s="224">
        <f>MAX(BF203:BF224)</f>
        <v>61.349997999999999</v>
      </c>
      <c r="EF304" s="212">
        <f>MIN(BG203:BG224)</f>
        <v>57.849997999999999</v>
      </c>
      <c r="EG304" s="212">
        <f>BI203</f>
        <v>1.92</v>
      </c>
      <c r="EH304" s="213">
        <f t="shared" si="39"/>
        <v>3.2214766181703561E-2</v>
      </c>
      <c r="EI304" s="224">
        <f>MAX(BF184:BF202)</f>
        <v>62.34</v>
      </c>
      <c r="EJ304" s="212">
        <f>MIN(BG184:BG202)</f>
        <v>57.970001000000003</v>
      </c>
      <c r="EK304" s="212">
        <f>BI184</f>
        <v>1.92</v>
      </c>
      <c r="EL304" s="213">
        <f t="shared" si="40"/>
        <v>3.1917546073331013E-2</v>
      </c>
      <c r="EM304" s="224">
        <f>MAX(BF164:BF183)</f>
        <v>69.239998</v>
      </c>
      <c r="EN304" s="212">
        <f>MIN(BG164:BG183)</f>
        <v>61.490001999999997</v>
      </c>
      <c r="EO304" s="212">
        <f>BI164</f>
        <v>1.92</v>
      </c>
      <c r="EP304" s="227">
        <f t="shared" si="41"/>
        <v>2.9373517937734264E-2</v>
      </c>
      <c r="EQ304" s="204"/>
      <c r="ER304" s="213">
        <f t="shared" si="42"/>
        <v>2.9334090312727337E-2</v>
      </c>
      <c r="ES304" s="41"/>
      <c r="ET304" s="41"/>
      <c r="EU304" s="41"/>
      <c r="EV304" s="41"/>
    </row>
    <row r="305" spans="94:152"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P305" s="211">
        <f t="shared" si="43"/>
        <v>8</v>
      </c>
      <c r="DQ305" s="204" t="s">
        <v>1</v>
      </c>
      <c r="DR305" s="211" t="s">
        <v>67</v>
      </c>
      <c r="DS305" s="224">
        <f>MAX(BK267:BK287)</f>
        <v>50.66</v>
      </c>
      <c r="DT305" s="212">
        <f>MIN(BL267:BL287)</f>
        <v>45.139999000000003</v>
      </c>
      <c r="DU305" s="212">
        <f>BN267</f>
        <v>1.67</v>
      </c>
      <c r="DV305" s="213">
        <f t="shared" si="36"/>
        <v>3.4864300990232786E-2</v>
      </c>
      <c r="DW305" s="224">
        <f>MAX(BK245:BK266)</f>
        <v>52.849997999999999</v>
      </c>
      <c r="DX305" s="212">
        <f>MIN(BL245:BL266)</f>
        <v>49.259998000000003</v>
      </c>
      <c r="DY305" s="212">
        <f>BN245</f>
        <v>1.67</v>
      </c>
      <c r="DZ305" s="213">
        <f t="shared" si="37"/>
        <v>3.2709824021538499E-2</v>
      </c>
      <c r="EA305" s="224">
        <f>MAX(BK225:BK244)</f>
        <v>51.98</v>
      </c>
      <c r="EB305" s="212">
        <f>MIN(BL225:BL244)</f>
        <v>48.66</v>
      </c>
      <c r="EC305" s="212">
        <f>BN225</f>
        <v>1.67</v>
      </c>
      <c r="ED305" s="213">
        <f t="shared" si="38"/>
        <v>3.3187599364069953E-2</v>
      </c>
      <c r="EE305" s="224">
        <f>MAX(BK203:BK234)</f>
        <v>52.240001999999997</v>
      </c>
      <c r="EF305" s="212">
        <f>MIN(BL203:BL234)</f>
        <v>48.18</v>
      </c>
      <c r="EG305" s="212">
        <f>BN203</f>
        <v>1.67</v>
      </c>
      <c r="EH305" s="213">
        <f t="shared" si="39"/>
        <v>3.3260306049386457E-2</v>
      </c>
      <c r="EI305" s="224">
        <f>MAX(BK184:BK202)</f>
        <v>54.150002000000001</v>
      </c>
      <c r="EJ305" s="212">
        <f>MIN(BL184:BL202)</f>
        <v>50.009998000000003</v>
      </c>
      <c r="EK305" s="212">
        <f>BN184</f>
        <v>1.67</v>
      </c>
      <c r="EL305" s="213">
        <f t="shared" si="40"/>
        <v>3.2066052227342552E-2</v>
      </c>
      <c r="EM305" s="224">
        <f>MAX(BK164:BK183)</f>
        <v>56.919998</v>
      </c>
      <c r="EN305" s="212">
        <f>MIN(BL164:BL183)</f>
        <v>52.93</v>
      </c>
      <c r="EO305" s="212">
        <f>BN164</f>
        <v>1.78</v>
      </c>
      <c r="EP305" s="227">
        <f t="shared" si="41"/>
        <v>3.2407829447570861E-2</v>
      </c>
      <c r="EQ305" s="204"/>
      <c r="ER305" s="213">
        <f t="shared" si="42"/>
        <v>3.3082652016690188E-2</v>
      </c>
      <c r="ES305" s="41"/>
      <c r="ET305" s="41"/>
      <c r="EU305" s="41"/>
      <c r="EV305" s="41"/>
    </row>
    <row r="306" spans="94:152"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P306" s="211">
        <f t="shared" si="43"/>
        <v>9</v>
      </c>
      <c r="DQ306" s="204" t="s">
        <v>6</v>
      </c>
      <c r="DR306" s="211" t="s">
        <v>75</v>
      </c>
      <c r="DS306" s="224">
        <f>MAX(BP267:BP287)</f>
        <v>100.220001</v>
      </c>
      <c r="DT306" s="212">
        <f>MIN(BQ267:BQ287)</f>
        <v>93.739998</v>
      </c>
      <c r="DU306" s="212">
        <f>BS267</f>
        <v>3.08</v>
      </c>
      <c r="DV306" s="213">
        <f t="shared" si="36"/>
        <v>3.1759125756646349E-2</v>
      </c>
      <c r="DW306" s="224">
        <f>MAX(BP245:BP266)</f>
        <v>105.849998</v>
      </c>
      <c r="DX306" s="212">
        <f>MIN(BQ245:BQ287)</f>
        <v>93.739998</v>
      </c>
      <c r="DY306" s="212">
        <f>BS245</f>
        <v>3.08</v>
      </c>
      <c r="DZ306" s="213">
        <f t="shared" si="37"/>
        <v>3.086327032142433E-2</v>
      </c>
      <c r="EA306" s="224">
        <f>MAX(BP225:BP244)</f>
        <v>103.510002</v>
      </c>
      <c r="EB306" s="212">
        <f>MIN(BQ225:BQ244)</f>
        <v>97.449996999999996</v>
      </c>
      <c r="EC306" s="212">
        <f>BS225</f>
        <v>3.08</v>
      </c>
      <c r="ED306" s="213">
        <f t="shared" si="38"/>
        <v>3.0652866394570398E-2</v>
      </c>
      <c r="EE306" s="224">
        <f>MAX(BP203:BP224)</f>
        <v>105.300003</v>
      </c>
      <c r="EF306" s="212">
        <f>MIN(BQ203:BQ224)</f>
        <v>96.190002000000007</v>
      </c>
      <c r="EG306" s="212">
        <f>BS203</f>
        <v>3.08</v>
      </c>
      <c r="EH306" s="213">
        <f t="shared" si="39"/>
        <v>3.0572236076921038E-2</v>
      </c>
      <c r="EI306" s="224">
        <f>MAX(BP184:BP202)</f>
        <v>111.860001</v>
      </c>
      <c r="EJ306" s="212">
        <f>MIN(BQ184:BQ202)</f>
        <v>102.199997</v>
      </c>
      <c r="EK306" s="212">
        <f>BS184</f>
        <v>3.08</v>
      </c>
      <c r="EL306" s="213">
        <f t="shared" si="40"/>
        <v>2.8776978686134529E-2</v>
      </c>
      <c r="EM306" s="224">
        <f>MAX(BP164:BP183)</f>
        <v>116.980003</v>
      </c>
      <c r="EN306" s="212">
        <f>MIN(BQ164:BQ183)</f>
        <v>110.599998</v>
      </c>
      <c r="EO306" s="212">
        <f>BS164</f>
        <v>3.48</v>
      </c>
      <c r="EP306" s="227">
        <f t="shared" si="41"/>
        <v>3.0582652119770404E-2</v>
      </c>
      <c r="EQ306" s="204"/>
      <c r="ER306" s="213">
        <f t="shared" si="42"/>
        <v>3.053452155924451E-2</v>
      </c>
      <c r="ES306" s="41"/>
      <c r="ET306" s="41"/>
      <c r="EU306" s="41"/>
      <c r="EV306" s="41"/>
    </row>
    <row r="307" spans="94:152"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P307" s="211">
        <f t="shared" si="43"/>
        <v>10</v>
      </c>
      <c r="DQ307" s="204" t="s">
        <v>36</v>
      </c>
      <c r="DR307" s="211" t="s">
        <v>132</v>
      </c>
      <c r="DS307" s="224">
        <f>MAX(BU267:BU287)</f>
        <v>53.990001999999997</v>
      </c>
      <c r="DT307" s="212">
        <f>MIN(BV267:BV287)</f>
        <v>48.470001000000003</v>
      </c>
      <c r="DU307" s="212">
        <f>BX267</f>
        <v>1.92</v>
      </c>
      <c r="DV307" s="213">
        <f t="shared" si="36"/>
        <v>3.7478039113467525E-2</v>
      </c>
      <c r="DW307" s="224">
        <f>MAX(BU245:BU266)</f>
        <v>57.07</v>
      </c>
      <c r="DX307" s="212">
        <f>MIN(BV245:BV266)</f>
        <v>53.18</v>
      </c>
      <c r="DY307" s="212">
        <f>BX245</f>
        <v>1.92</v>
      </c>
      <c r="DZ307" s="213">
        <f t="shared" si="37"/>
        <v>3.4829931972789115E-2</v>
      </c>
      <c r="EA307" s="224">
        <f>MAX(BU225:BU266)</f>
        <v>57.07</v>
      </c>
      <c r="EB307" s="212">
        <f>MIN(BV225:BV266)</f>
        <v>51.27</v>
      </c>
      <c r="EC307" s="212">
        <f>BX225</f>
        <v>1.92</v>
      </c>
      <c r="ED307" s="213">
        <f t="shared" si="38"/>
        <v>3.5443972678604392E-2</v>
      </c>
      <c r="EE307" s="224">
        <f>MAX(BU203:BU224)</f>
        <v>55.650002000000001</v>
      </c>
      <c r="EF307" s="212">
        <f>MIN(BV203:BV224)</f>
        <v>51.950001</v>
      </c>
      <c r="EG307" s="212">
        <f>BX203</f>
        <v>1.92</v>
      </c>
      <c r="EH307" s="213">
        <f t="shared" si="39"/>
        <v>3.5687731346996335E-2</v>
      </c>
      <c r="EI307" s="224">
        <f>MAX(BU184:BU202)</f>
        <v>55.849997999999999</v>
      </c>
      <c r="EJ307" s="212">
        <f>MIN(BV184:BV202)</f>
        <v>52.16</v>
      </c>
      <c r="EK307" s="212">
        <f>BX184</f>
        <v>1.92</v>
      </c>
      <c r="EL307" s="213">
        <f t="shared" si="40"/>
        <v>3.5552264337603265E-2</v>
      </c>
      <c r="EM307" s="224">
        <f>MAX(BU164:BU183)</f>
        <v>60.759998000000003</v>
      </c>
      <c r="EN307" s="212">
        <f>MIN(BV164:BV183)</f>
        <v>55.490001999999997</v>
      </c>
      <c r="EO307" s="212">
        <f>BX164</f>
        <v>2</v>
      </c>
      <c r="EP307" s="227">
        <f t="shared" si="41"/>
        <v>3.4408602150537634E-2</v>
      </c>
      <c r="EQ307" s="204"/>
      <c r="ER307" s="213">
        <f t="shared" si="42"/>
        <v>3.5566756933333048E-2</v>
      </c>
      <c r="ES307" s="41"/>
      <c r="ET307" s="41"/>
      <c r="EU307" s="41"/>
      <c r="EV307" s="41"/>
    </row>
    <row r="308" spans="94:152"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P308" s="211">
        <f t="shared" si="43"/>
        <v>11</v>
      </c>
      <c r="DQ308" s="204" t="s">
        <v>25</v>
      </c>
      <c r="DR308" s="211" t="s">
        <v>77</v>
      </c>
      <c r="DS308" s="224">
        <f>MAX(BZ267:BZ287)</f>
        <v>28.049999</v>
      </c>
      <c r="DT308" s="212">
        <f>MIN(CA267:CA287)</f>
        <v>26.440000999999999</v>
      </c>
      <c r="DU308" s="212">
        <f>CC267</f>
        <v>1</v>
      </c>
      <c r="DV308" s="213">
        <f t="shared" si="36"/>
        <v>3.6703982382088461E-2</v>
      </c>
      <c r="DW308" s="224">
        <f>MAX(BZ245:BZ266)</f>
        <v>29.4</v>
      </c>
      <c r="DX308" s="212">
        <f>MIN(CA245:CA266)</f>
        <v>26.719999000000001</v>
      </c>
      <c r="DY308" s="212">
        <f>CC245</f>
        <v>1.1000000000000001</v>
      </c>
      <c r="DZ308" s="213">
        <f t="shared" si="37"/>
        <v>3.9201711318633488E-2</v>
      </c>
      <c r="EA308" s="224">
        <f>MAX(BZ225:BZ244)</f>
        <v>28.66</v>
      </c>
      <c r="EB308" s="212">
        <f>MIN(CA225:CA266)</f>
        <v>25.450001</v>
      </c>
      <c r="EC308" s="212">
        <f>CC225</f>
        <v>1.1000000000000001</v>
      </c>
      <c r="ED308" s="213">
        <f t="shared" si="38"/>
        <v>4.0657918302385548E-2</v>
      </c>
      <c r="EE308" s="224">
        <f>MAX(BZ203:BZ224)</f>
        <v>27.040001</v>
      </c>
      <c r="EF308" s="212">
        <f>MIN(CA203:CA244)</f>
        <v>24.15</v>
      </c>
      <c r="EG308" s="212">
        <f>CC225</f>
        <v>1.1000000000000001</v>
      </c>
      <c r="EH308" s="213">
        <f t="shared" si="39"/>
        <v>4.2977143133871014E-2</v>
      </c>
      <c r="EI308" s="224">
        <f>MAX(BZ184:BZ202)</f>
        <v>26.52</v>
      </c>
      <c r="EJ308" s="212">
        <f>MIN(CA184:CA202)</f>
        <v>23.370000999999998</v>
      </c>
      <c r="EK308" s="212">
        <f>CC184</f>
        <v>1.1000000000000001</v>
      </c>
      <c r="EL308" s="213">
        <f t="shared" si="40"/>
        <v>4.4097012545660209E-2</v>
      </c>
      <c r="EM308" s="224">
        <f>MAX(BZ164:BZ183)</f>
        <v>27.809999000000001</v>
      </c>
      <c r="EN308" s="212">
        <f>MIN(CA164:CA183)</f>
        <v>24.389999</v>
      </c>
      <c r="EO308" s="212">
        <f>CC164</f>
        <v>1.1000000000000001</v>
      </c>
      <c r="EP308" s="227">
        <f t="shared" si="41"/>
        <v>4.2145595484505576E-2</v>
      </c>
      <c r="EQ308" s="204"/>
      <c r="ER308" s="213">
        <f t="shared" si="42"/>
        <v>4.0963893861190717E-2</v>
      </c>
      <c r="ES308" s="41"/>
      <c r="ET308" s="41"/>
      <c r="EU308" s="41"/>
      <c r="EV308" s="41"/>
    </row>
    <row r="309" spans="94:152"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P309" s="211">
        <f t="shared" si="43"/>
        <v>12</v>
      </c>
      <c r="DQ309" s="204" t="s">
        <v>186</v>
      </c>
      <c r="DR309" s="211" t="s">
        <v>81</v>
      </c>
      <c r="DS309" s="224">
        <f>MAX(CE267:CE287)</f>
        <v>64.209998999999996</v>
      </c>
      <c r="DT309" s="212">
        <f>MIN(CF267:CF287)</f>
        <v>57.330002</v>
      </c>
      <c r="DU309" s="212">
        <f>CH267</f>
        <v>2.38</v>
      </c>
      <c r="DV309" s="213">
        <f t="shared" si="36"/>
        <v>3.916406089218314E-2</v>
      </c>
      <c r="DW309" s="224">
        <f>MAX(CE245:CE266)</f>
        <v>67.019997000000004</v>
      </c>
      <c r="DX309" s="212">
        <f>MIN(CF245:CF266)</f>
        <v>62.43</v>
      </c>
      <c r="DY309" s="212">
        <f>CH245</f>
        <v>2.5</v>
      </c>
      <c r="DZ309" s="213">
        <f t="shared" si="37"/>
        <v>3.8624952613942512E-2</v>
      </c>
      <c r="EA309" s="224">
        <f>MAX(CE225:CE244)</f>
        <v>65.449996999999996</v>
      </c>
      <c r="EB309" s="212">
        <f>MIN(CF225:CF244)</f>
        <v>61.02</v>
      </c>
      <c r="EC309" s="212">
        <f>CH225</f>
        <v>2.5</v>
      </c>
      <c r="ED309" s="213">
        <f t="shared" si="38"/>
        <v>3.9535068542778565E-2</v>
      </c>
      <c r="EE309" s="224">
        <f>MAX(CE203:CE224)</f>
        <v>65.510002</v>
      </c>
      <c r="EF309" s="212">
        <f>MIN(CF203:CF224)</f>
        <v>60.700001</v>
      </c>
      <c r="EG309" s="212">
        <f>CH203</f>
        <v>2.5</v>
      </c>
      <c r="EH309" s="213">
        <f t="shared" si="39"/>
        <v>3.9616511220588436E-2</v>
      </c>
      <c r="EI309" s="224">
        <f>MAX(CE184:CE202)</f>
        <v>66.489998</v>
      </c>
      <c r="EJ309" s="212">
        <f>MIN(CF184:CF202)</f>
        <v>62.509998000000003</v>
      </c>
      <c r="EK309" s="212">
        <f>CH184</f>
        <v>2.5</v>
      </c>
      <c r="EL309" s="213">
        <f t="shared" si="40"/>
        <v>3.8759691124331502E-2</v>
      </c>
      <c r="EM309" s="224">
        <f>MAX(CE164:CE183)</f>
        <v>71.400002000000001</v>
      </c>
      <c r="EN309" s="212">
        <f>MIN(CF164:CF183)</f>
        <v>66.019997000000004</v>
      </c>
      <c r="EO309" s="212">
        <f>CH164</f>
        <v>2.5</v>
      </c>
      <c r="EP309" s="227">
        <f t="shared" si="41"/>
        <v>3.6384805969908347E-2</v>
      </c>
      <c r="EQ309" s="204"/>
      <c r="ER309" s="213">
        <f t="shared" si="42"/>
        <v>3.8680848393955421E-2</v>
      </c>
      <c r="ES309" s="41"/>
      <c r="ET309" s="41"/>
      <c r="EU309" s="41"/>
      <c r="EV309" s="41"/>
    </row>
    <row r="310" spans="94:152"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P310" s="211">
        <f t="shared" si="43"/>
        <v>13</v>
      </c>
      <c r="DQ310" s="204" t="s">
        <v>187</v>
      </c>
      <c r="DR310" s="211" t="s">
        <v>83</v>
      </c>
      <c r="DS310" s="224">
        <f>MAX(CJ267:CJ287)</f>
        <v>37.029998999999997</v>
      </c>
      <c r="DT310" s="212">
        <f>MIN(CK267:CK287)</f>
        <v>33.330002</v>
      </c>
      <c r="DU310" s="212">
        <f>CM267</f>
        <v>1.2</v>
      </c>
      <c r="DV310" s="213">
        <f t="shared" si="36"/>
        <v>3.4110289452667857E-2</v>
      </c>
      <c r="DW310" s="224">
        <f>MAX(CJ245:CJ266)</f>
        <v>39.080002</v>
      </c>
      <c r="DX310" s="212">
        <f>MIN(CK245:CK266)</f>
        <v>36.119999</v>
      </c>
      <c r="DY310" s="212">
        <f>CM245</f>
        <v>1.2</v>
      </c>
      <c r="DZ310" s="213">
        <f t="shared" si="37"/>
        <v>3.1914893192621099E-2</v>
      </c>
      <c r="EA310" s="224">
        <f>MAX(CJ225:CJ244)</f>
        <v>37.43</v>
      </c>
      <c r="EB310" s="212">
        <f>MIN(CK225:CK244)</f>
        <v>34.970001000000003</v>
      </c>
      <c r="EC310" s="212">
        <f>CM225</f>
        <v>1.2</v>
      </c>
      <c r="ED310" s="213">
        <f t="shared" si="38"/>
        <v>3.3149170812856753E-2</v>
      </c>
      <c r="EE310" s="224">
        <f>MAX(CJ203:CJ224)</f>
        <v>37.799999</v>
      </c>
      <c r="EF310" s="212">
        <f>MIN(CK203:CK224)</f>
        <v>35.040000999999997</v>
      </c>
      <c r="EG310" s="212">
        <f>CM225</f>
        <v>1.2</v>
      </c>
      <c r="EH310" s="213">
        <f t="shared" si="39"/>
        <v>3.2948929159802305E-2</v>
      </c>
      <c r="EI310" s="224">
        <f>MAX(CJ184:CJ202)</f>
        <v>39.020000000000003</v>
      </c>
      <c r="EJ310" s="212">
        <f>MIN(CK184:CK202)</f>
        <v>35.270000000000003</v>
      </c>
      <c r="EK310" s="212">
        <f>CM184</f>
        <v>1.2</v>
      </c>
      <c r="EL310" s="213">
        <f t="shared" si="40"/>
        <v>3.2305828509893657E-2</v>
      </c>
      <c r="EM310" s="224">
        <f>MAX(CJ164:CJ183)</f>
        <v>40.479999999999997</v>
      </c>
      <c r="EN310" s="212">
        <f>MIN(CK164:CK183)</f>
        <v>37.400002000000001</v>
      </c>
      <c r="EO310" s="212">
        <f>CM164</f>
        <v>1.2</v>
      </c>
      <c r="EP310" s="227">
        <f t="shared" si="41"/>
        <v>3.0816640194744734E-2</v>
      </c>
      <c r="EQ310" s="204"/>
      <c r="ER310" s="213">
        <f t="shared" si="42"/>
        <v>3.2540958553764397E-2</v>
      </c>
      <c r="ES310" s="41"/>
      <c r="ET310" s="41"/>
      <c r="EU310" s="41"/>
      <c r="EV310" s="41"/>
    </row>
    <row r="311" spans="94:152"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P311" s="211">
        <f t="shared" si="43"/>
        <v>14</v>
      </c>
      <c r="DQ311" s="204" t="s">
        <v>7</v>
      </c>
      <c r="DR311" s="211" t="s">
        <v>84</v>
      </c>
      <c r="DS311" s="224">
        <f>MAX(CO267:CO287)</f>
        <v>32.909999999999997</v>
      </c>
      <c r="DT311" s="212">
        <f>MIN(CP267:CP287)</f>
        <v>29.18</v>
      </c>
      <c r="DU311" s="212">
        <f>CR267</f>
        <v>1.51</v>
      </c>
      <c r="DV311" s="213">
        <f t="shared" si="36"/>
        <v>4.8639072314382352E-2</v>
      </c>
      <c r="DW311" s="224">
        <f>MAX(CO245:CO266)</f>
        <v>34.919998</v>
      </c>
      <c r="DX311" s="212">
        <f>MIN(CP245:CP266)</f>
        <v>32.220001000000003</v>
      </c>
      <c r="DY311" s="212">
        <f>CR245</f>
        <v>1.51</v>
      </c>
      <c r="DZ311" s="213">
        <f t="shared" si="37"/>
        <v>4.4980638143887967E-2</v>
      </c>
      <c r="EA311" s="224">
        <f>MAX(CO225:CO244)</f>
        <v>35</v>
      </c>
      <c r="EB311" s="212">
        <f>MIN(CP225:CP244)</f>
        <v>32.619999</v>
      </c>
      <c r="EC311" s="212">
        <f>CR225</f>
        <v>1.51</v>
      </c>
      <c r="ED311" s="213">
        <f t="shared" si="38"/>
        <v>4.4661343458464113E-2</v>
      </c>
      <c r="EE311" s="224">
        <f>MAX(CO203:CO224)</f>
        <v>34.479999999999997</v>
      </c>
      <c r="EF311" s="212">
        <f>MIN(CP203:CP224)</f>
        <v>32.360000999999997</v>
      </c>
      <c r="EG311" s="212">
        <f>CR203</f>
        <v>1.51</v>
      </c>
      <c r="EH311" s="213">
        <f t="shared" si="39"/>
        <v>4.5182524757891612E-2</v>
      </c>
      <c r="EI311" s="224">
        <f>MAX(CO184:CO202)</f>
        <v>35.150002000000001</v>
      </c>
      <c r="EJ311" s="212">
        <f>MIN(CP184:CP202)</f>
        <v>32.18</v>
      </c>
      <c r="EK311" s="212">
        <f>CR184</f>
        <v>1.51</v>
      </c>
      <c r="EL311" s="213">
        <f t="shared" si="40"/>
        <v>4.4853704296637327E-2</v>
      </c>
      <c r="EM311" s="224">
        <f>MAX(CO164:CO183)</f>
        <v>37.229999999999997</v>
      </c>
      <c r="EN311" s="212">
        <f>MIN(CP164:CP183)</f>
        <v>34.639999000000003</v>
      </c>
      <c r="EO311" s="212">
        <f>CR164</f>
        <v>1.52</v>
      </c>
      <c r="EP311" s="227">
        <f t="shared" si="41"/>
        <v>4.2298595273390777E-2</v>
      </c>
      <c r="EQ311" s="204"/>
      <c r="ER311" s="213">
        <f t="shared" si="42"/>
        <v>4.5102646374109025E-2</v>
      </c>
      <c r="ES311" s="41"/>
      <c r="ET311" s="41"/>
      <c r="EU311" s="41"/>
      <c r="EV311" s="41"/>
    </row>
    <row r="312" spans="94:152"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P312" s="211">
        <f t="shared" si="43"/>
        <v>15</v>
      </c>
      <c r="DQ312" s="204" t="s">
        <v>11</v>
      </c>
      <c r="DR312" s="211" t="s">
        <v>88</v>
      </c>
      <c r="DS312" s="224">
        <f>MAX(CT267:CT287)</f>
        <v>44.779998999999997</v>
      </c>
      <c r="DT312" s="212">
        <f>MIN(CU267:CU287)</f>
        <v>41.810001</v>
      </c>
      <c r="DU312" s="212">
        <f>CW267</f>
        <v>2.17</v>
      </c>
      <c r="DV312" s="213">
        <f t="shared" si="36"/>
        <v>5.0121261115602257E-2</v>
      </c>
      <c r="DW312" s="224">
        <f>MAX(CT245:CT266)</f>
        <v>46.619999</v>
      </c>
      <c r="DX312" s="212">
        <f>MIN(CU245:CU266)</f>
        <v>43.900002000000001</v>
      </c>
      <c r="DY312" s="212">
        <f>CW245</f>
        <v>2.17</v>
      </c>
      <c r="DZ312" s="213">
        <f t="shared" si="37"/>
        <v>4.794520494978783E-2</v>
      </c>
      <c r="EA312" s="224">
        <f>MAX(CT225:CT244)</f>
        <v>46.040000999999997</v>
      </c>
      <c r="EB312" s="212">
        <f>MIN(CU225:CU244)</f>
        <v>43.380001</v>
      </c>
      <c r="EC312" s="212">
        <f>CW225</f>
        <v>2.17</v>
      </c>
      <c r="ED312" s="213">
        <f t="shared" si="38"/>
        <v>4.8535002269402765E-2</v>
      </c>
      <c r="EE312" s="224">
        <f>MAX(CT203:CT224)</f>
        <v>47.5</v>
      </c>
      <c r="EF312" s="212">
        <f>MIN(CU203:CU224)</f>
        <v>43.720001000000003</v>
      </c>
      <c r="EG312" s="212">
        <f>CW203</f>
        <v>2.17</v>
      </c>
      <c r="EH312" s="213">
        <f t="shared" si="39"/>
        <v>4.7577285161397885E-2</v>
      </c>
      <c r="EI312" s="224">
        <f>MAX(CT184:CT202)</f>
        <v>49</v>
      </c>
      <c r="EJ312" s="212">
        <f>MIN(CU184:CU202)</f>
        <v>46</v>
      </c>
      <c r="EK312" s="212">
        <f>CW184</f>
        <v>2.17</v>
      </c>
      <c r="EL312" s="213">
        <f t="shared" si="40"/>
        <v>4.5684210526315785E-2</v>
      </c>
      <c r="EM312" s="224">
        <f>MAX(CT164:CT183)</f>
        <v>50.240001999999997</v>
      </c>
      <c r="EN312" s="212">
        <f>MIN(CU164:CU183)</f>
        <v>47.259998000000003</v>
      </c>
      <c r="EO312" s="212">
        <f>CW164</f>
        <v>2.17</v>
      </c>
      <c r="EP312" s="227">
        <f t="shared" si="41"/>
        <v>4.451282051282051E-2</v>
      </c>
      <c r="EQ312" s="204"/>
      <c r="ER312" s="213">
        <f t="shared" si="42"/>
        <v>4.7395964089221171E-2</v>
      </c>
      <c r="ES312" s="41"/>
      <c r="ET312" s="41"/>
      <c r="EU312" s="41"/>
      <c r="EV312" s="41"/>
    </row>
    <row r="313" spans="94:152"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P313" s="211">
        <f t="shared" si="43"/>
        <v>16</v>
      </c>
      <c r="DQ313" s="204" t="s">
        <v>27</v>
      </c>
      <c r="DR313" s="211" t="s">
        <v>90</v>
      </c>
      <c r="DS313" s="224">
        <f>MAX(CY267:CY287)</f>
        <v>42.119999</v>
      </c>
      <c r="DT313" s="212">
        <f>MIN(CZ267:CZ287)</f>
        <v>38.060001</v>
      </c>
      <c r="DU313" s="212">
        <f>DB267</f>
        <v>1.52</v>
      </c>
      <c r="DV313" s="213">
        <f t="shared" si="36"/>
        <v>3.7914691943127958E-2</v>
      </c>
      <c r="DW313" s="224">
        <f>MAX(CY245:CY266)</f>
        <v>47</v>
      </c>
      <c r="DX313" s="212">
        <f>MIN(CZ245:CZ266)</f>
        <v>41.23</v>
      </c>
      <c r="DY313" s="212">
        <f>DB245</f>
        <v>1.52</v>
      </c>
      <c r="DZ313" s="213">
        <f t="shared" si="37"/>
        <v>3.4455400657372778E-2</v>
      </c>
      <c r="EA313" s="224">
        <f>MAX(CY225:CY244)</f>
        <v>46.25</v>
      </c>
      <c r="EB313" s="212">
        <f>MIN(CZ225:CZ244)</f>
        <v>40.400002000000001</v>
      </c>
      <c r="EC313" s="212">
        <f>DB225</f>
        <v>1.6</v>
      </c>
      <c r="ED313" s="213">
        <f t="shared" si="38"/>
        <v>3.6930178028155153E-2</v>
      </c>
      <c r="EE313" s="224">
        <f>MAX(CY203:CY224)</f>
        <v>43.799999</v>
      </c>
      <c r="EF313" s="212">
        <f>MIN(CZ203:CZ224)</f>
        <v>39.979999999999997</v>
      </c>
      <c r="EG313" s="212">
        <f>DB203</f>
        <v>1.6</v>
      </c>
      <c r="EH313" s="213">
        <f t="shared" si="39"/>
        <v>3.819527379082447E-2</v>
      </c>
      <c r="EI313" s="224">
        <f>MAX(CY184:CY202)</f>
        <v>42.810001</v>
      </c>
      <c r="EJ313" s="212">
        <f>MIN(CZ184:CZ202)</f>
        <v>39.43</v>
      </c>
      <c r="EK313" s="212">
        <f>DB184</f>
        <v>1.6</v>
      </c>
      <c r="EL313" s="213">
        <f t="shared" si="40"/>
        <v>3.8910505363442295E-2</v>
      </c>
      <c r="EM313" s="224">
        <f>MAX(CY164:CY183)</f>
        <v>46.990001999999997</v>
      </c>
      <c r="EN313" s="212">
        <f>MIN(CZ164:CZ183)</f>
        <v>41.720001000000003</v>
      </c>
      <c r="EO313" s="212">
        <f>DB164</f>
        <v>1.6</v>
      </c>
      <c r="EP313" s="227">
        <f t="shared" si="41"/>
        <v>3.6072594879745415E-2</v>
      </c>
      <c r="EQ313" s="204"/>
      <c r="ER313" s="213">
        <f t="shared" si="42"/>
        <v>3.707977411044467E-2</v>
      </c>
      <c r="ES313" s="41"/>
      <c r="ET313" s="41"/>
      <c r="EU313" s="41"/>
      <c r="EV313" s="41"/>
    </row>
    <row r="314" spans="94:152"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P314" s="211">
        <f t="shared" si="43"/>
        <v>17</v>
      </c>
      <c r="DQ314" s="204" t="s">
        <v>28</v>
      </c>
      <c r="DR314" s="211" t="s">
        <v>91</v>
      </c>
      <c r="DS314" s="224">
        <f>MAX(DD227:DD287)</f>
        <v>53.880001</v>
      </c>
      <c r="DT314" s="212">
        <f>MIN(DE267:DE287)</f>
        <v>46.23</v>
      </c>
      <c r="DU314" s="212">
        <f>DG267</f>
        <v>1.83</v>
      </c>
      <c r="DV314" s="213">
        <f t="shared" si="36"/>
        <v>3.6559783872142808E-2</v>
      </c>
      <c r="DW314" s="224">
        <f>MAX(DD245:DD266)</f>
        <v>53.880001</v>
      </c>
      <c r="DX314" s="212">
        <f>MIN(DE245:DE266)</f>
        <v>50.619999</v>
      </c>
      <c r="DY314" s="212">
        <f>DG245</f>
        <v>1.83</v>
      </c>
      <c r="DZ314" s="213">
        <f t="shared" si="37"/>
        <v>3.5023923444976075E-2</v>
      </c>
      <c r="EA314" s="224">
        <f>MAX(DD225:DD244)</f>
        <v>53.209999000000003</v>
      </c>
      <c r="EB314" s="212">
        <f>MIN(DE225:DE244)</f>
        <v>48.799999</v>
      </c>
      <c r="EC314" s="212">
        <f>DG225</f>
        <v>1.83</v>
      </c>
      <c r="ED314" s="213">
        <f t="shared" si="38"/>
        <v>3.5878836111730934E-2</v>
      </c>
      <c r="EE314" s="224">
        <f>MAX(DD203:DD224)</f>
        <v>52.880001</v>
      </c>
      <c r="EF314" s="212">
        <f>MIN(DE203:DE224)</f>
        <v>47.98</v>
      </c>
      <c r="EG314" s="212">
        <f>DG203</f>
        <v>1.83</v>
      </c>
      <c r="EH314" s="213">
        <f t="shared" si="39"/>
        <v>3.6287923495063226E-2</v>
      </c>
      <c r="EI314" s="224">
        <f>MAX(DD184:DD202)</f>
        <v>55.720001000000003</v>
      </c>
      <c r="EJ314" s="212">
        <f>MIN(DE184:DE202)</f>
        <v>50.439999</v>
      </c>
      <c r="EK314" s="212">
        <f>DG184</f>
        <v>1.98</v>
      </c>
      <c r="EL314" s="213">
        <f t="shared" si="40"/>
        <v>3.7302185380557649E-2</v>
      </c>
      <c r="EM314" s="224">
        <f>MAX(DD164:DD183)</f>
        <v>58.150002000000001</v>
      </c>
      <c r="EN314" s="212">
        <f>MIN(DE164:DE183)</f>
        <v>54.73</v>
      </c>
      <c r="EO314" s="212">
        <f>DG164</f>
        <v>1.98</v>
      </c>
      <c r="EP314" s="227">
        <f t="shared" si="41"/>
        <v>3.5081501858938664E-2</v>
      </c>
      <c r="EQ314" s="204"/>
      <c r="ER314" s="213">
        <f t="shared" si="42"/>
        <v>3.6022359027234892E-2</v>
      </c>
      <c r="ES314" s="41"/>
      <c r="ET314" s="41"/>
      <c r="EU314" s="41"/>
      <c r="EV314" s="41"/>
    </row>
    <row r="315" spans="94:152"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P315" s="211">
        <f t="shared" si="43"/>
        <v>18</v>
      </c>
      <c r="DQ315" s="204" t="s">
        <v>42</v>
      </c>
      <c r="DR315" s="211" t="s">
        <v>93</v>
      </c>
      <c r="DS315" s="224">
        <f>MAX(DI267:DI287)</f>
        <v>35.450001</v>
      </c>
      <c r="DT315" s="212">
        <f>MIN(DJ267:DJ287)</f>
        <v>32.43</v>
      </c>
      <c r="DU315" s="212">
        <f>DL267</f>
        <v>1.28</v>
      </c>
      <c r="DV315" s="213">
        <f t="shared" si="36"/>
        <v>3.7713611701331591E-2</v>
      </c>
      <c r="DW315" s="224">
        <f>MAX(DI245:DI266)</f>
        <v>37.25</v>
      </c>
      <c r="DX315" s="212">
        <f>MIN(DJ245:DJ266)</f>
        <v>34.639999000000003</v>
      </c>
      <c r="DY315" s="212">
        <f>DL245</f>
        <v>1.28</v>
      </c>
      <c r="DZ315" s="213">
        <f t="shared" si="37"/>
        <v>3.5609960155932117E-2</v>
      </c>
      <c r="EA315" s="224">
        <f>MAX(DI225:DI244)</f>
        <v>36.32</v>
      </c>
      <c r="EB315" s="212">
        <f>MIN(DJ225:DJ244)</f>
        <v>34.330002</v>
      </c>
      <c r="EC315" s="212">
        <f>DL225</f>
        <v>1.28</v>
      </c>
      <c r="ED315" s="213">
        <f t="shared" si="38"/>
        <v>3.6234960049965743E-2</v>
      </c>
      <c r="EE315" s="224">
        <f>MAX(DI203:DI224)</f>
        <v>36.720001000000003</v>
      </c>
      <c r="EF315" s="212">
        <f>MIN(DJ203:DJ224)</f>
        <v>34.330002</v>
      </c>
      <c r="EG315" s="212">
        <f>DL203</f>
        <v>1.28</v>
      </c>
      <c r="EH315" s="213">
        <f t="shared" si="39"/>
        <v>3.6030962588418189E-2</v>
      </c>
      <c r="EI315" s="224">
        <f>MAX(DI184:DI202)</f>
        <v>38.259998000000003</v>
      </c>
      <c r="EJ315" s="212">
        <f>MIN(DJ184:DJ202)</f>
        <v>35.189999</v>
      </c>
      <c r="EK315" s="212">
        <f>DL184</f>
        <v>1.28</v>
      </c>
      <c r="EL315" s="213">
        <f t="shared" si="40"/>
        <v>3.4853643356854057E-2</v>
      </c>
      <c r="EM315" s="224">
        <f>MAX(DI164:DI183)</f>
        <v>40.419998</v>
      </c>
      <c r="EN315" s="212">
        <f>MIN(DJ164:DJ183)</f>
        <v>36.25</v>
      </c>
      <c r="EO315" s="212">
        <f>DL164</f>
        <v>1.36</v>
      </c>
      <c r="EP315" s="227">
        <f t="shared" si="41"/>
        <v>3.5476719328987077E-2</v>
      </c>
      <c r="EQ315" s="204"/>
      <c r="ER315" s="213">
        <f t="shared" si="42"/>
        <v>3.5986642863581463E-2</v>
      </c>
      <c r="ES315" s="41"/>
      <c r="ET315" s="41"/>
      <c r="EU315" s="41"/>
      <c r="EV315" s="41"/>
    </row>
    <row r="316" spans="94:152"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Q316" s="204"/>
      <c r="DR316" s="204"/>
      <c r="DS316" s="211"/>
      <c r="DT316" s="211"/>
      <c r="DU316" s="211"/>
      <c r="DV316" s="211"/>
      <c r="DW316" s="211"/>
      <c r="DX316" s="211"/>
      <c r="DY316" s="211"/>
      <c r="DZ316" s="211"/>
      <c r="EA316" s="211"/>
      <c r="EB316" s="211"/>
      <c r="EC316" s="211"/>
      <c r="ED316" s="211"/>
      <c r="EE316" s="211"/>
      <c r="EF316" s="211"/>
      <c r="EG316" s="211"/>
      <c r="EH316" s="211"/>
      <c r="EI316" s="211"/>
      <c r="EJ316" s="211"/>
      <c r="EK316" s="211"/>
      <c r="EL316" s="211"/>
      <c r="EM316" s="211"/>
      <c r="EN316" s="211"/>
      <c r="EO316" s="211"/>
      <c r="EP316" s="211"/>
      <c r="EQ316" s="204"/>
      <c r="ER316" s="204"/>
      <c r="ES316" s="41"/>
      <c r="ET316" s="41"/>
      <c r="EU316" s="41"/>
      <c r="EV316" s="41"/>
    </row>
    <row r="317" spans="94:152"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Q317" s="216" t="s">
        <v>312</v>
      </c>
      <c r="DR317" s="204" t="s">
        <v>313</v>
      </c>
      <c r="DS317" s="211"/>
      <c r="DT317" s="211"/>
      <c r="DU317" s="211"/>
      <c r="DV317" s="211"/>
      <c r="DW317" s="211"/>
      <c r="DX317" s="211"/>
      <c r="DY317" s="211"/>
      <c r="DZ317" s="211"/>
      <c r="EA317" s="211"/>
      <c r="EB317" s="211"/>
      <c r="EC317" s="211"/>
      <c r="ED317" s="211"/>
      <c r="EE317" s="211"/>
      <c r="EF317" s="211"/>
      <c r="EG317" s="211"/>
      <c r="EH317" s="211"/>
      <c r="EI317" s="211"/>
      <c r="EJ317" s="211"/>
      <c r="EK317" s="211"/>
      <c r="EL317" s="211"/>
      <c r="EM317" s="211"/>
      <c r="EN317" s="211"/>
      <c r="EO317" s="211"/>
      <c r="EP317" s="211"/>
      <c r="EQ317" s="204"/>
      <c r="ER317" s="204"/>
      <c r="ES317" s="41"/>
      <c r="ET317" s="41"/>
      <c r="EU317" s="41"/>
      <c r="EV317" s="41"/>
    </row>
    <row r="318" spans="94:152"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Q318" s="204"/>
      <c r="DR318" s="204"/>
      <c r="DS318" s="204"/>
      <c r="DT318" s="204"/>
      <c r="DU318" s="204"/>
      <c r="DV318" s="204"/>
      <c r="DW318" s="204"/>
      <c r="DX318" s="204"/>
      <c r="DY318" s="204"/>
      <c r="DZ318" s="204"/>
      <c r="EA318" s="204"/>
      <c r="EB318" s="204"/>
      <c r="EC318" s="204"/>
      <c r="ED318" s="204"/>
      <c r="EE318" s="204"/>
      <c r="EF318" s="204"/>
      <c r="EG318" s="204"/>
      <c r="EH318" s="204"/>
      <c r="EI318" s="204"/>
      <c r="EJ318" s="204"/>
      <c r="EK318" s="204"/>
      <c r="EL318" s="204"/>
      <c r="EM318" s="204"/>
      <c r="EN318" s="204"/>
      <c r="EO318" s="204"/>
      <c r="EP318" s="204"/>
      <c r="EQ318" s="204"/>
      <c r="ER318" s="204"/>
      <c r="ES318" s="41"/>
      <c r="ET318" s="41"/>
      <c r="EU318" s="41"/>
      <c r="EV318" s="41"/>
    </row>
    <row r="319" spans="94:152"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Q319" s="204"/>
      <c r="DR319" s="204"/>
      <c r="DS319" s="204"/>
      <c r="DT319" s="204"/>
      <c r="DU319" s="204"/>
      <c r="DV319" s="204"/>
      <c r="DW319" s="204"/>
      <c r="DX319" s="204"/>
      <c r="DY319" s="204"/>
      <c r="DZ319" s="204"/>
      <c r="EA319" s="204"/>
      <c r="EB319" s="204"/>
      <c r="EC319" s="204"/>
      <c r="ED319" s="204"/>
      <c r="EE319" s="204"/>
      <c r="EF319" s="204"/>
      <c r="EG319" s="204"/>
      <c r="EH319" s="204"/>
      <c r="EI319" s="204"/>
      <c r="EJ319" s="204"/>
      <c r="EK319" s="204"/>
      <c r="EL319" s="204"/>
      <c r="EM319" s="204"/>
      <c r="EN319" s="204"/>
      <c r="EO319" s="204"/>
      <c r="EP319" s="204"/>
      <c r="EQ319" s="204"/>
      <c r="ER319" s="204"/>
      <c r="ES319" s="41"/>
      <c r="ET319" s="41"/>
      <c r="EU319" s="41"/>
      <c r="EV319" s="41"/>
    </row>
    <row r="320" spans="94:152"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Q320" s="204"/>
      <c r="DR320" s="204"/>
      <c r="DS320" s="204"/>
      <c r="DT320" s="204"/>
      <c r="DU320" s="204"/>
      <c r="DV320" s="204"/>
      <c r="DW320" s="204"/>
      <c r="DX320" s="204"/>
      <c r="DY320" s="204"/>
      <c r="DZ320" s="204"/>
      <c r="EA320" s="204"/>
      <c r="EB320" s="204"/>
      <c r="EC320" s="204"/>
      <c r="ED320" s="204"/>
      <c r="EE320" s="204"/>
      <c r="EF320" s="204"/>
      <c r="EG320" s="204"/>
      <c r="EH320" s="204"/>
      <c r="EI320" s="204"/>
      <c r="EJ320" s="204"/>
      <c r="EK320" s="204"/>
      <c r="EL320" s="204"/>
      <c r="EM320" s="204"/>
      <c r="EN320" s="204"/>
      <c r="EO320" s="204"/>
      <c r="EP320" s="204"/>
      <c r="EQ320" s="204"/>
      <c r="ER320" s="204"/>
      <c r="ES320" s="41"/>
      <c r="ET320" s="41"/>
      <c r="EU320" s="41"/>
      <c r="EV320" s="41"/>
    </row>
    <row r="321" spans="94:152"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Q321" s="204"/>
      <c r="DR321" s="204"/>
      <c r="DS321" s="204"/>
      <c r="DT321" s="204"/>
      <c r="DU321" s="204"/>
      <c r="DV321" s="204"/>
      <c r="DW321" s="204"/>
      <c r="DX321" s="204"/>
      <c r="DY321" s="204"/>
      <c r="DZ321" s="204"/>
      <c r="EA321" s="204"/>
      <c r="EB321" s="204"/>
      <c r="EC321" s="204"/>
      <c r="ED321" s="204"/>
      <c r="EE321" s="204"/>
      <c r="EF321" s="204"/>
      <c r="EG321" s="204"/>
      <c r="EH321" s="204"/>
      <c r="EI321" s="204"/>
      <c r="EJ321" s="204"/>
      <c r="EK321" s="204"/>
      <c r="EL321" s="204"/>
      <c r="EM321" s="204"/>
      <c r="EN321" s="204"/>
      <c r="EO321" s="204"/>
      <c r="EP321" s="204"/>
      <c r="EQ321" s="204"/>
      <c r="ER321" s="204"/>
      <c r="ES321" s="41"/>
      <c r="ET321" s="41"/>
      <c r="EU321" s="41"/>
      <c r="EV321" s="41"/>
    </row>
    <row r="322" spans="94:152"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S322" s="41"/>
      <c r="DT322" s="41"/>
      <c r="DU322" s="41"/>
      <c r="DV322" s="41"/>
      <c r="DW322" s="41"/>
      <c r="DX322" s="41"/>
      <c r="DY322" s="41"/>
      <c r="DZ322" s="41"/>
      <c r="EA322" s="41"/>
      <c r="EB322" s="41"/>
      <c r="EC322" s="41"/>
      <c r="ED322" s="41"/>
      <c r="EE322" s="41"/>
      <c r="EF322" s="41"/>
      <c r="EG322" s="41"/>
      <c r="EH322" s="41"/>
      <c r="EI322" s="41"/>
      <c r="EJ322" s="41"/>
      <c r="EK322" s="41"/>
      <c r="EL322" s="41"/>
      <c r="EM322" s="41"/>
      <c r="EN322" s="41"/>
      <c r="EO322" s="41"/>
      <c r="EP322" s="41"/>
      <c r="EQ322" s="41"/>
      <c r="ER322" s="41"/>
      <c r="ES322" s="41"/>
      <c r="ET322" s="41"/>
      <c r="EU322" s="41"/>
      <c r="EV322" s="41"/>
    </row>
    <row r="323" spans="94:152"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S323" s="41"/>
      <c r="DT323" s="41"/>
      <c r="DU323" s="41"/>
      <c r="DV323" s="41"/>
      <c r="DW323" s="41"/>
      <c r="DX323" s="41"/>
      <c r="DY323" s="41"/>
      <c r="DZ323" s="41"/>
      <c r="EA323" s="41"/>
      <c r="EB323" s="41"/>
      <c r="EC323" s="41"/>
      <c r="ED323" s="41"/>
      <c r="EE323" s="41"/>
      <c r="EF323" s="41"/>
      <c r="EG323" s="41"/>
      <c r="EH323" s="41"/>
      <c r="EI323" s="41"/>
      <c r="EJ323" s="41"/>
      <c r="EK323" s="41"/>
      <c r="EL323" s="41"/>
      <c r="EM323" s="41"/>
      <c r="EN323" s="41"/>
      <c r="EO323" s="41"/>
      <c r="EP323" s="41"/>
      <c r="EQ323" s="41"/>
      <c r="ER323" s="41"/>
      <c r="ES323" s="41"/>
      <c r="ET323" s="41"/>
      <c r="EU323" s="41"/>
      <c r="EV323" s="41"/>
    </row>
    <row r="324" spans="94:152"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S324" s="41"/>
      <c r="DT324" s="41"/>
      <c r="DU324" s="41"/>
      <c r="DV324" s="41"/>
      <c r="DW324" s="41"/>
      <c r="DX324" s="41"/>
      <c r="DY324" s="41"/>
      <c r="DZ324" s="41"/>
      <c r="EA324" s="41"/>
      <c r="EB324" s="41"/>
      <c r="EC324" s="41"/>
      <c r="ED324" s="41"/>
      <c r="EE324" s="41"/>
      <c r="EF324" s="41"/>
      <c r="EG324" s="41"/>
      <c r="EH324" s="41"/>
      <c r="EI324" s="41"/>
      <c r="EJ324" s="41"/>
      <c r="EK324" s="41"/>
      <c r="EL324" s="41"/>
      <c r="EM324" s="41"/>
      <c r="EN324" s="41"/>
      <c r="EO324" s="41"/>
      <c r="EP324" s="41"/>
      <c r="EQ324" s="41"/>
      <c r="ER324" s="41"/>
      <c r="ES324" s="41"/>
      <c r="ET324" s="41"/>
      <c r="EU324" s="41"/>
      <c r="EV324" s="41"/>
    </row>
    <row r="325" spans="94:152"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S325" s="41"/>
      <c r="DT325" s="41"/>
      <c r="DU325" s="41"/>
      <c r="DV325" s="41"/>
      <c r="DW325" s="41"/>
      <c r="DX325" s="41"/>
      <c r="DY325" s="41"/>
      <c r="DZ325" s="41"/>
      <c r="EA325" s="41"/>
      <c r="EB325" s="41"/>
      <c r="EC325" s="41"/>
      <c r="ED325" s="41"/>
      <c r="EE325" s="41"/>
      <c r="EF325" s="41"/>
      <c r="EG325" s="41"/>
      <c r="EH325" s="41"/>
      <c r="EI325" s="41"/>
      <c r="EJ325" s="41"/>
      <c r="EK325" s="41"/>
      <c r="EL325" s="41"/>
      <c r="EM325" s="41"/>
      <c r="EN325" s="41"/>
      <c r="EO325" s="41"/>
      <c r="EP325" s="41"/>
      <c r="EQ325" s="41"/>
      <c r="ER325" s="41"/>
      <c r="ES325" s="41"/>
      <c r="ET325" s="41"/>
      <c r="EU325" s="41"/>
      <c r="EV325" s="41"/>
    </row>
    <row r="326" spans="94:152"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S326" s="41"/>
      <c r="DT326" s="41"/>
      <c r="DU326" s="41"/>
      <c r="DV326" s="41"/>
      <c r="DW326" s="41"/>
      <c r="DX326" s="41"/>
      <c r="DY326" s="41"/>
      <c r="DZ326" s="41"/>
      <c r="EA326" s="41"/>
      <c r="EB326" s="41"/>
      <c r="EC326" s="41"/>
      <c r="ED326" s="41"/>
      <c r="EE326" s="41"/>
      <c r="EF326" s="41"/>
      <c r="EG326" s="41"/>
      <c r="EH326" s="41"/>
      <c r="EI326" s="41"/>
      <c r="EJ326" s="41"/>
      <c r="EK326" s="41"/>
      <c r="EL326" s="41"/>
      <c r="EM326" s="41"/>
      <c r="EN326" s="41"/>
      <c r="EO326" s="41"/>
      <c r="EP326" s="41"/>
      <c r="EQ326" s="41"/>
      <c r="ER326" s="41"/>
      <c r="ES326" s="41"/>
      <c r="ET326" s="41"/>
      <c r="EU326" s="41"/>
      <c r="EV326" s="41"/>
    </row>
    <row r="327" spans="94:152"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S327" s="41"/>
      <c r="DT327" s="41"/>
      <c r="DU327" s="41"/>
      <c r="DV327" s="41"/>
      <c r="DW327" s="41"/>
      <c r="DX327" s="41"/>
      <c r="DY327" s="41"/>
      <c r="DZ327" s="41"/>
      <c r="EA327" s="41"/>
      <c r="EB327" s="41"/>
      <c r="EC327" s="41"/>
      <c r="ED327" s="41"/>
      <c r="EE327" s="41"/>
      <c r="EF327" s="41"/>
      <c r="EG327" s="41"/>
      <c r="EH327" s="41"/>
      <c r="EI327" s="41"/>
      <c r="EJ327" s="41"/>
      <c r="EK327" s="41"/>
      <c r="EL327" s="41"/>
      <c r="EM327" s="41"/>
      <c r="EN327" s="41"/>
      <c r="EO327" s="41"/>
      <c r="EP327" s="41"/>
      <c r="EQ327" s="41"/>
      <c r="ER327" s="41"/>
      <c r="ES327" s="41"/>
      <c r="ET327" s="41"/>
      <c r="EU327" s="41"/>
      <c r="EV327" s="41"/>
    </row>
    <row r="328" spans="94:152"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S328" s="41"/>
      <c r="DT328" s="41"/>
      <c r="DU328" s="41"/>
      <c r="DV328" s="41"/>
      <c r="DW328" s="41"/>
      <c r="DX328" s="41"/>
      <c r="DY328" s="41"/>
      <c r="DZ328" s="41"/>
      <c r="EA328" s="41"/>
      <c r="EB328" s="41"/>
      <c r="EC328" s="41"/>
      <c r="ED328" s="41"/>
      <c r="EE328" s="41"/>
      <c r="EF328" s="41"/>
      <c r="EG328" s="41"/>
      <c r="EH328" s="41"/>
      <c r="EI328" s="41"/>
      <c r="EJ328" s="41"/>
      <c r="EK328" s="41"/>
      <c r="EL328" s="41"/>
      <c r="EM328" s="41"/>
      <c r="EN328" s="41"/>
      <c r="EO328" s="41"/>
      <c r="EP328" s="41"/>
      <c r="EQ328" s="41"/>
      <c r="ER328" s="41"/>
      <c r="ES328" s="41"/>
      <c r="ET328" s="41"/>
      <c r="EU328" s="41"/>
      <c r="EV328" s="41"/>
    </row>
    <row r="329" spans="94:152"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</row>
    <row r="330" spans="94:152"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</row>
    <row r="331" spans="94:152"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</row>
    <row r="332" spans="94:152"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</row>
    <row r="333" spans="94:152"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</row>
    <row r="334" spans="94:152"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</row>
    <row r="335" spans="94:152"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</row>
    <row r="336" spans="94:152"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</row>
    <row r="337" spans="94:114"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</row>
    <row r="338" spans="94:114"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</row>
    <row r="339" spans="94:114"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</row>
    <row r="340" spans="94:114"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</row>
    <row r="341" spans="94:114"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</row>
    <row r="342" spans="94:114"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</row>
    <row r="343" spans="94:114"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</row>
    <row r="344" spans="94:114"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</row>
    <row r="345" spans="94:114"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</row>
    <row r="346" spans="94:114"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</row>
    <row r="347" spans="94:114"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</row>
    <row r="348" spans="94:114"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</row>
    <row r="349" spans="94:114"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</row>
    <row r="350" spans="94:114"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</row>
    <row r="351" spans="94:114"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</row>
    <row r="352" spans="94:114"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</row>
    <row r="353" spans="94:114"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</row>
    <row r="354" spans="94:114"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</row>
    <row r="355" spans="94:114"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</row>
    <row r="356" spans="94:114"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</row>
    <row r="357" spans="94:114"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</row>
    <row r="358" spans="94:114"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</row>
    <row r="359" spans="94:114"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</row>
    <row r="360" spans="94:114"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</row>
    <row r="361" spans="94:114"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</row>
    <row r="362" spans="94:114"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</row>
    <row r="363" spans="94:114"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</row>
    <row r="364" spans="94:114"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</row>
    <row r="365" spans="94:114"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</row>
    <row r="366" spans="94:114"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</row>
    <row r="367" spans="94:114"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</row>
    <row r="368" spans="94:114"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</row>
    <row r="369" spans="94:114"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</row>
    <row r="370" spans="94:114"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</row>
    <row r="371" spans="94:114"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</row>
    <row r="372" spans="94:114"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</row>
    <row r="373" spans="94:114"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</row>
    <row r="374" spans="94:114"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</row>
    <row r="375" spans="94:114"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</row>
    <row r="376" spans="94:114"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</row>
    <row r="377" spans="94:114"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</row>
    <row r="378" spans="94:114"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</row>
    <row r="379" spans="94:114"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</row>
    <row r="380" spans="94:114"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</row>
    <row r="381" spans="94:114"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</row>
    <row r="382" spans="94:114"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</row>
    <row r="383" spans="94:114"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</row>
    <row r="384" spans="94:114"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</row>
    <row r="385" spans="94:114"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</row>
    <row r="386" spans="94:114"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</row>
    <row r="387" spans="94:114"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</row>
    <row r="388" spans="94:114"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</row>
    <row r="389" spans="94:114"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</row>
    <row r="390" spans="94:114"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</row>
    <row r="391" spans="94:114"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</row>
    <row r="392" spans="94:114"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</row>
    <row r="393" spans="94:114"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</row>
    <row r="394" spans="94:114"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</row>
    <row r="395" spans="94:114"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</row>
    <row r="396" spans="94:114"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</row>
    <row r="397" spans="94:114"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</row>
    <row r="398" spans="94:114"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</row>
    <row r="399" spans="94:114"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</row>
    <row r="400" spans="94:114"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</row>
    <row r="401" spans="94:114"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</row>
    <row r="402" spans="94:114"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</row>
    <row r="403" spans="94:114"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</row>
    <row r="404" spans="94:114"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</row>
    <row r="405" spans="94:114"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</row>
    <row r="406" spans="94:114"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</row>
    <row r="407" spans="94:114"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</row>
    <row r="408" spans="94:114"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</row>
    <row r="409" spans="94:114"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</row>
    <row r="410" spans="94:114"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</row>
    <row r="411" spans="94:114"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</row>
    <row r="412" spans="94:114"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</row>
    <row r="413" spans="94:114"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</row>
    <row r="414" spans="94:114"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</row>
    <row r="415" spans="94:114"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</row>
    <row r="416" spans="94:114"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</row>
    <row r="417" spans="94:114"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</row>
    <row r="418" spans="94:114"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</row>
    <row r="419" spans="94:114"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</row>
    <row r="420" spans="94:114"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</row>
    <row r="421" spans="94:114"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</row>
    <row r="422" spans="94:114"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</row>
    <row r="423" spans="94:114"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</row>
    <row r="424" spans="94:114"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</row>
    <row r="425" spans="94:114"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</row>
    <row r="426" spans="94:114"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</row>
    <row r="427" spans="94:114"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</row>
    <row r="428" spans="94:114"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</row>
    <row r="429" spans="94:114"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</row>
    <row r="430" spans="94:114"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</row>
    <row r="431" spans="94:114"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</row>
    <row r="432" spans="94:114"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</row>
    <row r="433" spans="94:114"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</row>
    <row r="434" spans="94:114"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</row>
    <row r="435" spans="94:114"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</row>
    <row r="436" spans="94:114"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</row>
    <row r="437" spans="94:114"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</row>
    <row r="438" spans="94:114"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</row>
    <row r="439" spans="94:114"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</row>
    <row r="440" spans="94:114"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</row>
    <row r="441" spans="94:114"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</row>
    <row r="442" spans="94:114"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</row>
    <row r="443" spans="94:114"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</row>
    <row r="444" spans="94:114"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</row>
    <row r="445" spans="94:114"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</row>
    <row r="446" spans="94:114"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</row>
    <row r="447" spans="94:114"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</row>
    <row r="448" spans="94:114"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</row>
    <row r="449" spans="94:114"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</row>
    <row r="450" spans="94:114"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</row>
    <row r="451" spans="94:114"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</row>
    <row r="452" spans="94:114"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</row>
    <row r="453" spans="94:114"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</row>
    <row r="454" spans="94:114"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</row>
    <row r="455" spans="94:114"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</row>
    <row r="456" spans="94:114"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</row>
    <row r="457" spans="94:114"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</row>
    <row r="458" spans="94:114"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</row>
    <row r="459" spans="94:114"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</row>
    <row r="460" spans="94:114"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</row>
    <row r="461" spans="94:114"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</row>
    <row r="462" spans="94:114"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</row>
    <row r="463" spans="94:114"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</row>
    <row r="464" spans="94:114"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</row>
    <row r="465" spans="94:114"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</row>
    <row r="466" spans="94:114"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</row>
    <row r="467" spans="94:114"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</row>
    <row r="468" spans="94:114"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</row>
    <row r="469" spans="94:114"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</row>
    <row r="470" spans="94:114"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</row>
    <row r="471" spans="94:114"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</row>
    <row r="472" spans="94:114"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</row>
    <row r="473" spans="94:114"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</row>
    <row r="474" spans="94:114"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</row>
    <row r="475" spans="94:114"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</row>
    <row r="476" spans="94:114"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</row>
    <row r="477" spans="94:114"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</row>
    <row r="478" spans="94:114"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</row>
    <row r="479" spans="94:114"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</row>
    <row r="480" spans="94:114"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</row>
    <row r="481" spans="94:114"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</row>
    <row r="482" spans="94:114"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</row>
    <row r="483" spans="94:114"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</row>
    <row r="484" spans="94:114"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</row>
    <row r="485" spans="94:114"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</row>
    <row r="486" spans="94:114"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</row>
    <row r="487" spans="94:114"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</row>
    <row r="488" spans="94:114"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</row>
    <row r="489" spans="94:114"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</row>
    <row r="490" spans="94:114"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</row>
    <row r="491" spans="94:114"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</row>
    <row r="492" spans="94:114"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</row>
    <row r="493" spans="94:114"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</row>
    <row r="494" spans="94:114"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</row>
    <row r="495" spans="94:114"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</row>
    <row r="496" spans="94:114"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</row>
    <row r="497" spans="94:114"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</row>
    <row r="498" spans="94:114"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</row>
    <row r="499" spans="94:114"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</row>
    <row r="500" spans="94:114"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</row>
    <row r="501" spans="94:114"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</row>
    <row r="502" spans="94:114"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</row>
    <row r="503" spans="94:114"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</row>
    <row r="504" spans="94:114"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</row>
    <row r="505" spans="94:114"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</row>
    <row r="506" spans="94:114"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</row>
    <row r="507" spans="94:114"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</row>
    <row r="508" spans="94:114"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</row>
    <row r="509" spans="94:114"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</row>
    <row r="510" spans="94:114"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</row>
    <row r="511" spans="94:114"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</row>
    <row r="512" spans="94:114"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</row>
    <row r="513" spans="94:114"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</row>
    <row r="514" spans="94:114"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</row>
    <row r="515" spans="94:114"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</row>
    <row r="516" spans="94:114"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</row>
    <row r="517" spans="94:114"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</row>
    <row r="518" spans="94:114"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</row>
    <row r="519" spans="94:114"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</row>
    <row r="520" spans="94:114"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</row>
    <row r="521" spans="94:114"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</row>
    <row r="522" spans="94:114"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</row>
    <row r="523" spans="94:114"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</row>
    <row r="524" spans="94:114"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</row>
    <row r="525" spans="94:114"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</row>
    <row r="526" spans="94:114"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</row>
    <row r="527" spans="94:114"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</row>
    <row r="528" spans="94:114"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</row>
    <row r="529" spans="94:114"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</row>
    <row r="530" spans="94:114"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</row>
    <row r="531" spans="94:114"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</row>
    <row r="532" spans="94:114"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</row>
    <row r="533" spans="94:114"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</row>
    <row r="534" spans="94:114"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</row>
    <row r="535" spans="94:114"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</row>
    <row r="536" spans="94:114"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</row>
    <row r="537" spans="94:114"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</row>
    <row r="538" spans="94:114"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</row>
    <row r="539" spans="94:114"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</row>
    <row r="540" spans="94:114"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</row>
    <row r="541" spans="94:114"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</row>
    <row r="542" spans="94:114"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</row>
    <row r="543" spans="94:114"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</row>
    <row r="544" spans="94:114"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</row>
    <row r="545" spans="94:114"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</row>
    <row r="546" spans="94:114"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</row>
    <row r="547" spans="94:114"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</row>
    <row r="548" spans="94:114"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</row>
    <row r="549" spans="94:114"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</row>
    <row r="550" spans="94:114"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</row>
    <row r="551" spans="94:114"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</row>
    <row r="552" spans="94:114"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</row>
    <row r="553" spans="94:114"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</row>
    <row r="554" spans="94:114"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</row>
    <row r="555" spans="94:114"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</row>
    <row r="556" spans="94:114"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</row>
    <row r="557" spans="94:114"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</row>
    <row r="558" spans="94:114"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</row>
    <row r="559" spans="94:114"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</row>
    <row r="560" spans="94:114"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</row>
    <row r="561" spans="94:114"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</row>
    <row r="562" spans="94:114"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</row>
    <row r="563" spans="94:114"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</row>
    <row r="564" spans="94:114"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</row>
    <row r="565" spans="94:114"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</row>
  </sheetData>
  <mergeCells count="35">
    <mergeCell ref="EA291:EH291"/>
    <mergeCell ref="EM294:EP294"/>
    <mergeCell ref="DS294:DV294"/>
    <mergeCell ref="DW294:DZ294"/>
    <mergeCell ref="EA294:ED294"/>
    <mergeCell ref="EE294:EH294"/>
    <mergeCell ref="EI294:EL294"/>
    <mergeCell ref="BP160:BT160"/>
    <mergeCell ref="BU160:BY160"/>
    <mergeCell ref="BZ160:CD160"/>
    <mergeCell ref="DD160:DH160"/>
    <mergeCell ref="DI160:DM160"/>
    <mergeCell ref="CE160:CI160"/>
    <mergeCell ref="CJ160:CN160"/>
    <mergeCell ref="CO160:CS160"/>
    <mergeCell ref="CY160:DC160"/>
    <mergeCell ref="CT160:CX160"/>
    <mergeCell ref="AQ160:AU160"/>
    <mergeCell ref="AV160:AZ160"/>
    <mergeCell ref="BA160:BE160"/>
    <mergeCell ref="BF160:BJ160"/>
    <mergeCell ref="BK160:BO160"/>
    <mergeCell ref="AL160:AP160"/>
    <mergeCell ref="U103:V103"/>
    <mergeCell ref="U105:V105"/>
    <mergeCell ref="Q102:T102"/>
    <mergeCell ref="U109:V109"/>
    <mergeCell ref="U111:V111"/>
    <mergeCell ref="U114:V114"/>
    <mergeCell ref="N119:X119"/>
    <mergeCell ref="P101:V101"/>
    <mergeCell ref="A100:J100"/>
    <mergeCell ref="AB160:AF160"/>
    <mergeCell ref="AG160:AK160"/>
    <mergeCell ref="E124:G124"/>
  </mergeCells>
  <printOptions horizontalCentered="1" verticalCentered="1"/>
  <pageMargins left="0.7" right="0.7" top="0.75" bottom="0.75" header="0.3" footer="0.3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N16"/>
  <sheetViews>
    <sheetView topLeftCell="V1" workbookViewId="0">
      <selection activeCell="D10" sqref="D10"/>
    </sheetView>
  </sheetViews>
  <sheetFormatPr defaultRowHeight="15"/>
  <cols>
    <col min="1" max="1" width="17.140625" customWidth="1"/>
    <col min="2" max="2" width="13.28515625" customWidth="1"/>
    <col min="4" max="4" width="11.42578125" customWidth="1"/>
    <col min="6" max="6" width="13.85546875" customWidth="1"/>
    <col min="8" max="8" width="11.140625" customWidth="1"/>
    <col min="10" max="10" width="11" customWidth="1"/>
    <col min="12" max="12" width="10.5703125" customWidth="1"/>
    <col min="14" max="14" width="11.85546875" customWidth="1"/>
    <col min="16" max="16" width="11.85546875" customWidth="1"/>
    <col min="18" max="18" width="10.5703125" customWidth="1"/>
    <col min="20" max="20" width="10.28515625" customWidth="1"/>
    <col min="22" max="22" width="13.140625" customWidth="1"/>
    <col min="24" max="24" width="11.85546875" customWidth="1"/>
    <col min="26" max="26" width="10.5703125" customWidth="1"/>
    <col min="30" max="30" width="11.42578125" customWidth="1"/>
    <col min="32" max="32" width="10.5703125" customWidth="1"/>
    <col min="34" max="34" width="11.140625" customWidth="1"/>
    <col min="36" max="36" width="9.42578125" customWidth="1"/>
    <col min="38" max="38" width="10.5703125" customWidth="1"/>
    <col min="39" max="39" width="10.7109375" customWidth="1"/>
  </cols>
  <sheetData>
    <row r="6" spans="1:40" ht="30" customHeight="1">
      <c r="A6" s="20" t="s">
        <v>48</v>
      </c>
      <c r="B6" s="229" t="s">
        <v>13</v>
      </c>
      <c r="C6" s="229"/>
      <c r="D6" s="229" t="s">
        <v>43</v>
      </c>
      <c r="E6" s="229"/>
      <c r="F6" s="229" t="s">
        <v>17</v>
      </c>
      <c r="G6" s="229"/>
      <c r="H6" s="229" t="s">
        <v>0</v>
      </c>
      <c r="I6" s="229"/>
      <c r="J6" s="229" t="s">
        <v>19</v>
      </c>
      <c r="K6" s="229"/>
      <c r="L6" s="229" t="s">
        <v>3</v>
      </c>
      <c r="M6" s="229"/>
      <c r="N6" s="229" t="s">
        <v>1</v>
      </c>
      <c r="O6" s="229"/>
      <c r="P6" s="229" t="s">
        <v>6</v>
      </c>
      <c r="Q6" s="229"/>
      <c r="R6" s="242" t="s">
        <v>36</v>
      </c>
      <c r="S6" s="242"/>
      <c r="T6" s="229" t="s">
        <v>25</v>
      </c>
      <c r="U6" s="229"/>
      <c r="V6" s="242" t="s">
        <v>39</v>
      </c>
      <c r="W6" s="242"/>
      <c r="X6" s="242" t="s">
        <v>40</v>
      </c>
      <c r="Y6" s="242"/>
      <c r="Z6" s="229" t="s">
        <v>7</v>
      </c>
      <c r="AA6" s="229"/>
      <c r="AB6" s="242" t="s">
        <v>250</v>
      </c>
      <c r="AC6" s="242"/>
      <c r="AD6" s="229" t="s">
        <v>27</v>
      </c>
      <c r="AE6" s="229"/>
      <c r="AF6" s="242" t="s">
        <v>28</v>
      </c>
      <c r="AG6" s="242"/>
      <c r="AH6" s="229" t="s">
        <v>42</v>
      </c>
      <c r="AI6" s="229"/>
      <c r="AK6" s="3" t="s">
        <v>149</v>
      </c>
      <c r="AL6" s="3" t="s">
        <v>150</v>
      </c>
      <c r="AM6" s="3" t="s">
        <v>151</v>
      </c>
    </row>
    <row r="8" spans="1:40">
      <c r="B8" s="21" t="s">
        <v>147</v>
      </c>
      <c r="C8" s="21" t="s">
        <v>148</v>
      </c>
      <c r="D8" s="21" t="s">
        <v>147</v>
      </c>
      <c r="E8" s="21" t="s">
        <v>148</v>
      </c>
      <c r="F8" s="21" t="s">
        <v>147</v>
      </c>
      <c r="G8" s="21" t="s">
        <v>148</v>
      </c>
      <c r="H8" s="21" t="s">
        <v>147</v>
      </c>
      <c r="I8" s="21" t="s">
        <v>148</v>
      </c>
      <c r="J8" s="21" t="s">
        <v>147</v>
      </c>
      <c r="K8" s="21" t="s">
        <v>148</v>
      </c>
      <c r="L8" s="21" t="s">
        <v>147</v>
      </c>
      <c r="M8" s="21" t="s">
        <v>148</v>
      </c>
      <c r="N8" s="21" t="s">
        <v>147</v>
      </c>
      <c r="O8" s="21" t="s">
        <v>148</v>
      </c>
      <c r="P8" s="21" t="s">
        <v>147</v>
      </c>
      <c r="Q8" s="21" t="s">
        <v>148</v>
      </c>
      <c r="R8" s="21" t="s">
        <v>147</v>
      </c>
      <c r="S8" s="21" t="s">
        <v>148</v>
      </c>
      <c r="T8" s="21" t="s">
        <v>147</v>
      </c>
      <c r="U8" s="21" t="s">
        <v>148</v>
      </c>
      <c r="V8" s="21" t="s">
        <v>147</v>
      </c>
      <c r="W8" s="21" t="s">
        <v>148</v>
      </c>
      <c r="X8" s="21" t="s">
        <v>147</v>
      </c>
      <c r="Y8" s="21" t="s">
        <v>148</v>
      </c>
      <c r="Z8" s="21" t="s">
        <v>147</v>
      </c>
      <c r="AA8" s="21" t="s">
        <v>148</v>
      </c>
      <c r="AB8" s="21" t="s">
        <v>147</v>
      </c>
      <c r="AC8" s="21" t="s">
        <v>148</v>
      </c>
      <c r="AD8" s="21" t="s">
        <v>147</v>
      </c>
      <c r="AE8" s="21" t="s">
        <v>148</v>
      </c>
      <c r="AF8" s="21" t="s">
        <v>147</v>
      </c>
      <c r="AG8" s="21" t="s">
        <v>148</v>
      </c>
      <c r="AH8" s="21" t="s">
        <v>147</v>
      </c>
      <c r="AI8" s="21" t="s">
        <v>148</v>
      </c>
    </row>
    <row r="10" spans="1:40">
      <c r="A10" t="s">
        <v>143</v>
      </c>
      <c r="B10" s="22">
        <f>36.3+1568.7</f>
        <v>1605</v>
      </c>
      <c r="C10" s="25">
        <f>+B10/B16</f>
        <v>0.46858577601307955</v>
      </c>
      <c r="D10" s="22">
        <f>313.4+3522.2</f>
        <v>3835.6</v>
      </c>
      <c r="E10" s="25">
        <f>+D10/D16</f>
        <v>0.49429745995334873</v>
      </c>
      <c r="F10" s="22">
        <f>328+5618</f>
        <v>5946</v>
      </c>
      <c r="G10" s="25">
        <f>+F10/F16</f>
        <v>0.62440929998109762</v>
      </c>
      <c r="H10" s="22">
        <f>739+12006</f>
        <v>12745</v>
      </c>
      <c r="I10" s="25">
        <f>+H10/H16</f>
        <v>0.49404969570105051</v>
      </c>
      <c r="J10" s="22">
        <f>473+8340+480</f>
        <v>9293</v>
      </c>
      <c r="K10" s="25">
        <f>+J10/J16</f>
        <v>0.51442014946028236</v>
      </c>
      <c r="L10" s="22">
        <f>2074+37495</f>
        <v>39569</v>
      </c>
      <c r="M10" s="25">
        <f>+L10/L16</f>
        <v>0.49900373284907185</v>
      </c>
      <c r="N10" s="22">
        <f>228.9+8805.6</f>
        <v>9034.5</v>
      </c>
      <c r="O10" s="25">
        <f>+N10/N16</f>
        <v>0.46601536104649061</v>
      </c>
      <c r="P10" s="22">
        <f>26681+2220-0.7</f>
        <v>28900.3</v>
      </c>
      <c r="Q10" s="25">
        <f>+P10/P16</f>
        <v>0.56145105421540453</v>
      </c>
      <c r="R10" s="22">
        <v>1782.1</v>
      </c>
      <c r="S10" s="25">
        <f>+R10/R16</f>
        <v>0.52688998610413029</v>
      </c>
      <c r="T10" s="22">
        <f>110+2645.6</f>
        <v>2755.6</v>
      </c>
      <c r="U10" s="25">
        <f>+T10/T16</f>
        <v>0.45310444619836882</v>
      </c>
      <c r="V10" s="22">
        <f>337.6+3462.4</f>
        <v>3800</v>
      </c>
      <c r="W10" s="25">
        <f>+V10/V16</f>
        <v>0.45324968093607987</v>
      </c>
      <c r="X10" s="22">
        <f>133+2071</f>
        <v>2204</v>
      </c>
      <c r="Y10" s="25">
        <f>+X10/X16</f>
        <v>0.49394890183774093</v>
      </c>
      <c r="Z10" s="22">
        <f>485+18563</f>
        <v>19048</v>
      </c>
      <c r="AA10" s="25">
        <f>+Z10/Z16</f>
        <v>0.65757586218800701</v>
      </c>
      <c r="AB10" s="22">
        <f>20418+6808</f>
        <v>27226</v>
      </c>
      <c r="AC10" s="25">
        <f>+AB10/AB16</f>
        <v>0.55196042654989252</v>
      </c>
      <c r="AD10" s="22">
        <f>73+1722.8</f>
        <v>1795.8</v>
      </c>
      <c r="AE10" s="25">
        <f>+AD10/AD16</f>
        <v>0.51609380388550408</v>
      </c>
      <c r="AF10" s="22">
        <f>9124.1+157.7</f>
        <v>9281.8000000000011</v>
      </c>
      <c r="AG10" s="25">
        <f>+AF10/AF16</f>
        <v>0.51660266043301617</v>
      </c>
      <c r="AH10" s="22">
        <f>657+12490.7</f>
        <v>13147.7</v>
      </c>
      <c r="AI10" s="25">
        <f>+AH10/AH16</f>
        <v>0.5536200028633268</v>
      </c>
      <c r="AJ10" s="13"/>
      <c r="AK10" s="27">
        <f>AVERAGE(C10,E10,G10,I10,K10,M10,O10,Q10,S10,U10,W10,Y10,AA10,AC10,AE10,AG10,AI10)</f>
        <v>0.52031048824799353</v>
      </c>
      <c r="AL10" s="27">
        <f>MAX(C10,E10,G10,I10,K10,M10,O10,Q10,S10,U10,W10,Y10,AA10,AE10,AG10,AI10)</f>
        <v>0.65757586218800701</v>
      </c>
      <c r="AM10" s="28">
        <f>MIN(C10,E10,G10,I10,K10,M10,O10,Q10,S10,U10,W10,Y10,AA10,AE10,AG10,AI10)</f>
        <v>0.45310444619836882</v>
      </c>
      <c r="AN10" s="25"/>
    </row>
    <row r="11" spans="1:40">
      <c r="C11" s="25"/>
      <c r="D11" s="22"/>
      <c r="E11" s="25"/>
      <c r="G11" s="25"/>
      <c r="I11" s="25"/>
      <c r="K11" s="25"/>
      <c r="M11" s="25"/>
      <c r="O11" s="25"/>
      <c r="Q11" s="25"/>
      <c r="S11" s="25"/>
      <c r="U11" s="25"/>
      <c r="W11" s="25"/>
      <c r="Y11" s="25"/>
      <c r="AA11" s="25"/>
      <c r="AB11" s="22"/>
      <c r="AC11" s="25"/>
      <c r="AE11" s="25"/>
      <c r="AG11" s="25"/>
      <c r="AI11" s="25"/>
      <c r="AK11" s="1"/>
      <c r="AM11" s="27"/>
    </row>
    <row r="12" spans="1:40">
      <c r="A12" t="s">
        <v>144</v>
      </c>
      <c r="B12" s="22"/>
      <c r="C12" s="25">
        <f>+B12/B16</f>
        <v>0</v>
      </c>
      <c r="D12" s="22">
        <v>200</v>
      </c>
      <c r="E12" s="25">
        <f>+D12/D16</f>
        <v>2.577419230124876E-2</v>
      </c>
      <c r="F12" s="22">
        <v>115.6</v>
      </c>
      <c r="G12" s="25">
        <f>+F12/F16</f>
        <v>1.2139541721798668E-2</v>
      </c>
      <c r="H12" s="22"/>
      <c r="I12" s="25">
        <f>+H12/H16</f>
        <v>0</v>
      </c>
      <c r="J12" s="22"/>
      <c r="K12" s="25">
        <f>+J12/J16</f>
        <v>0</v>
      </c>
      <c r="L12" s="22"/>
      <c r="M12" s="25">
        <f>+L12/L16</f>
        <v>0</v>
      </c>
      <c r="N12" s="22"/>
      <c r="O12" s="25">
        <f>+N12/N16</f>
        <v>0</v>
      </c>
      <c r="P12" s="22"/>
      <c r="Q12" s="25">
        <f>+P12/P16</f>
        <v>0</v>
      </c>
      <c r="R12" s="22"/>
      <c r="S12" s="25">
        <f>+R12/R16</f>
        <v>0</v>
      </c>
      <c r="T12" s="22"/>
      <c r="U12" s="25">
        <f>+T12/T16</f>
        <v>0</v>
      </c>
      <c r="V12" s="22"/>
      <c r="W12" s="25">
        <f>+V12/V16</f>
        <v>0</v>
      </c>
      <c r="X12" s="22"/>
      <c r="Y12" s="25">
        <f>+X12/X16</f>
        <v>0</v>
      </c>
      <c r="Z12" s="22"/>
      <c r="AA12" s="25">
        <f>+Z12/Z16</f>
        <v>0</v>
      </c>
      <c r="AB12" s="22">
        <v>118</v>
      </c>
      <c r="AC12" s="25">
        <f>+AB12/AB16</f>
        <v>2.3922474962494423E-3</v>
      </c>
      <c r="AD12" s="22"/>
      <c r="AE12" s="25">
        <f>+AD12/AD16</f>
        <v>0</v>
      </c>
      <c r="AF12" s="22">
        <v>30.4</v>
      </c>
      <c r="AG12" s="25">
        <f>+AF12/AF16</f>
        <v>1.6919908721545055E-3</v>
      </c>
      <c r="AH12" s="22"/>
      <c r="AI12" s="25">
        <f>+AH12/AH16</f>
        <v>0</v>
      </c>
      <c r="AK12" s="27">
        <f>AVERAGE(C12,E12,G12,I12,K12,M12,O12,Q12,S12,U12,W12,Y12,AA12,AC12,AE12,AG12,AI12)</f>
        <v>2.4704689642030225E-3</v>
      </c>
    </row>
    <row r="13" spans="1:40">
      <c r="C13" s="25"/>
      <c r="D13" s="22"/>
      <c r="E13" s="25"/>
      <c r="G13" s="25"/>
      <c r="I13" s="25"/>
      <c r="K13" s="25"/>
      <c r="M13" s="25"/>
      <c r="O13" s="25"/>
      <c r="Q13" s="25"/>
      <c r="S13" s="25"/>
      <c r="U13" s="25"/>
      <c r="W13" s="25"/>
      <c r="Y13" s="25"/>
      <c r="AA13" s="25"/>
      <c r="AB13" s="22"/>
      <c r="AC13" s="25"/>
      <c r="AE13" s="25"/>
      <c r="AG13" s="25"/>
      <c r="AI13" s="25"/>
      <c r="AK13" s="1"/>
    </row>
    <row r="14" spans="1:40">
      <c r="A14" t="s">
        <v>145</v>
      </c>
      <c r="B14" s="24">
        <v>1820.2</v>
      </c>
      <c r="C14" s="26">
        <f>+B14/B16</f>
        <v>0.53141422398692051</v>
      </c>
      <c r="D14" s="24">
        <v>3724.1</v>
      </c>
      <c r="E14" s="26">
        <f>+D14/D16</f>
        <v>0.47992834774540255</v>
      </c>
      <c r="F14" s="24">
        <v>3461</v>
      </c>
      <c r="G14" s="26">
        <f>+F14/F16</f>
        <v>0.36345115829710373</v>
      </c>
      <c r="H14" s="24">
        <v>13052</v>
      </c>
      <c r="I14" s="26">
        <f>+H14/H16</f>
        <v>0.50595030429894949</v>
      </c>
      <c r="J14" s="24">
        <v>8772</v>
      </c>
      <c r="K14" s="26">
        <f>+J14/J16</f>
        <v>0.48557985053971769</v>
      </c>
      <c r="L14" s="24">
        <v>39727</v>
      </c>
      <c r="M14" s="26">
        <f>+L14/L16</f>
        <v>0.50099626715092815</v>
      </c>
      <c r="N14" s="24">
        <v>10352.200000000001</v>
      </c>
      <c r="O14" s="26">
        <f>+N14/N16</f>
        <v>0.53398463895350934</v>
      </c>
      <c r="P14" s="24">
        <v>22574</v>
      </c>
      <c r="Q14" s="26">
        <f>+P14/P16</f>
        <v>0.43854894578459541</v>
      </c>
      <c r="R14" s="24">
        <v>1600.2</v>
      </c>
      <c r="S14" s="26">
        <f>+R14/R16</f>
        <v>0.47311001389586965</v>
      </c>
      <c r="T14" s="24">
        <v>3326</v>
      </c>
      <c r="U14" s="26">
        <f>+T14/T16</f>
        <v>0.54689555380163113</v>
      </c>
      <c r="V14" s="24">
        <v>4583.8999999999996</v>
      </c>
      <c r="W14" s="26">
        <f>+V14/V16</f>
        <v>0.54675031906392013</v>
      </c>
      <c r="X14" s="24">
        <v>2258</v>
      </c>
      <c r="Y14" s="26">
        <f>+X14/X16</f>
        <v>0.50605109816225913</v>
      </c>
      <c r="Z14" s="24">
        <v>9919</v>
      </c>
      <c r="AA14" s="26">
        <f>+Z14/Z16</f>
        <v>0.34242413781199293</v>
      </c>
      <c r="AB14" s="24">
        <v>21982</v>
      </c>
      <c r="AC14" s="26">
        <f>+AB14/AB16</f>
        <v>0.44564732595385803</v>
      </c>
      <c r="AD14" s="24">
        <v>1683.8</v>
      </c>
      <c r="AE14" s="26">
        <f>+AD14/AD16</f>
        <v>0.48390619611449592</v>
      </c>
      <c r="AF14" s="24">
        <f>3.2+4347.2+4299.8+4.6</f>
        <v>8654.8000000000011</v>
      </c>
      <c r="AG14" s="26">
        <f>+AF14/AF16</f>
        <v>0.48170534869482945</v>
      </c>
      <c r="AH14" s="24">
        <v>10600.9</v>
      </c>
      <c r="AI14" s="26">
        <f>+AH14/AH16</f>
        <v>0.44637999713667331</v>
      </c>
      <c r="AK14" s="50">
        <f>AVERAGE(C14,E14,G14,I14,K14,M14,O14,Q14,S14,U14,W14,Y14,AA14,AC14,AE14,AG14,AI14)</f>
        <v>0.47721904278780336</v>
      </c>
      <c r="AL14" s="27">
        <f>MAX(C14,E14,G14,I14,K14,M14,O14,Q14,S14,U14,W14,Y14,AA14,AE14,AG14,AI14)</f>
        <v>0.54689555380163113</v>
      </c>
      <c r="AM14" s="28">
        <f>MIN(C14,E14,G14,I14,K14,M14,O14,Q14,S14,U14,W14,Y14,AA14,AE14,AG14,AI14)</f>
        <v>0.34242413781199293</v>
      </c>
      <c r="AN14" s="25"/>
    </row>
    <row r="15" spans="1:40">
      <c r="AB15" s="22"/>
    </row>
    <row r="16" spans="1:40">
      <c r="A16" s="20" t="s">
        <v>146</v>
      </c>
      <c r="B16" s="22">
        <f t="shared" ref="B16:K16" si="0">+B10+B12+B14</f>
        <v>3425.2</v>
      </c>
      <c r="C16" s="25">
        <f t="shared" si="0"/>
        <v>1</v>
      </c>
      <c r="D16" s="22">
        <f t="shared" si="0"/>
        <v>7759.7</v>
      </c>
      <c r="E16" s="25">
        <f t="shared" si="0"/>
        <v>1</v>
      </c>
      <c r="F16" s="22">
        <f t="shared" si="0"/>
        <v>9522.6</v>
      </c>
      <c r="G16" s="25">
        <f t="shared" si="0"/>
        <v>1</v>
      </c>
      <c r="H16" s="22">
        <f t="shared" si="0"/>
        <v>25797</v>
      </c>
      <c r="I16" s="25">
        <f t="shared" si="0"/>
        <v>1</v>
      </c>
      <c r="J16" s="22">
        <f t="shared" si="0"/>
        <v>18065</v>
      </c>
      <c r="K16" s="25">
        <f t="shared" si="0"/>
        <v>1</v>
      </c>
      <c r="L16" s="23">
        <f>+L10+L12+L14</f>
        <v>79296</v>
      </c>
      <c r="M16" s="25">
        <f t="shared" ref="M16:AK16" si="1">+M10+M12+M14</f>
        <v>1</v>
      </c>
      <c r="N16" s="22">
        <f t="shared" si="1"/>
        <v>19386.7</v>
      </c>
      <c r="O16" s="25">
        <f t="shared" si="1"/>
        <v>1</v>
      </c>
      <c r="P16" s="22">
        <f t="shared" si="1"/>
        <v>51474.3</v>
      </c>
      <c r="Q16" s="25">
        <f t="shared" si="1"/>
        <v>1</v>
      </c>
      <c r="R16" s="22">
        <f t="shared" si="1"/>
        <v>3382.3</v>
      </c>
      <c r="S16" s="25">
        <f t="shared" si="1"/>
        <v>1</v>
      </c>
      <c r="T16" s="22">
        <f t="shared" si="1"/>
        <v>6081.6</v>
      </c>
      <c r="U16" s="25">
        <f t="shared" si="1"/>
        <v>1</v>
      </c>
      <c r="V16" s="22">
        <f t="shared" si="1"/>
        <v>8383.9</v>
      </c>
      <c r="W16" s="25">
        <f t="shared" si="1"/>
        <v>1</v>
      </c>
      <c r="X16" s="22">
        <f t="shared" si="1"/>
        <v>4462</v>
      </c>
      <c r="Y16" s="25">
        <f t="shared" si="1"/>
        <v>1</v>
      </c>
      <c r="Z16" s="22">
        <f t="shared" si="1"/>
        <v>28967</v>
      </c>
      <c r="AA16" s="25">
        <f t="shared" si="1"/>
        <v>1</v>
      </c>
      <c r="AB16" s="22">
        <f t="shared" si="1"/>
        <v>49326</v>
      </c>
      <c r="AC16" s="25">
        <f t="shared" si="1"/>
        <v>1</v>
      </c>
      <c r="AD16" s="22">
        <f t="shared" si="1"/>
        <v>3479.6</v>
      </c>
      <c r="AE16" s="25">
        <f t="shared" si="1"/>
        <v>1</v>
      </c>
      <c r="AF16" s="22">
        <f t="shared" si="1"/>
        <v>17967</v>
      </c>
      <c r="AG16" s="25">
        <f t="shared" si="1"/>
        <v>1.0000000000000002</v>
      </c>
      <c r="AH16" s="22">
        <f t="shared" si="1"/>
        <v>23748.6</v>
      </c>
      <c r="AI16" s="25">
        <f t="shared" si="1"/>
        <v>1</v>
      </c>
      <c r="AK16" s="25">
        <f t="shared" si="1"/>
        <v>0.99999999999999989</v>
      </c>
    </row>
  </sheetData>
  <mergeCells count="17">
    <mergeCell ref="V6:W6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X6:Y6"/>
    <mergeCell ref="Z6:AA6"/>
    <mergeCell ref="AD6:AE6"/>
    <mergeCell ref="AF6:AG6"/>
    <mergeCell ref="AH6:AI6"/>
    <mergeCell ref="AB6:AC6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197"/>
  <sheetViews>
    <sheetView topLeftCell="BA1" workbookViewId="0">
      <selection activeCell="BU25" sqref="BU25"/>
    </sheetView>
  </sheetViews>
  <sheetFormatPr defaultRowHeight="15"/>
  <cols>
    <col min="1" max="1" width="32.140625" customWidth="1"/>
    <col min="2" max="2" width="10.5703125" customWidth="1"/>
    <col min="19" max="19" width="10.42578125" customWidth="1"/>
  </cols>
  <sheetData>
    <row r="1" spans="1:73">
      <c r="A1" s="19" t="s">
        <v>152</v>
      </c>
    </row>
    <row r="2" spans="1:73">
      <c r="F2" s="31"/>
    </row>
    <row r="3" spans="1:73" ht="45" customHeight="1">
      <c r="A3" s="19" t="s">
        <v>13</v>
      </c>
      <c r="B3" s="242" t="s">
        <v>240</v>
      </c>
      <c r="C3" s="242"/>
    </row>
    <row r="4" spans="1:73">
      <c r="A4" t="s">
        <v>244</v>
      </c>
      <c r="B4" s="21" t="s">
        <v>147</v>
      </c>
      <c r="C4" s="21" t="s">
        <v>148</v>
      </c>
    </row>
    <row r="6" spans="1:73">
      <c r="A6" t="s">
        <v>143</v>
      </c>
      <c r="B6" s="22"/>
      <c r="C6" s="25" t="e">
        <f>+B6/B12</f>
        <v>#DIV/0!</v>
      </c>
    </row>
    <row r="7" spans="1:73">
      <c r="C7" s="25"/>
    </row>
    <row r="8" spans="1:73">
      <c r="A8" t="s">
        <v>144</v>
      </c>
      <c r="B8" s="22"/>
      <c r="C8" s="25" t="e">
        <f>+B8/B12</f>
        <v>#DIV/0!</v>
      </c>
    </row>
    <row r="9" spans="1:73">
      <c r="C9" s="25"/>
    </row>
    <row r="10" spans="1:73">
      <c r="A10" t="s">
        <v>145</v>
      </c>
      <c r="B10" s="24"/>
      <c r="C10" s="26" t="e">
        <f>+B10/B12</f>
        <v>#DIV/0!</v>
      </c>
    </row>
    <row r="12" spans="1:73">
      <c r="A12" s="20" t="s">
        <v>146</v>
      </c>
      <c r="B12" s="22">
        <f>+B6+B8+B10</f>
        <v>0</v>
      </c>
      <c r="C12" s="25" t="e">
        <f>+C6+C8+C10</f>
        <v>#DIV/0!</v>
      </c>
    </row>
    <row r="13" spans="1:73">
      <c r="A13" s="20"/>
      <c r="B13" s="22"/>
      <c r="C13" s="25"/>
    </row>
    <row r="14" spans="1:73">
      <c r="A14" s="20"/>
      <c r="B14" s="22"/>
      <c r="C14" s="25"/>
    </row>
    <row r="15" spans="1:73" ht="30" customHeight="1">
      <c r="A15" s="19" t="s">
        <v>43</v>
      </c>
      <c r="B15" s="242" t="s">
        <v>153</v>
      </c>
      <c r="C15" s="242"/>
      <c r="D15" s="242" t="s">
        <v>154</v>
      </c>
      <c r="E15" s="242"/>
      <c r="G15" s="40" t="s">
        <v>149</v>
      </c>
      <c r="K15" s="242" t="s">
        <v>241</v>
      </c>
      <c r="L15" s="242"/>
      <c r="M15" s="242" t="s">
        <v>153</v>
      </c>
      <c r="N15" s="242"/>
      <c r="O15" s="242" t="s">
        <v>154</v>
      </c>
      <c r="P15" s="242"/>
      <c r="Q15" s="242" t="s">
        <v>155</v>
      </c>
      <c r="R15" s="242"/>
      <c r="S15" s="229" t="s">
        <v>156</v>
      </c>
      <c r="T15" s="229"/>
      <c r="U15" s="242" t="s">
        <v>157</v>
      </c>
      <c r="V15" s="242"/>
      <c r="W15" s="242" t="s">
        <v>158</v>
      </c>
      <c r="X15" s="242"/>
      <c r="Y15" s="242" t="s">
        <v>159</v>
      </c>
      <c r="Z15" s="242"/>
      <c r="AA15" s="242" t="s">
        <v>160</v>
      </c>
      <c r="AB15" s="242"/>
      <c r="AC15" s="242" t="s">
        <v>161</v>
      </c>
      <c r="AD15" s="242"/>
      <c r="AE15" s="242" t="s">
        <v>162</v>
      </c>
      <c r="AF15" s="242"/>
      <c r="AG15" s="242" t="s">
        <v>163</v>
      </c>
      <c r="AH15" s="242"/>
      <c r="AI15" s="242" t="s">
        <v>164</v>
      </c>
      <c r="AJ15" s="242"/>
      <c r="AK15" s="242" t="s">
        <v>165</v>
      </c>
      <c r="AL15" s="242"/>
      <c r="AM15" s="242" t="s">
        <v>166</v>
      </c>
      <c r="AN15" s="242"/>
      <c r="AO15" s="242" t="s">
        <v>167</v>
      </c>
      <c r="AP15" s="242"/>
      <c r="AQ15" s="242" t="s">
        <v>169</v>
      </c>
      <c r="AR15" s="242"/>
      <c r="AS15" s="242" t="s">
        <v>171</v>
      </c>
      <c r="AT15" s="242"/>
      <c r="AU15" s="242" t="s">
        <v>172</v>
      </c>
      <c r="AV15" s="242"/>
      <c r="AW15" s="242" t="s">
        <v>183</v>
      </c>
      <c r="AX15" s="242"/>
      <c r="AY15" s="242" t="s">
        <v>251</v>
      </c>
      <c r="AZ15" s="242"/>
      <c r="BA15" s="242" t="s">
        <v>252</v>
      </c>
      <c r="BB15" s="242"/>
      <c r="BC15" s="242" t="s">
        <v>253</v>
      </c>
      <c r="BD15" s="242"/>
      <c r="BE15" s="242" t="s">
        <v>254</v>
      </c>
      <c r="BF15" s="242"/>
      <c r="BG15" s="242" t="s">
        <v>173</v>
      </c>
      <c r="BH15" s="242"/>
      <c r="BI15" s="242" t="s">
        <v>174</v>
      </c>
      <c r="BJ15" s="242"/>
      <c r="BK15" s="242" t="s">
        <v>175</v>
      </c>
      <c r="BL15" s="242"/>
      <c r="BM15" s="242" t="s">
        <v>176</v>
      </c>
      <c r="BN15" s="242"/>
      <c r="BO15" s="242" t="s">
        <v>178</v>
      </c>
      <c r="BP15" s="242"/>
      <c r="BQ15" s="242" t="s">
        <v>179</v>
      </c>
      <c r="BR15" s="242"/>
      <c r="BS15" s="59"/>
      <c r="BU15" s="39" t="s">
        <v>191</v>
      </c>
    </row>
    <row r="16" spans="1:73">
      <c r="A16" t="s">
        <v>242</v>
      </c>
      <c r="B16" s="21" t="s">
        <v>147</v>
      </c>
      <c r="C16" s="21" t="s">
        <v>148</v>
      </c>
      <c r="D16" s="21" t="s">
        <v>147</v>
      </c>
      <c r="E16" s="21" t="s">
        <v>148</v>
      </c>
      <c r="K16" s="21" t="s">
        <v>147</v>
      </c>
      <c r="L16" s="21" t="s">
        <v>148</v>
      </c>
      <c r="M16" s="21" t="s">
        <v>147</v>
      </c>
      <c r="N16" s="21" t="s">
        <v>148</v>
      </c>
      <c r="O16" s="21" t="s">
        <v>147</v>
      </c>
      <c r="P16" s="21" t="s">
        <v>148</v>
      </c>
      <c r="Q16" s="21" t="s">
        <v>147</v>
      </c>
      <c r="R16" s="21" t="s">
        <v>148</v>
      </c>
      <c r="S16" s="21" t="s">
        <v>147</v>
      </c>
      <c r="T16" s="21" t="s">
        <v>148</v>
      </c>
      <c r="U16" s="21" t="s">
        <v>147</v>
      </c>
      <c r="V16" s="21" t="s">
        <v>148</v>
      </c>
      <c r="W16" s="21" t="s">
        <v>147</v>
      </c>
      <c r="X16" s="21" t="s">
        <v>148</v>
      </c>
      <c r="Y16" s="21" t="s">
        <v>147</v>
      </c>
      <c r="Z16" s="21" t="s">
        <v>148</v>
      </c>
      <c r="AA16" s="21" t="s">
        <v>147</v>
      </c>
      <c r="AB16" s="21" t="s">
        <v>148</v>
      </c>
      <c r="AC16" s="21" t="s">
        <v>147</v>
      </c>
      <c r="AD16" s="21" t="s">
        <v>148</v>
      </c>
      <c r="AE16" s="21" t="s">
        <v>147</v>
      </c>
      <c r="AF16" s="21" t="s">
        <v>148</v>
      </c>
      <c r="AG16" s="21" t="s">
        <v>147</v>
      </c>
      <c r="AH16" s="21" t="s">
        <v>148</v>
      </c>
      <c r="AI16" s="21" t="s">
        <v>147</v>
      </c>
      <c r="AJ16" s="21" t="s">
        <v>148</v>
      </c>
      <c r="AK16" s="21" t="s">
        <v>147</v>
      </c>
      <c r="AL16" s="21" t="s">
        <v>148</v>
      </c>
      <c r="AM16" s="21" t="s">
        <v>147</v>
      </c>
      <c r="AN16" s="21" t="s">
        <v>148</v>
      </c>
      <c r="AO16" s="21" t="s">
        <v>147</v>
      </c>
      <c r="AP16" s="21" t="s">
        <v>148</v>
      </c>
      <c r="AQ16" s="21" t="s">
        <v>147</v>
      </c>
      <c r="AR16" s="21" t="s">
        <v>148</v>
      </c>
      <c r="AS16" s="21" t="s">
        <v>147</v>
      </c>
      <c r="AT16" s="21" t="s">
        <v>148</v>
      </c>
      <c r="AU16" s="21" t="s">
        <v>147</v>
      </c>
      <c r="AV16" s="21" t="s">
        <v>148</v>
      </c>
      <c r="AW16" s="21" t="s">
        <v>147</v>
      </c>
      <c r="AX16" s="21" t="s">
        <v>148</v>
      </c>
      <c r="AY16" s="21" t="s">
        <v>147</v>
      </c>
      <c r="AZ16" s="21" t="s">
        <v>148</v>
      </c>
      <c r="BA16" s="21" t="s">
        <v>147</v>
      </c>
      <c r="BB16" s="21" t="s">
        <v>148</v>
      </c>
      <c r="BC16" s="21" t="s">
        <v>147</v>
      </c>
      <c r="BD16" s="21" t="s">
        <v>148</v>
      </c>
      <c r="BE16" s="21" t="s">
        <v>147</v>
      </c>
      <c r="BF16" s="21" t="s">
        <v>148</v>
      </c>
      <c r="BG16" s="21" t="s">
        <v>147</v>
      </c>
      <c r="BH16" s="21" t="s">
        <v>148</v>
      </c>
      <c r="BI16" s="21" t="s">
        <v>147</v>
      </c>
      <c r="BJ16" s="21" t="s">
        <v>148</v>
      </c>
      <c r="BK16" s="21" t="s">
        <v>147</v>
      </c>
      <c r="BL16" s="21" t="s">
        <v>148</v>
      </c>
      <c r="BM16" s="21" t="s">
        <v>147</v>
      </c>
      <c r="BN16" s="21" t="s">
        <v>148</v>
      </c>
      <c r="BO16" s="21" t="s">
        <v>147</v>
      </c>
      <c r="BP16" s="21" t="s">
        <v>148</v>
      </c>
      <c r="BQ16" s="21" t="s">
        <v>147</v>
      </c>
      <c r="BR16" s="21" t="s">
        <v>148</v>
      </c>
      <c r="BS16" s="21"/>
      <c r="BU16" s="21" t="s">
        <v>148</v>
      </c>
    </row>
    <row r="17" spans="1:73">
      <c r="BQ17" s="21"/>
    </row>
    <row r="18" spans="1:73">
      <c r="A18" t="s">
        <v>143</v>
      </c>
      <c r="B18" s="22">
        <v>1856.9</v>
      </c>
      <c r="C18" s="25">
        <f>+B18/B24</f>
        <v>0.45824490400276396</v>
      </c>
      <c r="D18" s="22">
        <v>1533.9</v>
      </c>
      <c r="E18" s="25">
        <f>+D18/D24</f>
        <v>0.46460699681962747</v>
      </c>
      <c r="G18" s="28">
        <f>(C18+E18)/2</f>
        <v>0.46142595041119572</v>
      </c>
      <c r="K18" s="22">
        <f>200+102+1912</f>
        <v>2214</v>
      </c>
      <c r="L18" s="25">
        <f>+K18/K24</f>
        <v>0.58034076015727387</v>
      </c>
      <c r="M18" s="22">
        <v>1856.9</v>
      </c>
      <c r="N18" s="25">
        <f>+M18/M24</f>
        <v>0.45824490400276396</v>
      </c>
      <c r="O18" s="22">
        <v>1533.9</v>
      </c>
      <c r="P18" s="25">
        <f>+O18/O24</f>
        <v>0.46460699681962747</v>
      </c>
      <c r="Q18" s="22">
        <f>650+10787</f>
        <v>11437</v>
      </c>
      <c r="R18" s="25">
        <f>+Q18/Q24</f>
        <v>0.5004813583056188</v>
      </c>
      <c r="S18" s="22">
        <f>157+5473</f>
        <v>5630</v>
      </c>
      <c r="T18" s="25">
        <f>+S18/S24</f>
        <v>0.4980978501282845</v>
      </c>
      <c r="U18" s="22">
        <f>356+7711</f>
        <v>8067</v>
      </c>
      <c r="V18" s="25">
        <f>+U18/U24</f>
        <v>0.41005438926447413</v>
      </c>
      <c r="W18" s="22">
        <f>2+3027</f>
        <v>3029</v>
      </c>
      <c r="X18" s="25">
        <f>+W18/W24</f>
        <v>0.30025773195876287</v>
      </c>
      <c r="Y18" s="22">
        <f>200+4253</f>
        <v>4453</v>
      </c>
      <c r="Z18" s="25">
        <f>+Y18/Y24</f>
        <v>0.46511385001044497</v>
      </c>
      <c r="AA18" s="22">
        <f>106+1467</f>
        <v>1573</v>
      </c>
      <c r="AB18" s="25">
        <f>+AA18/AA24</f>
        <v>0.36102823043378474</v>
      </c>
      <c r="AC18" s="22">
        <f>547+3071</f>
        <v>3618</v>
      </c>
      <c r="AD18" s="25">
        <f>+AC18/AC24</f>
        <v>0.48537697880332709</v>
      </c>
      <c r="AE18" s="22">
        <v>2763.7</v>
      </c>
      <c r="AF18" s="25">
        <f>+AE18/AE24</f>
        <v>0.45904062718001531</v>
      </c>
      <c r="AG18" s="22">
        <f>200+1829.8</f>
        <v>2029.8</v>
      </c>
      <c r="AH18" s="25">
        <f>+AG18/AG24</f>
        <v>0.43350490143732778</v>
      </c>
      <c r="AI18" s="22">
        <v>1071</v>
      </c>
      <c r="AJ18" s="25">
        <f>+AI18/AI24</f>
        <v>0.46399792045749938</v>
      </c>
      <c r="AK18" s="22">
        <v>517.29999999999995</v>
      </c>
      <c r="AL18" s="25">
        <f>+AK18/AK24</f>
        <v>0.46398780159655567</v>
      </c>
      <c r="AM18" s="22">
        <f>9956+64</f>
        <v>10020</v>
      </c>
      <c r="AN18" s="25">
        <f>+AM18/AM24</f>
        <v>0.39181949712587494</v>
      </c>
      <c r="AO18" s="22">
        <f>303.6+3453.7</f>
        <v>3757.2999999999997</v>
      </c>
      <c r="AP18" s="25">
        <f>+AO18/AO24</f>
        <v>0.44535713439063124</v>
      </c>
      <c r="AQ18" s="22">
        <f>288+2828</f>
        <v>3116</v>
      </c>
      <c r="AR18" s="25">
        <f>+AQ18/AQ24</f>
        <v>0.49975942261427425</v>
      </c>
      <c r="AS18" s="22">
        <f>25+1617</f>
        <v>1642</v>
      </c>
      <c r="AT18" s="25">
        <f>+AS18/AS24</f>
        <v>0.41339375629405839</v>
      </c>
      <c r="AU18" s="22">
        <v>2326</v>
      </c>
      <c r="AV18" s="25">
        <f>+AU18/AU24</f>
        <v>0.41439515410653838</v>
      </c>
      <c r="AW18" s="22">
        <f>135.4+2530</f>
        <v>2665.4</v>
      </c>
      <c r="AX18" s="25">
        <f>+AW18/AW24</f>
        <v>0.45788596656989228</v>
      </c>
      <c r="AY18" s="22">
        <f>5600+1097</f>
        <v>6697</v>
      </c>
      <c r="AZ18" s="25">
        <f>+AY18/AY24</f>
        <v>0.51634541249036237</v>
      </c>
      <c r="BA18" s="22">
        <f>6249+4024</f>
        <v>10273</v>
      </c>
      <c r="BB18" s="25">
        <f>+BA18/BA24</f>
        <v>0.48325336343964626</v>
      </c>
      <c r="BC18" s="22">
        <f>1010+309</f>
        <v>1319</v>
      </c>
      <c r="BD18" s="25">
        <f>+BC18/BC24</f>
        <v>0.46756469337114498</v>
      </c>
      <c r="BE18" s="22">
        <f>1565+929</f>
        <v>2494</v>
      </c>
      <c r="BF18" s="25">
        <f>+BE18/BE24</f>
        <v>0.5104379860826852</v>
      </c>
      <c r="BG18" s="22">
        <f>305.7+365.6</f>
        <v>671.3</v>
      </c>
      <c r="BH18" s="25">
        <f>+BG18/BG24</f>
        <v>0.44625407166123776</v>
      </c>
      <c r="BI18" s="22">
        <f>2685+147</f>
        <v>2832</v>
      </c>
      <c r="BJ18" s="25">
        <f>+BI18/BI24</f>
        <v>0.44068904346202326</v>
      </c>
      <c r="BK18" s="22">
        <v>1300</v>
      </c>
      <c r="BL18" s="25">
        <f>+BK18/BK24</f>
        <v>0.4648335538313012</v>
      </c>
      <c r="BM18" s="22">
        <f>4534.1+15.9</f>
        <v>4550</v>
      </c>
      <c r="BN18" s="25">
        <f>+BM18/BM24</f>
        <v>0.46824669911804961</v>
      </c>
      <c r="BO18" s="22">
        <f>4132.2-164+11.3</f>
        <v>3979.5</v>
      </c>
      <c r="BP18" s="25">
        <f>+BO18/BO24</f>
        <v>0.43732210952009404</v>
      </c>
      <c r="BQ18" s="22">
        <f>1550.6-0.6</f>
        <v>1550</v>
      </c>
      <c r="BR18" s="25">
        <f>+BQ18/BQ24</f>
        <v>0.46159802257363231</v>
      </c>
      <c r="BS18" s="25"/>
      <c r="BU18" s="27">
        <f>AVERAGE(I18,N18,P18,R18,T18,V18,X18,Z18,AB18,AD18,AF18,AH18,AJ18,AL18,AN18,AP18,AR18,AT18,AV18,AX18,AZ18,BB18,BD18,BF18,BH18,BJ18,BL18,BN18,BP18,BR18)</f>
        <v>0.45113618713965292</v>
      </c>
    </row>
    <row r="19" spans="1:73">
      <c r="C19" s="25"/>
      <c r="D19" s="22"/>
      <c r="E19" s="25"/>
      <c r="L19" s="25"/>
      <c r="N19" s="25"/>
      <c r="O19" s="22"/>
      <c r="P19" s="25"/>
      <c r="R19" s="25"/>
      <c r="T19" s="25"/>
      <c r="V19" s="25"/>
      <c r="X19" s="25"/>
      <c r="Z19" s="25"/>
      <c r="AB19" s="25"/>
      <c r="AD19" s="25"/>
      <c r="AF19" s="25"/>
      <c r="AH19" s="25"/>
      <c r="AJ19" s="25"/>
      <c r="AL19" s="25"/>
      <c r="AN19" s="25"/>
      <c r="AP19" s="25"/>
      <c r="AR19" s="25"/>
      <c r="AT19" s="25"/>
      <c r="AV19" s="25"/>
      <c r="AX19" s="25"/>
      <c r="AZ19" s="25"/>
      <c r="BB19" s="25"/>
      <c r="BD19" s="25"/>
      <c r="BF19" s="25"/>
      <c r="BH19" s="25"/>
      <c r="BJ19" s="25"/>
      <c r="BL19" s="25"/>
      <c r="BN19" s="25"/>
      <c r="BP19" s="25"/>
      <c r="BQ19" s="22"/>
      <c r="BR19" s="25"/>
      <c r="BS19" s="25"/>
    </row>
    <row r="20" spans="1:73">
      <c r="A20" t="s">
        <v>144</v>
      </c>
      <c r="B20" s="22">
        <v>200</v>
      </c>
      <c r="C20" s="25">
        <f>+B20/B24</f>
        <v>4.935590543408519E-2</v>
      </c>
      <c r="D20" s="22">
        <v>0</v>
      </c>
      <c r="E20" s="25">
        <f>+D20/D24</f>
        <v>0</v>
      </c>
      <c r="G20" s="28">
        <f>(C20+E20)/2</f>
        <v>2.4677952717042595E-2</v>
      </c>
      <c r="K20" s="22">
        <v>0</v>
      </c>
      <c r="L20" s="25">
        <f>+K20/K24</f>
        <v>0</v>
      </c>
      <c r="M20" s="22">
        <v>200</v>
      </c>
      <c r="N20" s="25">
        <f>+M20/M24</f>
        <v>4.935590543408519E-2</v>
      </c>
      <c r="O20" s="22">
        <v>0</v>
      </c>
      <c r="P20" s="25">
        <f>+O20/O24</f>
        <v>0</v>
      </c>
      <c r="Q20" s="22"/>
      <c r="R20" s="25">
        <f>+Q20/Q24</f>
        <v>0</v>
      </c>
      <c r="S20" s="22"/>
      <c r="T20" s="25">
        <f>+S20/S24</f>
        <v>0</v>
      </c>
      <c r="U20" s="22"/>
      <c r="V20" s="25">
        <f>+U20/U24</f>
        <v>0</v>
      </c>
      <c r="W20" s="22"/>
      <c r="X20" s="25">
        <f>+W20/W24</f>
        <v>0</v>
      </c>
      <c r="Y20" s="22"/>
      <c r="Z20" s="25">
        <f>+Y20/Y24</f>
        <v>0</v>
      </c>
      <c r="AA20" s="22"/>
      <c r="AB20" s="25">
        <f>+AA20/AA24</f>
        <v>0</v>
      </c>
      <c r="AC20" s="22">
        <v>0</v>
      </c>
      <c r="AD20" s="25">
        <f>+AC20/AC24</f>
        <v>0</v>
      </c>
      <c r="AE20" s="22">
        <v>116.2</v>
      </c>
      <c r="AF20" s="25">
        <f>+AE20/AE24</f>
        <v>1.9300401953293692E-2</v>
      </c>
      <c r="AG20" s="22">
        <v>43</v>
      </c>
      <c r="AH20" s="25">
        <f>+AG20/AG24</f>
        <v>9.183520919206373E-3</v>
      </c>
      <c r="AI20" s="22"/>
      <c r="AJ20" s="25">
        <f>+AI20/AI24</f>
        <v>0</v>
      </c>
      <c r="AK20" s="22"/>
      <c r="AL20" s="25">
        <f>+AK20/AK24</f>
        <v>0</v>
      </c>
      <c r="AM20" s="22"/>
      <c r="AN20" s="25">
        <f>+AM20/AM24</f>
        <v>0</v>
      </c>
      <c r="AO20" s="22"/>
      <c r="AP20" s="25">
        <f>+AO20/AO24</f>
        <v>0</v>
      </c>
      <c r="AQ20" s="22"/>
      <c r="AR20" s="25">
        <f>+AQ20/AQ24</f>
        <v>0</v>
      </c>
      <c r="AS20" s="22"/>
      <c r="AT20" s="25">
        <f>+AS20/AS24</f>
        <v>0</v>
      </c>
      <c r="AU20" s="22"/>
      <c r="AV20" s="25">
        <f>+AU20/AU24</f>
        <v>0</v>
      </c>
      <c r="AW20" s="22">
        <v>0</v>
      </c>
      <c r="AX20" s="25">
        <f>+AW20/AW24</f>
        <v>0</v>
      </c>
      <c r="AY20" s="22">
        <f>85+196</f>
        <v>281</v>
      </c>
      <c r="AZ20" s="25">
        <f>+AY20/AY24</f>
        <v>2.166538164996145E-2</v>
      </c>
      <c r="BA20" s="22">
        <f>45+221</f>
        <v>266</v>
      </c>
      <c r="BB20" s="25">
        <f>+BA20/BA24</f>
        <v>1.2512936306331733E-2</v>
      </c>
      <c r="BC20" s="22">
        <v>147</v>
      </c>
      <c r="BD20" s="25">
        <f>+BC20/BC24</f>
        <v>5.2109181141439205E-2</v>
      </c>
      <c r="BE20" s="22">
        <v>33</v>
      </c>
      <c r="BF20" s="25">
        <f>+BE20/BE24</f>
        <v>6.7539909946786741E-3</v>
      </c>
      <c r="BG20" s="22">
        <v>0</v>
      </c>
      <c r="BH20" s="25">
        <f>+BG20/BG24</f>
        <v>0</v>
      </c>
      <c r="BI20" s="22">
        <v>30.4</v>
      </c>
      <c r="BJ20" s="25">
        <f>+BI20/BI24</f>
        <v>4.7305603535471421E-3</v>
      </c>
      <c r="BK20" s="22">
        <v>0</v>
      </c>
      <c r="BL20" s="25">
        <f>+BK20/BK24</f>
        <v>0</v>
      </c>
      <c r="BM20" s="22">
        <v>0</v>
      </c>
      <c r="BN20" s="25">
        <f>+BM20/BM24</f>
        <v>0</v>
      </c>
      <c r="BO20" s="22">
        <v>0</v>
      </c>
      <c r="BP20" s="25">
        <f>+BO20/BO24</f>
        <v>0</v>
      </c>
      <c r="BQ20" s="22">
        <v>0</v>
      </c>
      <c r="BR20" s="25">
        <f>+BQ20/BQ24</f>
        <v>0</v>
      </c>
      <c r="BS20" s="25"/>
      <c r="BU20" s="27">
        <f>AVERAGE(I20,N20,P20,R20,T20,V20,X20,Z20,AB20,AD20,AF20,AH20,AJ20,AL20,AN20,AP20,AR20,AT20,AV20,AX20,AZ20,BB20,BD20,BF20,BH20,BJ20,BL20,BN20,BP20,BR20)</f>
        <v>6.0555820259497748E-3</v>
      </c>
    </row>
    <row r="21" spans="1:73">
      <c r="C21" s="25"/>
      <c r="D21" s="22"/>
      <c r="E21" s="25"/>
      <c r="L21" s="25"/>
      <c r="N21" s="25"/>
      <c r="O21" s="22"/>
      <c r="P21" s="25"/>
      <c r="R21" s="25"/>
      <c r="T21" s="25"/>
      <c r="V21" s="25"/>
      <c r="X21" s="25"/>
      <c r="Z21" s="25"/>
      <c r="AB21" s="25"/>
      <c r="AD21" s="25"/>
      <c r="AF21" s="25"/>
      <c r="AH21" s="25"/>
      <c r="AJ21" s="25"/>
      <c r="AL21" s="25"/>
      <c r="AN21" s="25"/>
      <c r="AP21" s="25"/>
      <c r="AR21" s="25"/>
      <c r="AT21" s="25"/>
      <c r="AV21" s="25"/>
      <c r="AX21" s="25"/>
      <c r="AZ21" s="25"/>
      <c r="BB21" s="25"/>
      <c r="BD21" s="25"/>
      <c r="BF21" s="25"/>
      <c r="BH21" s="25"/>
      <c r="BJ21" s="25"/>
      <c r="BL21" s="25"/>
      <c r="BN21" s="25"/>
      <c r="BP21" s="25"/>
      <c r="BQ21" s="22"/>
      <c r="BR21" s="25"/>
      <c r="BS21" s="25"/>
    </row>
    <row r="22" spans="1:73">
      <c r="A22" t="s">
        <v>145</v>
      </c>
      <c r="B22" s="24">
        <v>1995.3</v>
      </c>
      <c r="C22" s="26">
        <f>+B22/B24</f>
        <v>0.4923991905631509</v>
      </c>
      <c r="D22" s="24">
        <v>1767.6</v>
      </c>
      <c r="E22" s="26">
        <f>+D22/D24</f>
        <v>0.53539300318037253</v>
      </c>
      <c r="G22" s="49">
        <f>(C22+E22)/2</f>
        <v>0.51389609687176174</v>
      </c>
      <c r="K22" s="24">
        <v>1601</v>
      </c>
      <c r="L22" s="26">
        <f>+K22/K24</f>
        <v>0.41965923984272607</v>
      </c>
      <c r="M22" s="24">
        <v>1995.3</v>
      </c>
      <c r="N22" s="26">
        <f>+M22/M24</f>
        <v>0.4923991905631509</v>
      </c>
      <c r="O22" s="24">
        <v>1767.6</v>
      </c>
      <c r="P22" s="26">
        <f>+O22/O24</f>
        <v>0.53539300318037253</v>
      </c>
      <c r="Q22" s="24">
        <v>11415</v>
      </c>
      <c r="R22" s="26">
        <f>+Q22/Q24</f>
        <v>0.49951864169438126</v>
      </c>
      <c r="S22" s="24">
        <v>5673</v>
      </c>
      <c r="T22" s="26">
        <f>+S22/S24</f>
        <v>0.50190214987171544</v>
      </c>
      <c r="U22" s="24">
        <v>11606</v>
      </c>
      <c r="V22" s="26">
        <f>+U22/U24</f>
        <v>0.58994561073552587</v>
      </c>
      <c r="W22" s="24">
        <v>7059</v>
      </c>
      <c r="X22" s="26">
        <f>+W22/W24</f>
        <v>0.69974226804123707</v>
      </c>
      <c r="Y22" s="24">
        <v>5121</v>
      </c>
      <c r="Z22" s="26">
        <f>+Y22/Y24</f>
        <v>0.53488614998955508</v>
      </c>
      <c r="AA22" s="24">
        <v>2784</v>
      </c>
      <c r="AB22" s="26">
        <f>+AA22/AA24</f>
        <v>0.63897176956621526</v>
      </c>
      <c r="AC22" s="24">
        <v>3836</v>
      </c>
      <c r="AD22" s="26">
        <f>+AC22/AC24</f>
        <v>0.51462302119667291</v>
      </c>
      <c r="AE22" s="24">
        <v>3140.7</v>
      </c>
      <c r="AF22" s="26">
        <f>+AE22/AE24</f>
        <v>0.521658970866691</v>
      </c>
      <c r="AG22" s="24">
        <v>2609.5</v>
      </c>
      <c r="AH22" s="26">
        <f>+AG22/AG24</f>
        <v>0.55731157764346584</v>
      </c>
      <c r="AI22" s="24">
        <v>1237.2</v>
      </c>
      <c r="AJ22" s="26">
        <f>+AI22/AI24</f>
        <v>0.53600207954250068</v>
      </c>
      <c r="AK22" s="24">
        <v>597.6</v>
      </c>
      <c r="AL22" s="26">
        <f>+AK22/AK24</f>
        <v>0.53601219840344427</v>
      </c>
      <c r="AM22" s="24">
        <v>15553</v>
      </c>
      <c r="AN22" s="26">
        <f>+AM22/AM24</f>
        <v>0.60818050287412506</v>
      </c>
      <c r="AO22" s="24">
        <v>4679.3</v>
      </c>
      <c r="AP22" s="26">
        <f>+AO22/AO24</f>
        <v>0.55464286560936871</v>
      </c>
      <c r="AQ22" s="24">
        <v>3119</v>
      </c>
      <c r="AR22" s="26">
        <f>+AQ22/AQ24</f>
        <v>0.50024057738572569</v>
      </c>
      <c r="AS22" s="24">
        <v>2330</v>
      </c>
      <c r="AT22" s="26">
        <f>+AS22/AS24</f>
        <v>0.58660624370594161</v>
      </c>
      <c r="AU22" s="24">
        <v>3287</v>
      </c>
      <c r="AV22" s="26">
        <f>+AU22/AU24</f>
        <v>0.58560484589346162</v>
      </c>
      <c r="AW22" s="24">
        <v>3155.7</v>
      </c>
      <c r="AX22" s="26">
        <f>+AW22/AW24</f>
        <v>0.54211403343010767</v>
      </c>
      <c r="AY22" s="24">
        <v>5992</v>
      </c>
      <c r="AZ22" s="26">
        <f>+AY22/AY24</f>
        <v>0.46198920585967618</v>
      </c>
      <c r="BA22" s="24">
        <v>10719</v>
      </c>
      <c r="BB22" s="26">
        <f>+BA22/BA24</f>
        <v>0.50423370025402203</v>
      </c>
      <c r="BC22" s="24">
        <v>1355</v>
      </c>
      <c r="BD22" s="26">
        <f>+BC22/BC24</f>
        <v>0.48032612548741582</v>
      </c>
      <c r="BE22" s="24">
        <v>2359</v>
      </c>
      <c r="BF22" s="26">
        <f>+BE22/BE24</f>
        <v>0.48280802292263608</v>
      </c>
      <c r="BG22" s="24">
        <v>833</v>
      </c>
      <c r="BH22" s="26">
        <f>+BG22/BG24</f>
        <v>0.55374592833876224</v>
      </c>
      <c r="BI22" s="24">
        <f>332.9+153.1+846.5+2226.9+4.5</f>
        <v>3563.9</v>
      </c>
      <c r="BJ22" s="26">
        <f>+BI22/BI24</f>
        <v>0.55458039618442956</v>
      </c>
      <c r="BK22" s="24">
        <v>1496.7</v>
      </c>
      <c r="BL22" s="26">
        <f>+BK22/BK24</f>
        <v>0.53516644616869891</v>
      </c>
      <c r="BM22" s="24">
        <v>5167.1000000000004</v>
      </c>
      <c r="BN22" s="26">
        <f>+BM22/BM24</f>
        <v>0.53175330088195039</v>
      </c>
      <c r="BO22" s="24">
        <v>5120.2</v>
      </c>
      <c r="BP22" s="26">
        <f>+BO22/BO24</f>
        <v>0.56267789047990591</v>
      </c>
      <c r="BQ22" s="24">
        <v>1807.9</v>
      </c>
      <c r="BR22" s="26">
        <f>+BQ22/BQ24</f>
        <v>0.53840197742636764</v>
      </c>
      <c r="BS22" s="26"/>
      <c r="BU22" s="50">
        <f>AVERAGE(I22,N22,P22,R22,T22,V22,X22,Z22,AB22,AD22,AF22,AH22,AJ22,AL22,AN22,AP22,AR22,AT22,AV22,AX22,AZ22,BB22,BD22,BF22,BH22,BJ22,BL22,BN22,BP22,BR22)</f>
        <v>0.54280823083439733</v>
      </c>
    </row>
    <row r="23" spans="1:73">
      <c r="BQ23" s="24"/>
    </row>
    <row r="24" spans="1:73">
      <c r="A24" s="20" t="s">
        <v>146</v>
      </c>
      <c r="B24" s="22">
        <f>+B18+B20+B22</f>
        <v>4052.2</v>
      </c>
      <c r="C24" s="25">
        <f>+C18+C20+C22</f>
        <v>1</v>
      </c>
      <c r="D24" s="22">
        <f>+D18+D20+D22</f>
        <v>3301.5</v>
      </c>
      <c r="E24" s="25">
        <f>+E18+E20+E22</f>
        <v>1</v>
      </c>
      <c r="G24" s="25">
        <f>+G18+G20+G22</f>
        <v>1</v>
      </c>
      <c r="K24" s="22">
        <f>+K18+K20+K22</f>
        <v>3815</v>
      </c>
      <c r="L24" s="25">
        <f>+L18+L20+L22</f>
        <v>1</v>
      </c>
      <c r="M24" s="22">
        <f t="shared" ref="M24:V24" si="0">+M18+M20+M22</f>
        <v>4052.2</v>
      </c>
      <c r="N24" s="25">
        <f t="shared" si="0"/>
        <v>1</v>
      </c>
      <c r="O24" s="22">
        <f t="shared" si="0"/>
        <v>3301.5</v>
      </c>
      <c r="P24" s="25">
        <f t="shared" si="0"/>
        <v>1</v>
      </c>
      <c r="Q24" s="22">
        <f t="shared" si="0"/>
        <v>22852</v>
      </c>
      <c r="R24" s="25">
        <f t="shared" si="0"/>
        <v>1</v>
      </c>
      <c r="S24" s="22">
        <f t="shared" si="0"/>
        <v>11303</v>
      </c>
      <c r="T24" s="25">
        <f t="shared" si="0"/>
        <v>1</v>
      </c>
      <c r="U24" s="22">
        <f t="shared" si="0"/>
        <v>19673</v>
      </c>
      <c r="V24" s="25">
        <f t="shared" si="0"/>
        <v>1</v>
      </c>
      <c r="W24" s="22">
        <f t="shared" ref="W24:AD24" si="1">+W18+W20+W22</f>
        <v>10088</v>
      </c>
      <c r="X24" s="25">
        <f t="shared" si="1"/>
        <v>1</v>
      </c>
      <c r="Y24" s="22">
        <f t="shared" si="1"/>
        <v>9574</v>
      </c>
      <c r="Z24" s="25">
        <f t="shared" si="1"/>
        <v>1</v>
      </c>
      <c r="AA24" s="22">
        <f t="shared" si="1"/>
        <v>4357</v>
      </c>
      <c r="AB24" s="25">
        <f t="shared" si="1"/>
        <v>1</v>
      </c>
      <c r="AC24" s="22">
        <f t="shared" si="1"/>
        <v>7454</v>
      </c>
      <c r="AD24" s="25">
        <f t="shared" si="1"/>
        <v>1</v>
      </c>
      <c r="AE24" s="22">
        <f t="shared" ref="AE24:AV24" si="2">+AE18+AE20+AE22</f>
        <v>6020.5999999999995</v>
      </c>
      <c r="AF24" s="25">
        <f t="shared" si="2"/>
        <v>1</v>
      </c>
      <c r="AG24" s="22">
        <f t="shared" si="2"/>
        <v>4682.3</v>
      </c>
      <c r="AH24" s="25">
        <f t="shared" si="2"/>
        <v>1</v>
      </c>
      <c r="AI24" s="22">
        <f t="shared" si="2"/>
        <v>2308.1999999999998</v>
      </c>
      <c r="AJ24" s="25">
        <f t="shared" si="2"/>
        <v>1</v>
      </c>
      <c r="AK24" s="22">
        <f t="shared" si="2"/>
        <v>1114.9000000000001</v>
      </c>
      <c r="AL24" s="25">
        <f t="shared" si="2"/>
        <v>1</v>
      </c>
      <c r="AM24" s="22">
        <f t="shared" si="2"/>
        <v>25573</v>
      </c>
      <c r="AN24" s="25">
        <f t="shared" si="2"/>
        <v>1</v>
      </c>
      <c r="AO24" s="22">
        <f t="shared" si="2"/>
        <v>8436.6</v>
      </c>
      <c r="AP24" s="25">
        <f t="shared" si="2"/>
        <v>1</v>
      </c>
      <c r="AQ24" s="22">
        <f t="shared" si="2"/>
        <v>6235</v>
      </c>
      <c r="AR24" s="25">
        <f t="shared" si="2"/>
        <v>1</v>
      </c>
      <c r="AS24" s="22">
        <f t="shared" si="2"/>
        <v>3972</v>
      </c>
      <c r="AT24" s="25">
        <f t="shared" si="2"/>
        <v>1</v>
      </c>
      <c r="AU24" s="22">
        <f t="shared" si="2"/>
        <v>5613</v>
      </c>
      <c r="AV24" s="25">
        <f t="shared" si="2"/>
        <v>1</v>
      </c>
      <c r="AW24" s="22">
        <f t="shared" ref="AW24:BL24" si="3">+AW18+AW20+AW22</f>
        <v>5821.1</v>
      </c>
      <c r="AX24" s="25">
        <f t="shared" si="3"/>
        <v>1</v>
      </c>
      <c r="AY24" s="22">
        <f t="shared" ref="AY24:BF24" si="4">+AY18+AY20+AY22</f>
        <v>12970</v>
      </c>
      <c r="AZ24" s="25">
        <f t="shared" si="4"/>
        <v>1</v>
      </c>
      <c r="BA24" s="22">
        <f t="shared" si="4"/>
        <v>21258</v>
      </c>
      <c r="BB24" s="25">
        <f t="shared" si="4"/>
        <v>1</v>
      </c>
      <c r="BC24" s="22">
        <f t="shared" si="4"/>
        <v>2821</v>
      </c>
      <c r="BD24" s="25">
        <f t="shared" si="4"/>
        <v>1</v>
      </c>
      <c r="BE24" s="22">
        <f t="shared" si="4"/>
        <v>4886</v>
      </c>
      <c r="BF24" s="25">
        <f t="shared" si="4"/>
        <v>1</v>
      </c>
      <c r="BG24" s="22">
        <f t="shared" si="3"/>
        <v>1504.3</v>
      </c>
      <c r="BH24" s="25">
        <f t="shared" si="3"/>
        <v>1</v>
      </c>
      <c r="BI24" s="22">
        <f t="shared" si="3"/>
        <v>6426.3</v>
      </c>
      <c r="BJ24" s="25">
        <f t="shared" si="3"/>
        <v>1</v>
      </c>
      <c r="BK24" s="22">
        <f t="shared" si="3"/>
        <v>2796.7</v>
      </c>
      <c r="BL24" s="25">
        <f t="shared" si="3"/>
        <v>1</v>
      </c>
      <c r="BM24" s="22">
        <f t="shared" ref="BM24:BR24" si="5">+BM18+BM20+BM22</f>
        <v>9717.1</v>
      </c>
      <c r="BN24" s="25">
        <f t="shared" si="5"/>
        <v>1</v>
      </c>
      <c r="BO24" s="22">
        <f t="shared" si="5"/>
        <v>9099.7000000000007</v>
      </c>
      <c r="BP24" s="25">
        <f t="shared" si="5"/>
        <v>1</v>
      </c>
      <c r="BQ24" s="22">
        <f t="shared" si="5"/>
        <v>3357.9</v>
      </c>
      <c r="BR24" s="25">
        <f t="shared" si="5"/>
        <v>1</v>
      </c>
      <c r="BS24" s="25"/>
      <c r="BU24" s="27">
        <f>+BU18+BU20+BU22</f>
        <v>1</v>
      </c>
    </row>
    <row r="27" spans="1:73" ht="30" customHeight="1">
      <c r="A27" s="19" t="s">
        <v>17</v>
      </c>
      <c r="B27" s="242" t="s">
        <v>241</v>
      </c>
      <c r="C27" s="242"/>
    </row>
    <row r="28" spans="1:73">
      <c r="A28" t="s">
        <v>243</v>
      </c>
      <c r="B28" s="21" t="s">
        <v>147</v>
      </c>
      <c r="C28" s="21" t="s">
        <v>148</v>
      </c>
    </row>
    <row r="30" spans="1:73">
      <c r="A30" t="s">
        <v>143</v>
      </c>
      <c r="B30" s="22">
        <f>200+102+1912</f>
        <v>2214</v>
      </c>
      <c r="C30" s="25">
        <f>+B30/B36</f>
        <v>0.58034076015727387</v>
      </c>
    </row>
    <row r="31" spans="1:73">
      <c r="C31" s="25"/>
    </row>
    <row r="32" spans="1:73">
      <c r="A32" t="s">
        <v>144</v>
      </c>
      <c r="B32" s="22">
        <v>0</v>
      </c>
      <c r="C32" s="25">
        <f>+B32/B36</f>
        <v>0</v>
      </c>
    </row>
    <row r="33" spans="1:3">
      <c r="C33" s="25"/>
    </row>
    <row r="34" spans="1:3">
      <c r="A34" t="s">
        <v>145</v>
      </c>
      <c r="B34" s="24">
        <v>1601</v>
      </c>
      <c r="C34" s="26">
        <f>+B34/B36</f>
        <v>0.41965923984272607</v>
      </c>
    </row>
    <row r="36" spans="1:3">
      <c r="A36" s="20" t="s">
        <v>146</v>
      </c>
      <c r="B36" s="22">
        <f>+B30+B32+B34</f>
        <v>3815</v>
      </c>
      <c r="C36" s="25">
        <f>+C30+C32+C34</f>
        <v>1</v>
      </c>
    </row>
    <row r="37" spans="1:3">
      <c r="A37" s="20"/>
      <c r="B37" s="22"/>
      <c r="C37" s="25"/>
    </row>
    <row r="38" spans="1:3">
      <c r="A38" s="20"/>
      <c r="B38" s="22"/>
      <c r="C38" s="25"/>
    </row>
    <row r="39" spans="1:3" ht="30" customHeight="1">
      <c r="A39" s="19" t="s">
        <v>0</v>
      </c>
      <c r="B39" s="242" t="s">
        <v>155</v>
      </c>
      <c r="C39" s="242"/>
    </row>
    <row r="40" spans="1:3">
      <c r="B40" s="21" t="s">
        <v>147</v>
      </c>
      <c r="C40" s="21" t="s">
        <v>148</v>
      </c>
    </row>
    <row r="42" spans="1:3">
      <c r="A42" t="s">
        <v>143</v>
      </c>
      <c r="B42" s="22">
        <f>650+10787</f>
        <v>11437</v>
      </c>
      <c r="C42" s="25">
        <f>+B42/B48</f>
        <v>0.5004813583056188</v>
      </c>
    </row>
    <row r="43" spans="1:3">
      <c r="C43" s="25"/>
    </row>
    <row r="44" spans="1:3">
      <c r="A44" t="s">
        <v>144</v>
      </c>
      <c r="B44" s="22"/>
      <c r="C44" s="25">
        <f>+B44/B48</f>
        <v>0</v>
      </c>
    </row>
    <row r="45" spans="1:3">
      <c r="C45" s="25"/>
    </row>
    <row r="46" spans="1:3">
      <c r="A46" t="s">
        <v>145</v>
      </c>
      <c r="B46" s="24">
        <v>11415</v>
      </c>
      <c r="C46" s="26">
        <f>+B46/B48</f>
        <v>0.49951864169438126</v>
      </c>
    </row>
    <row r="48" spans="1:3">
      <c r="A48" s="20" t="s">
        <v>146</v>
      </c>
      <c r="B48" s="22">
        <f>+B42+B44+B46</f>
        <v>22852</v>
      </c>
      <c r="C48" s="25">
        <f>+C42+C44+C46</f>
        <v>1</v>
      </c>
    </row>
    <row r="51" spans="1:17">
      <c r="A51" s="19" t="s">
        <v>19</v>
      </c>
      <c r="B51" s="229" t="s">
        <v>156</v>
      </c>
      <c r="C51" s="229"/>
    </row>
    <row r="52" spans="1:17">
      <c r="A52" t="s">
        <v>247</v>
      </c>
      <c r="B52" s="21" t="s">
        <v>147</v>
      </c>
      <c r="C52" s="21" t="s">
        <v>148</v>
      </c>
    </row>
    <row r="54" spans="1:17">
      <c r="A54" t="s">
        <v>143</v>
      </c>
      <c r="B54" s="22">
        <f>157+5473</f>
        <v>5630</v>
      </c>
      <c r="C54" s="25">
        <f>+B54/B60</f>
        <v>0.4980978501282845</v>
      </c>
    </row>
    <row r="55" spans="1:17">
      <c r="C55" s="25"/>
    </row>
    <row r="56" spans="1:17">
      <c r="A56" t="s">
        <v>144</v>
      </c>
      <c r="B56" s="22"/>
      <c r="C56" s="25">
        <f>+B56/B60</f>
        <v>0</v>
      </c>
    </row>
    <row r="57" spans="1:17">
      <c r="C57" s="25"/>
    </row>
    <row r="58" spans="1:17">
      <c r="A58" t="s">
        <v>145</v>
      </c>
      <c r="B58" s="24">
        <v>5673</v>
      </c>
      <c r="C58" s="26">
        <f>+B58/B60</f>
        <v>0.50190214987171544</v>
      </c>
    </row>
    <row r="60" spans="1:17">
      <c r="A60" s="20" t="s">
        <v>146</v>
      </c>
      <c r="B60" s="22">
        <f>+B54+B56+B58</f>
        <v>11303</v>
      </c>
      <c r="C60" s="25">
        <f>+C54+C56+C58</f>
        <v>1</v>
      </c>
    </row>
    <row r="63" spans="1:17" ht="30" customHeight="1">
      <c r="A63" s="29" t="s">
        <v>3</v>
      </c>
      <c r="B63" s="242" t="s">
        <v>157</v>
      </c>
      <c r="C63" s="242"/>
      <c r="D63" s="242" t="s">
        <v>158</v>
      </c>
      <c r="E63" s="242"/>
      <c r="F63" s="242" t="s">
        <v>159</v>
      </c>
      <c r="G63" s="242"/>
      <c r="H63" s="59" t="s">
        <v>160</v>
      </c>
      <c r="I63" s="59"/>
      <c r="J63" s="242" t="s">
        <v>161</v>
      </c>
      <c r="K63" s="242"/>
      <c r="L63" s="34"/>
      <c r="M63" s="51" t="s">
        <v>149</v>
      </c>
      <c r="N63" s="20"/>
      <c r="O63" s="20"/>
      <c r="P63" s="20"/>
      <c r="Q63" s="20"/>
    </row>
    <row r="64" spans="1:17">
      <c r="B64" s="21" t="s">
        <v>147</v>
      </c>
      <c r="C64" s="21" t="s">
        <v>148</v>
      </c>
      <c r="D64" s="21" t="s">
        <v>147</v>
      </c>
      <c r="E64" s="21" t="s">
        <v>148</v>
      </c>
      <c r="F64" s="21" t="s">
        <v>147</v>
      </c>
      <c r="G64" s="21" t="s">
        <v>148</v>
      </c>
      <c r="H64" s="21" t="s">
        <v>147</v>
      </c>
      <c r="I64" s="21" t="s">
        <v>148</v>
      </c>
      <c r="J64" s="21" t="s">
        <v>147</v>
      </c>
      <c r="K64" s="21" t="s">
        <v>148</v>
      </c>
      <c r="L64" s="21"/>
      <c r="M64" s="21"/>
    </row>
    <row r="66" spans="1:13">
      <c r="A66" t="s">
        <v>143</v>
      </c>
      <c r="B66" s="22">
        <f>356+7711</f>
        <v>8067</v>
      </c>
      <c r="C66" s="25">
        <f>+B66/B72</f>
        <v>0.41005438926447413</v>
      </c>
      <c r="D66" s="22">
        <f>2+3027</f>
        <v>3029</v>
      </c>
      <c r="E66" s="25">
        <f>+D66/D72</f>
        <v>0.30025773195876287</v>
      </c>
      <c r="F66" s="22">
        <f>200+4253</f>
        <v>4453</v>
      </c>
      <c r="G66" s="25">
        <f>+F66/F72</f>
        <v>0.46511385001044497</v>
      </c>
      <c r="H66" s="22">
        <f>106+1467</f>
        <v>1573</v>
      </c>
      <c r="I66" s="25">
        <f>+H66/H72</f>
        <v>0.36102823043378474</v>
      </c>
      <c r="J66" s="22">
        <f>547+3071</f>
        <v>3618</v>
      </c>
      <c r="K66" s="25">
        <f>+J66/J72</f>
        <v>0.48537697880332709</v>
      </c>
      <c r="L66" s="22"/>
      <c r="M66" s="27">
        <f>AVERAGE(C66,E66,G66,I66,K66)</f>
        <v>0.40436623609415873</v>
      </c>
    </row>
    <row r="67" spans="1:13">
      <c r="C67" s="25"/>
      <c r="E67" s="25"/>
      <c r="G67" s="25"/>
      <c r="I67" s="25"/>
      <c r="K67" s="25"/>
      <c r="M67" s="25"/>
    </row>
    <row r="68" spans="1:13">
      <c r="A68" t="s">
        <v>144</v>
      </c>
      <c r="B68" s="22"/>
      <c r="C68" s="25">
        <f>+B68/B72</f>
        <v>0</v>
      </c>
      <c r="D68" s="22"/>
      <c r="E68" s="25">
        <f>+D68/D72</f>
        <v>0</v>
      </c>
      <c r="F68" s="22"/>
      <c r="G68" s="25">
        <f>+F68/F72</f>
        <v>0</v>
      </c>
      <c r="H68" s="22"/>
      <c r="I68" s="25">
        <f>+H68/H72</f>
        <v>0</v>
      </c>
      <c r="J68" s="22"/>
      <c r="K68" s="25">
        <f>+J68/J72</f>
        <v>0</v>
      </c>
      <c r="L68" s="22"/>
      <c r="M68" s="25"/>
    </row>
    <row r="69" spans="1:13">
      <c r="C69" s="25"/>
      <c r="E69" s="25"/>
      <c r="G69" s="25"/>
      <c r="I69" s="25"/>
      <c r="K69" s="25"/>
      <c r="M69" s="25"/>
    </row>
    <row r="70" spans="1:13">
      <c r="A70" t="s">
        <v>145</v>
      </c>
      <c r="B70" s="24">
        <v>11606</v>
      </c>
      <c r="C70" s="26">
        <f>+B70/B72</f>
        <v>0.58994561073552587</v>
      </c>
      <c r="D70" s="24">
        <v>7059</v>
      </c>
      <c r="E70" s="26">
        <f>+D70/D72</f>
        <v>0.69974226804123707</v>
      </c>
      <c r="F70" s="24">
        <v>5121</v>
      </c>
      <c r="G70" s="26">
        <f>+F70/F72</f>
        <v>0.53488614998955508</v>
      </c>
      <c r="H70" s="24">
        <v>2784</v>
      </c>
      <c r="I70" s="26">
        <f>+H70/H72</f>
        <v>0.63897176956621526</v>
      </c>
      <c r="J70" s="24">
        <v>3836</v>
      </c>
      <c r="K70" s="26">
        <f>+J70/J72</f>
        <v>0.51462302119667291</v>
      </c>
      <c r="L70" s="24"/>
      <c r="M70" s="50">
        <f>AVERAGE(C70,E70,G70,I70,K70)</f>
        <v>0.59563376390584133</v>
      </c>
    </row>
    <row r="72" spans="1:13">
      <c r="A72" s="20" t="s">
        <v>146</v>
      </c>
      <c r="B72" s="22">
        <f>+B66+B68+B70</f>
        <v>19673</v>
      </c>
      <c r="C72" s="25">
        <f>+C66+C68+C70</f>
        <v>1</v>
      </c>
      <c r="D72" s="22">
        <f t="shared" ref="D72:M72" si="6">+D66+D68+D70</f>
        <v>10088</v>
      </c>
      <c r="E72" s="25">
        <f t="shared" si="6"/>
        <v>1</v>
      </c>
      <c r="F72" s="22">
        <f t="shared" si="6"/>
        <v>9574</v>
      </c>
      <c r="G72" s="25">
        <f t="shared" si="6"/>
        <v>1</v>
      </c>
      <c r="H72" s="22">
        <f>+H66+H68+H70</f>
        <v>4357</v>
      </c>
      <c r="I72" s="25">
        <f>+I66+I68+I70</f>
        <v>1</v>
      </c>
      <c r="J72" s="22">
        <f t="shared" si="6"/>
        <v>7454</v>
      </c>
      <c r="K72" s="25">
        <f t="shared" si="6"/>
        <v>1</v>
      </c>
      <c r="L72" s="22"/>
      <c r="M72" s="25">
        <f t="shared" si="6"/>
        <v>1</v>
      </c>
    </row>
    <row r="73" spans="1:13">
      <c r="H73" s="22"/>
    </row>
    <row r="74" spans="1:13">
      <c r="H74" s="22"/>
    </row>
    <row r="76" spans="1:13" ht="30" customHeight="1">
      <c r="A76" s="29" t="s">
        <v>1</v>
      </c>
      <c r="B76" s="242" t="s">
        <v>162</v>
      </c>
      <c r="C76" s="242"/>
      <c r="D76" s="242" t="s">
        <v>163</v>
      </c>
      <c r="E76" s="242"/>
      <c r="F76" s="242" t="s">
        <v>164</v>
      </c>
      <c r="G76" s="242"/>
      <c r="H76" s="242" t="s">
        <v>165</v>
      </c>
      <c r="I76" s="242"/>
      <c r="J76" s="20"/>
      <c r="K76" s="20"/>
      <c r="M76" s="40" t="s">
        <v>149</v>
      </c>
    </row>
    <row r="77" spans="1:13">
      <c r="B77" s="21" t="s">
        <v>147</v>
      </c>
      <c r="C77" s="21" t="s">
        <v>148</v>
      </c>
      <c r="D77" s="21" t="s">
        <v>147</v>
      </c>
      <c r="E77" s="21" t="s">
        <v>148</v>
      </c>
      <c r="F77" s="21" t="s">
        <v>147</v>
      </c>
      <c r="G77" s="21" t="s">
        <v>148</v>
      </c>
      <c r="H77" s="21" t="s">
        <v>147</v>
      </c>
      <c r="I77" s="21" t="s">
        <v>148</v>
      </c>
      <c r="J77" s="21"/>
      <c r="K77" s="21"/>
    </row>
    <row r="78" spans="1:13">
      <c r="H78" s="21" t="s">
        <v>147</v>
      </c>
    </row>
    <row r="79" spans="1:13">
      <c r="A79" t="s">
        <v>143</v>
      </c>
      <c r="B79" s="22">
        <v>2763.7</v>
      </c>
      <c r="C79" s="25">
        <f>+B79/B85</f>
        <v>0.45904062718001531</v>
      </c>
      <c r="D79" s="22">
        <f>200+1829.8</f>
        <v>2029.8</v>
      </c>
      <c r="E79" s="25">
        <f>+D79/D85</f>
        <v>0.43350490143732778</v>
      </c>
      <c r="F79" s="22">
        <v>1071</v>
      </c>
      <c r="G79" s="25">
        <f>+F79/F85</f>
        <v>0.46399792045749938</v>
      </c>
      <c r="H79" s="22">
        <v>517.29999999999995</v>
      </c>
      <c r="I79" s="25">
        <f>+H79/H85</f>
        <v>0.46398780159655567</v>
      </c>
      <c r="J79" s="22"/>
      <c r="K79" s="25"/>
      <c r="M79" s="27">
        <f>AVERAGE(C79,E79,G79,I79)</f>
        <v>0.45513281266784955</v>
      </c>
    </row>
    <row r="80" spans="1:13">
      <c r="C80" s="25"/>
      <c r="E80" s="25"/>
      <c r="G80" s="25"/>
      <c r="I80" s="25"/>
      <c r="K80" s="25"/>
    </row>
    <row r="81" spans="1:13">
      <c r="A81" t="s">
        <v>144</v>
      </c>
      <c r="B81" s="22">
        <v>116.2</v>
      </c>
      <c r="C81" s="25">
        <f>+B81/B85</f>
        <v>1.9300401953293692E-2</v>
      </c>
      <c r="D81" s="22">
        <v>43</v>
      </c>
      <c r="E81" s="25">
        <f>+D81/D85</f>
        <v>9.183520919206373E-3</v>
      </c>
      <c r="F81" s="22"/>
      <c r="G81" s="25">
        <f>+F81/F85</f>
        <v>0</v>
      </c>
      <c r="I81" s="25">
        <f>+H82/H85</f>
        <v>0</v>
      </c>
      <c r="J81" s="22"/>
      <c r="K81" s="25"/>
      <c r="M81" s="27">
        <f>AVERAGE(C81,E81,G81,I81)</f>
        <v>7.1209807181250168E-3</v>
      </c>
    </row>
    <row r="82" spans="1:13">
      <c r="C82" s="25"/>
      <c r="E82" s="25"/>
      <c r="G82" s="25"/>
      <c r="H82" s="22"/>
      <c r="I82" s="25"/>
      <c r="K82" s="25"/>
    </row>
    <row r="83" spans="1:13">
      <c r="A83" t="s">
        <v>145</v>
      </c>
      <c r="B83" s="24">
        <v>3140.7</v>
      </c>
      <c r="C83" s="26">
        <f>+B83/B85</f>
        <v>0.521658970866691</v>
      </c>
      <c r="D83" s="24">
        <v>2609.5</v>
      </c>
      <c r="E83" s="26">
        <f>+D83/D85</f>
        <v>0.55731157764346584</v>
      </c>
      <c r="F83" s="24">
        <v>1237.2</v>
      </c>
      <c r="G83" s="26">
        <f>+F83/F85</f>
        <v>0.53600207954250068</v>
      </c>
      <c r="H83" s="24">
        <v>597.6</v>
      </c>
      <c r="I83" s="26">
        <f>+H83/H85</f>
        <v>0.53601219840344427</v>
      </c>
      <c r="J83" s="24"/>
      <c r="K83" s="26"/>
      <c r="M83" s="50">
        <f>AVERAGE(C83,E83,G83,I83)</f>
        <v>0.5377462066140255</v>
      </c>
    </row>
    <row r="85" spans="1:13">
      <c r="A85" s="20" t="s">
        <v>146</v>
      </c>
      <c r="B85" s="22">
        <f t="shared" ref="B85:I85" si="7">+B79+B81+B83</f>
        <v>6020.5999999999995</v>
      </c>
      <c r="C85" s="25">
        <f t="shared" si="7"/>
        <v>1</v>
      </c>
      <c r="D85" s="22">
        <f t="shared" si="7"/>
        <v>4682.3</v>
      </c>
      <c r="E85" s="25">
        <f t="shared" si="7"/>
        <v>1</v>
      </c>
      <c r="F85" s="22">
        <f t="shared" si="7"/>
        <v>2308.1999999999998</v>
      </c>
      <c r="G85" s="25">
        <f t="shared" si="7"/>
        <v>1</v>
      </c>
      <c r="H85" s="22">
        <f>+H79+H82+H83</f>
        <v>1114.9000000000001</v>
      </c>
      <c r="I85" s="25">
        <f t="shared" si="7"/>
        <v>1</v>
      </c>
      <c r="J85" s="22"/>
      <c r="K85" s="25"/>
      <c r="M85" s="25">
        <f>+M79+M81+M83</f>
        <v>1</v>
      </c>
    </row>
    <row r="87" spans="1:13">
      <c r="H87" s="22"/>
    </row>
    <row r="89" spans="1:13" ht="30" customHeight="1">
      <c r="A89" s="29" t="s">
        <v>6</v>
      </c>
      <c r="B89" s="242" t="s">
        <v>166</v>
      </c>
      <c r="C89" s="242"/>
      <c r="D89" s="20"/>
      <c r="E89" s="20"/>
      <c r="F89" s="20"/>
      <c r="G89" s="20"/>
      <c r="I89" s="20"/>
      <c r="J89" s="20"/>
      <c r="K89" s="20"/>
      <c r="L89" s="20"/>
    </row>
    <row r="90" spans="1:13">
      <c r="B90" s="21" t="s">
        <v>147</v>
      </c>
      <c r="C90" s="21" t="s">
        <v>148</v>
      </c>
      <c r="H90" s="20"/>
    </row>
    <row r="92" spans="1:13">
      <c r="A92" t="s">
        <v>143</v>
      </c>
      <c r="B92" s="22">
        <f>9956+64</f>
        <v>10020</v>
      </c>
      <c r="C92" s="25">
        <f>+B92/B98</f>
        <v>0.39181949712587494</v>
      </c>
    </row>
    <row r="93" spans="1:13">
      <c r="C93" s="25"/>
    </row>
    <row r="94" spans="1:13">
      <c r="A94" t="s">
        <v>144</v>
      </c>
      <c r="B94" s="22"/>
      <c r="C94" s="25">
        <f>+B94/B98</f>
        <v>0</v>
      </c>
    </row>
    <row r="95" spans="1:13">
      <c r="C95" s="25"/>
    </row>
    <row r="96" spans="1:13">
      <c r="A96" t="s">
        <v>145</v>
      </c>
      <c r="B96" s="24">
        <v>15553</v>
      </c>
      <c r="C96" s="26">
        <f>+B96/B98</f>
        <v>0.60818050287412506</v>
      </c>
    </row>
    <row r="98" spans="1:3">
      <c r="A98" s="20" t="s">
        <v>146</v>
      </c>
      <c r="B98" s="22">
        <f>+B92+B94+B96</f>
        <v>25573</v>
      </c>
      <c r="C98" s="25">
        <f>+C92+C94+C96</f>
        <v>1</v>
      </c>
    </row>
    <row r="101" spans="1:3" ht="15" customHeight="1">
      <c r="A101" s="35" t="s">
        <v>182</v>
      </c>
      <c r="B101" s="30"/>
    </row>
    <row r="102" spans="1:3" ht="15" customHeight="1">
      <c r="B102" s="21" t="s">
        <v>147</v>
      </c>
      <c r="C102" s="21" t="s">
        <v>148</v>
      </c>
    </row>
    <row r="103" spans="1:3" ht="15" customHeight="1"/>
    <row r="104" spans="1:3" ht="15" customHeight="1">
      <c r="A104" t="s">
        <v>143</v>
      </c>
      <c r="B104" s="22"/>
      <c r="C104" s="25" t="e">
        <f>+B104/B110</f>
        <v>#DIV/0!</v>
      </c>
    </row>
    <row r="105" spans="1:3" ht="15" customHeight="1">
      <c r="C105" s="25"/>
    </row>
    <row r="106" spans="1:3" ht="15" customHeight="1">
      <c r="A106" t="s">
        <v>144</v>
      </c>
      <c r="B106" s="22"/>
      <c r="C106" s="25" t="e">
        <f>+B106/B110</f>
        <v>#DIV/0!</v>
      </c>
    </row>
    <row r="107" spans="1:3" ht="15" customHeight="1">
      <c r="C107" s="25"/>
    </row>
    <row r="108" spans="1:3" ht="15" customHeight="1">
      <c r="A108" t="s">
        <v>145</v>
      </c>
      <c r="B108" s="24"/>
      <c r="C108" s="26" t="e">
        <f>+B108/B110</f>
        <v>#DIV/0!</v>
      </c>
    </row>
    <row r="109" spans="1:3" ht="15" customHeight="1"/>
    <row r="110" spans="1:3">
      <c r="A110" s="20" t="s">
        <v>146</v>
      </c>
      <c r="B110" s="22">
        <f>+B104+B106+B108</f>
        <v>0</v>
      </c>
      <c r="C110" s="25" t="e">
        <f>+C104+C106+C108</f>
        <v>#DIV/0!</v>
      </c>
    </row>
    <row r="111" spans="1:3">
      <c r="A111" s="20"/>
      <c r="B111" s="22"/>
      <c r="C111" s="25"/>
    </row>
    <row r="113" spans="1:3" ht="30" customHeight="1">
      <c r="A113" s="29" t="s">
        <v>25</v>
      </c>
      <c r="B113" s="242" t="s">
        <v>183</v>
      </c>
      <c r="C113" s="242"/>
    </row>
    <row r="114" spans="1:3">
      <c r="A114" t="s">
        <v>180</v>
      </c>
      <c r="B114" s="21" t="s">
        <v>147</v>
      </c>
      <c r="C114" s="21" t="s">
        <v>148</v>
      </c>
    </row>
    <row r="116" spans="1:3">
      <c r="A116" t="s">
        <v>143</v>
      </c>
      <c r="B116" s="22">
        <f>135.4+2530</f>
        <v>2665.4</v>
      </c>
      <c r="C116" s="25">
        <f>+B116/B122</f>
        <v>0.45788596656989228</v>
      </c>
    </row>
    <row r="117" spans="1:3">
      <c r="C117" s="25"/>
    </row>
    <row r="118" spans="1:3">
      <c r="A118" t="s">
        <v>144</v>
      </c>
      <c r="B118" s="22">
        <v>0</v>
      </c>
      <c r="C118" s="25">
        <f>+B118/B122</f>
        <v>0</v>
      </c>
    </row>
    <row r="119" spans="1:3">
      <c r="C119" s="25"/>
    </row>
    <row r="120" spans="1:3">
      <c r="A120" t="s">
        <v>145</v>
      </c>
      <c r="B120" s="24">
        <v>3155.7</v>
      </c>
      <c r="C120" s="26">
        <f>+B120/B122</f>
        <v>0.54211403343010767</v>
      </c>
    </row>
    <row r="122" spans="1:3">
      <c r="A122" s="20" t="s">
        <v>146</v>
      </c>
      <c r="B122" s="22">
        <f>+B116+B118+B120</f>
        <v>5821.1</v>
      </c>
      <c r="C122" s="25">
        <f>+C116+C118+C120</f>
        <v>1</v>
      </c>
    </row>
    <row r="123" spans="1:3">
      <c r="A123" s="37"/>
      <c r="B123" s="36"/>
    </row>
    <row r="125" spans="1:3" ht="30" customHeight="1">
      <c r="A125" s="30" t="s">
        <v>39</v>
      </c>
      <c r="B125" s="242" t="s">
        <v>167</v>
      </c>
      <c r="C125" s="242"/>
    </row>
    <row r="126" spans="1:3">
      <c r="A126" t="s">
        <v>180</v>
      </c>
      <c r="B126" s="21" t="s">
        <v>147</v>
      </c>
      <c r="C126" s="21" t="s">
        <v>148</v>
      </c>
    </row>
    <row r="128" spans="1:3">
      <c r="A128" t="s">
        <v>143</v>
      </c>
      <c r="B128" s="22">
        <f>303.6+3453.7</f>
        <v>3757.2999999999997</v>
      </c>
      <c r="C128" s="25">
        <f>+B128/B134</f>
        <v>0.44535713439063124</v>
      </c>
    </row>
    <row r="129" spans="1:13">
      <c r="C129" s="25"/>
    </row>
    <row r="130" spans="1:13">
      <c r="A130" t="s">
        <v>144</v>
      </c>
      <c r="B130" s="22"/>
      <c r="C130" s="25">
        <f>+B130/B134</f>
        <v>0</v>
      </c>
    </row>
    <row r="131" spans="1:13">
      <c r="C131" s="25"/>
    </row>
    <row r="132" spans="1:13">
      <c r="A132" t="s">
        <v>145</v>
      </c>
      <c r="B132" s="24">
        <v>4679.3</v>
      </c>
      <c r="C132" s="26">
        <f>+B132/B134</f>
        <v>0.55464286560936871</v>
      </c>
    </row>
    <row r="134" spans="1:13">
      <c r="A134" s="20" t="s">
        <v>146</v>
      </c>
      <c r="B134" s="22">
        <f>+B128+B130+B132</f>
        <v>8436.6</v>
      </c>
      <c r="C134" s="25">
        <f>+C128+C130+C132</f>
        <v>1</v>
      </c>
    </row>
    <row r="137" spans="1:13" ht="15" customHeight="1">
      <c r="A137" s="35" t="s">
        <v>168</v>
      </c>
      <c r="B137" s="29"/>
    </row>
    <row r="140" spans="1:13" ht="30" customHeight="1">
      <c r="A140" s="29" t="s">
        <v>7</v>
      </c>
      <c r="B140" s="242" t="s">
        <v>169</v>
      </c>
      <c r="C140" s="242"/>
      <c r="D140" s="243" t="s">
        <v>170</v>
      </c>
      <c r="E140" s="243"/>
      <c r="F140" s="242" t="s">
        <v>171</v>
      </c>
      <c r="G140" s="242"/>
      <c r="H140" s="59" t="s">
        <v>172</v>
      </c>
      <c r="I140" s="59"/>
      <c r="M140" s="65" t="s">
        <v>149</v>
      </c>
    </row>
    <row r="141" spans="1:13">
      <c r="A141" t="s">
        <v>181</v>
      </c>
      <c r="B141" s="21" t="s">
        <v>147</v>
      </c>
      <c r="C141" s="21" t="s">
        <v>148</v>
      </c>
      <c r="D141" s="67" t="s">
        <v>147</v>
      </c>
      <c r="E141" s="67" t="s">
        <v>148</v>
      </c>
      <c r="F141" s="21" t="s">
        <v>147</v>
      </c>
      <c r="G141" s="21" t="s">
        <v>148</v>
      </c>
      <c r="H141" s="21" t="s">
        <v>147</v>
      </c>
      <c r="I141" s="21" t="s">
        <v>148</v>
      </c>
    </row>
    <row r="142" spans="1:13">
      <c r="D142" s="16"/>
      <c r="E142" s="16"/>
      <c r="H142" s="21"/>
    </row>
    <row r="143" spans="1:13">
      <c r="A143" t="s">
        <v>143</v>
      </c>
      <c r="B143" s="22">
        <f>288+2828</f>
        <v>3116</v>
      </c>
      <c r="C143" s="25">
        <f t="shared" ref="C143:I143" si="8">+B143/B149</f>
        <v>0.49975942261427425</v>
      </c>
      <c r="D143" s="68">
        <f>25+4663</f>
        <v>4688</v>
      </c>
      <c r="E143" s="69">
        <f t="shared" si="8"/>
        <v>0.50928843020097769</v>
      </c>
      <c r="F143" s="22">
        <f>25+1617</f>
        <v>1642</v>
      </c>
      <c r="G143" s="25">
        <f t="shared" si="8"/>
        <v>0.41339375629405839</v>
      </c>
      <c r="H143" s="22">
        <v>2326</v>
      </c>
      <c r="I143" s="25">
        <f t="shared" si="8"/>
        <v>0.41439515410653838</v>
      </c>
      <c r="M143" s="27">
        <f>AVERAGE(C143,G143,I143)</f>
        <v>0.44251611100495697</v>
      </c>
    </row>
    <row r="144" spans="1:13">
      <c r="C144" s="25"/>
      <c r="D144" s="16"/>
      <c r="E144" s="69"/>
      <c r="G144" s="25"/>
      <c r="H144" s="22"/>
      <c r="I144" s="25"/>
    </row>
    <row r="145" spans="1:13">
      <c r="A145" t="s">
        <v>144</v>
      </c>
      <c r="B145" s="22"/>
      <c r="C145" s="25">
        <f t="shared" ref="C145:I145" si="9">+B145/B149</f>
        <v>0</v>
      </c>
      <c r="D145" s="68"/>
      <c r="E145" s="69">
        <f t="shared" si="9"/>
        <v>0</v>
      </c>
      <c r="F145" s="22"/>
      <c r="G145" s="25">
        <f t="shared" si="9"/>
        <v>0</v>
      </c>
      <c r="H145">
        <v>0</v>
      </c>
      <c r="I145" s="25">
        <f t="shared" si="9"/>
        <v>0</v>
      </c>
      <c r="M145" s="27">
        <f>AVERAGE(C145,G145,I145)</f>
        <v>0</v>
      </c>
    </row>
    <row r="146" spans="1:13">
      <c r="C146" s="25"/>
      <c r="D146" s="16"/>
      <c r="E146" s="69"/>
      <c r="G146" s="25"/>
      <c r="H146" s="22"/>
      <c r="I146" s="25"/>
    </row>
    <row r="147" spans="1:13">
      <c r="A147" t="s">
        <v>145</v>
      </c>
      <c r="B147" s="24">
        <v>3119</v>
      </c>
      <c r="C147" s="26">
        <f t="shared" ref="C147:I147" si="10">+B147/B149</f>
        <v>0.50024057738572569</v>
      </c>
      <c r="D147" s="70">
        <v>4517</v>
      </c>
      <c r="E147" s="71">
        <f t="shared" si="10"/>
        <v>0.49071156979902225</v>
      </c>
      <c r="F147" s="24">
        <v>2330</v>
      </c>
      <c r="G147" s="26">
        <f t="shared" si="10"/>
        <v>0.58660624370594161</v>
      </c>
      <c r="H147" s="24">
        <v>3287</v>
      </c>
      <c r="I147" s="26">
        <f t="shared" si="10"/>
        <v>0.58560484589346162</v>
      </c>
      <c r="M147" s="50">
        <f>AVERAGE(C147,G147,I147)</f>
        <v>0.55748388899504298</v>
      </c>
    </row>
    <row r="148" spans="1:13">
      <c r="D148" s="16"/>
      <c r="E148" s="16"/>
      <c r="H148" s="24"/>
    </row>
    <row r="149" spans="1:13">
      <c r="A149" s="20" t="s">
        <v>146</v>
      </c>
      <c r="B149" s="22">
        <f t="shared" ref="B149:I149" si="11">+B143+B145+B147</f>
        <v>6235</v>
      </c>
      <c r="C149" s="25">
        <f t="shared" si="11"/>
        <v>1</v>
      </c>
      <c r="D149" s="68">
        <f t="shared" si="11"/>
        <v>9205</v>
      </c>
      <c r="E149" s="69">
        <f t="shared" si="11"/>
        <v>1</v>
      </c>
      <c r="F149" s="22">
        <f t="shared" si="11"/>
        <v>3972</v>
      </c>
      <c r="G149" s="25">
        <f t="shared" si="11"/>
        <v>1</v>
      </c>
      <c r="H149" s="22">
        <f t="shared" si="11"/>
        <v>5613</v>
      </c>
      <c r="I149" s="25">
        <f t="shared" si="11"/>
        <v>1</v>
      </c>
      <c r="M149" s="25">
        <f>+M143+M145+M147</f>
        <v>1</v>
      </c>
    </row>
    <row r="150" spans="1:13">
      <c r="A150" s="20"/>
      <c r="B150" s="22"/>
      <c r="C150" s="25"/>
      <c r="D150" s="68"/>
      <c r="E150" s="69"/>
      <c r="F150" s="22"/>
      <c r="G150" s="25"/>
      <c r="H150" s="22"/>
      <c r="I150" s="25"/>
      <c r="M150" s="25"/>
    </row>
    <row r="151" spans="1:13">
      <c r="A151" s="20"/>
      <c r="B151" s="22"/>
      <c r="C151" s="25"/>
      <c r="D151" s="68"/>
      <c r="E151" s="69"/>
      <c r="F151" s="22"/>
      <c r="G151" s="25"/>
      <c r="H151" s="22"/>
      <c r="I151" s="25"/>
      <c r="M151" s="25"/>
    </row>
    <row r="152" spans="1:13" ht="30" customHeight="1">
      <c r="A152" s="66" t="s">
        <v>250</v>
      </c>
      <c r="B152" s="242" t="s">
        <v>251</v>
      </c>
      <c r="C152" s="242"/>
      <c r="D152" s="242" t="s">
        <v>252</v>
      </c>
      <c r="E152" s="242"/>
      <c r="F152" s="242" t="s">
        <v>253</v>
      </c>
      <c r="G152" s="242"/>
      <c r="H152" s="242" t="s">
        <v>254</v>
      </c>
      <c r="I152" s="242"/>
      <c r="M152" s="72" t="s">
        <v>149</v>
      </c>
    </row>
    <row r="153" spans="1:13">
      <c r="A153" t="s">
        <v>181</v>
      </c>
      <c r="B153" s="21" t="s">
        <v>147</v>
      </c>
      <c r="C153" s="21" t="s">
        <v>148</v>
      </c>
      <c r="D153" s="21" t="s">
        <v>147</v>
      </c>
      <c r="E153" s="21" t="s">
        <v>148</v>
      </c>
      <c r="F153" s="21" t="s">
        <v>147</v>
      </c>
      <c r="G153" s="21" t="s">
        <v>148</v>
      </c>
      <c r="H153" s="21" t="s">
        <v>147</v>
      </c>
      <c r="I153" s="21" t="s">
        <v>148</v>
      </c>
      <c r="M153" s="25"/>
    </row>
    <row r="154" spans="1:13">
      <c r="M154" s="25"/>
    </row>
    <row r="155" spans="1:13">
      <c r="A155" t="s">
        <v>143</v>
      </c>
      <c r="B155" s="22">
        <f>5600+1097</f>
        <v>6697</v>
      </c>
      <c r="C155" s="25">
        <f>+B155/B161</f>
        <v>0.51634541249036237</v>
      </c>
      <c r="D155" s="22">
        <f>6249+4024</f>
        <v>10273</v>
      </c>
      <c r="E155" s="25">
        <f>+D155/D161</f>
        <v>0.48325336343964626</v>
      </c>
      <c r="F155" s="22">
        <f>1010+309</f>
        <v>1319</v>
      </c>
      <c r="G155" s="25">
        <f>+F155/F161</f>
        <v>0.46756469337114498</v>
      </c>
      <c r="H155" s="22">
        <f>1565+929</f>
        <v>2494</v>
      </c>
      <c r="I155" s="25">
        <f>+H155/H161</f>
        <v>0.5104379860826852</v>
      </c>
      <c r="M155" s="27">
        <f>AVERAGE(C155,E155,G155,I155)</f>
        <v>0.49440036384595976</v>
      </c>
    </row>
    <row r="156" spans="1:13">
      <c r="C156" s="25"/>
      <c r="E156" s="25"/>
      <c r="G156" s="25"/>
      <c r="I156" s="25"/>
      <c r="M156" s="25"/>
    </row>
    <row r="157" spans="1:13">
      <c r="A157" t="s">
        <v>144</v>
      </c>
      <c r="B157" s="22">
        <f>85+196</f>
        <v>281</v>
      </c>
      <c r="C157" s="25">
        <f>+B157/B161</f>
        <v>2.166538164996145E-2</v>
      </c>
      <c r="D157" s="22">
        <f>45+221</f>
        <v>266</v>
      </c>
      <c r="E157" s="25">
        <f>+D157/D161</f>
        <v>1.2512936306331733E-2</v>
      </c>
      <c r="F157" s="22">
        <v>147</v>
      </c>
      <c r="G157" s="25">
        <f>+F157/F161</f>
        <v>5.2109181141439205E-2</v>
      </c>
      <c r="H157" s="22">
        <v>33</v>
      </c>
      <c r="I157" s="25">
        <f>+H157/H161</f>
        <v>6.7539909946786741E-3</v>
      </c>
      <c r="M157" s="27">
        <f>AVERAGE(C157,E157,G157,I157)</f>
        <v>2.3260372523102767E-2</v>
      </c>
    </row>
    <row r="158" spans="1:13">
      <c r="C158" s="25"/>
      <c r="E158" s="25"/>
      <c r="G158" s="25"/>
      <c r="I158" s="25"/>
      <c r="M158" s="25"/>
    </row>
    <row r="159" spans="1:13">
      <c r="A159" t="s">
        <v>145</v>
      </c>
      <c r="B159" s="24">
        <v>5992</v>
      </c>
      <c r="C159" s="26">
        <f>+B159/B161</f>
        <v>0.46198920585967618</v>
      </c>
      <c r="D159" s="24">
        <v>10719</v>
      </c>
      <c r="E159" s="26">
        <f>+D159/D161</f>
        <v>0.50423370025402203</v>
      </c>
      <c r="F159" s="24">
        <v>1355</v>
      </c>
      <c r="G159" s="26">
        <f>+F159/F161</f>
        <v>0.48032612548741582</v>
      </c>
      <c r="H159" s="24">
        <v>2359</v>
      </c>
      <c r="I159" s="26">
        <f>+H159/H161</f>
        <v>0.48280802292263608</v>
      </c>
      <c r="M159" s="50">
        <f>AVERAGE(C159,E159,G159,I159)</f>
        <v>0.48233926363093754</v>
      </c>
    </row>
    <row r="160" spans="1:13">
      <c r="M160" s="25"/>
    </row>
    <row r="161" spans="1:13">
      <c r="A161" s="20" t="s">
        <v>146</v>
      </c>
      <c r="B161" s="22">
        <f t="shared" ref="B161:I161" si="12">+B155+B157+B159</f>
        <v>12970</v>
      </c>
      <c r="C161" s="25">
        <f t="shared" si="12"/>
        <v>1</v>
      </c>
      <c r="D161" s="22">
        <f t="shared" si="12"/>
        <v>21258</v>
      </c>
      <c r="E161" s="25">
        <f t="shared" si="12"/>
        <v>1</v>
      </c>
      <c r="F161" s="22">
        <f t="shared" si="12"/>
        <v>2821</v>
      </c>
      <c r="G161" s="25">
        <f t="shared" si="12"/>
        <v>1</v>
      </c>
      <c r="H161" s="22">
        <f t="shared" si="12"/>
        <v>4886</v>
      </c>
      <c r="I161" s="25">
        <f t="shared" si="12"/>
        <v>1</v>
      </c>
      <c r="M161" s="25">
        <f>+M155+M157+M159</f>
        <v>1</v>
      </c>
    </row>
    <row r="162" spans="1:13">
      <c r="H162" s="22"/>
    </row>
    <row r="164" spans="1:13" ht="30" customHeight="1">
      <c r="A164" s="32" t="s">
        <v>27</v>
      </c>
      <c r="B164" s="242" t="s">
        <v>173</v>
      </c>
      <c r="C164" s="242"/>
      <c r="M164" s="72"/>
    </row>
    <row r="165" spans="1:13">
      <c r="A165" t="s">
        <v>245</v>
      </c>
      <c r="B165" s="21" t="s">
        <v>147</v>
      </c>
      <c r="C165" s="21" t="s">
        <v>148</v>
      </c>
    </row>
    <row r="167" spans="1:13">
      <c r="A167" t="s">
        <v>143</v>
      </c>
      <c r="B167" s="22">
        <f>305.7+365.6</f>
        <v>671.3</v>
      </c>
      <c r="C167" s="25">
        <f>+B167/B173</f>
        <v>0.44625407166123776</v>
      </c>
    </row>
    <row r="168" spans="1:13">
      <c r="C168" s="25"/>
    </row>
    <row r="169" spans="1:13">
      <c r="A169" t="s">
        <v>144</v>
      </c>
      <c r="B169" s="22">
        <v>0</v>
      </c>
      <c r="C169" s="25">
        <f>+B169/B173</f>
        <v>0</v>
      </c>
    </row>
    <row r="170" spans="1:13">
      <c r="C170" s="25"/>
    </row>
    <row r="171" spans="1:13">
      <c r="A171" t="s">
        <v>145</v>
      </c>
      <c r="B171" s="24">
        <v>833</v>
      </c>
      <c r="C171" s="26">
        <f>+B171/B173</f>
        <v>0.55374592833876224</v>
      </c>
    </row>
    <row r="173" spans="1:13">
      <c r="A173" s="20" t="s">
        <v>146</v>
      </c>
      <c r="B173" s="22">
        <f>+B167+B169+B171</f>
        <v>1504.3</v>
      </c>
      <c r="C173" s="25">
        <f>+C167+C169+C171</f>
        <v>1</v>
      </c>
    </row>
    <row r="176" spans="1:13" ht="30" customHeight="1">
      <c r="A176" s="33" t="s">
        <v>28</v>
      </c>
      <c r="B176" s="242" t="s">
        <v>174</v>
      </c>
      <c r="C176" s="242"/>
      <c r="D176" s="242" t="s">
        <v>175</v>
      </c>
      <c r="E176" s="242"/>
      <c r="M176" s="72" t="s">
        <v>149</v>
      </c>
    </row>
    <row r="177" spans="1:13">
      <c r="A177" t="s">
        <v>246</v>
      </c>
      <c r="B177" s="21" t="s">
        <v>147</v>
      </c>
      <c r="C177" s="21" t="s">
        <v>148</v>
      </c>
      <c r="D177" s="21" t="s">
        <v>147</v>
      </c>
      <c r="E177" s="21" t="s">
        <v>148</v>
      </c>
    </row>
    <row r="179" spans="1:13">
      <c r="A179" t="s">
        <v>143</v>
      </c>
      <c r="B179" s="22">
        <f>2685+147</f>
        <v>2832</v>
      </c>
      <c r="C179" s="25">
        <f>+B179/B185</f>
        <v>0.44068904346202326</v>
      </c>
      <c r="D179" s="22">
        <v>1300</v>
      </c>
      <c r="E179" s="25">
        <f>+D179/D185</f>
        <v>0.4648335538313012</v>
      </c>
      <c r="M179" s="25">
        <f>AVERAGE(C179,E179)</f>
        <v>0.45276129864666226</v>
      </c>
    </row>
    <row r="180" spans="1:13">
      <c r="C180" s="25"/>
      <c r="E180" s="25"/>
    </row>
    <row r="181" spans="1:13">
      <c r="A181" t="s">
        <v>144</v>
      </c>
      <c r="B181" s="22">
        <v>30.4</v>
      </c>
      <c r="C181" s="25">
        <f>+B181/B185</f>
        <v>4.7305603535471421E-3</v>
      </c>
      <c r="D181" s="22">
        <v>0</v>
      </c>
      <c r="E181" s="25">
        <f>+D181/D185</f>
        <v>0</v>
      </c>
      <c r="M181" s="25">
        <f>AVERAGE(C181,E181)</f>
        <v>2.365280176773571E-3</v>
      </c>
    </row>
    <row r="182" spans="1:13">
      <c r="C182" s="25"/>
      <c r="E182" s="25"/>
    </row>
    <row r="183" spans="1:13">
      <c r="A183" t="s">
        <v>145</v>
      </c>
      <c r="B183" s="24">
        <f>332.9+153.1+846.5+2226.9+4.5</f>
        <v>3563.9</v>
      </c>
      <c r="C183" s="26">
        <f>+B183/B185</f>
        <v>0.55458039618442956</v>
      </c>
      <c r="D183" s="24">
        <v>1496.7</v>
      </c>
      <c r="E183" s="26">
        <f>+D183/D185</f>
        <v>0.53516644616869891</v>
      </c>
      <c r="M183" s="26">
        <f>AVERAGE(C183,E183)</f>
        <v>0.54487342117656423</v>
      </c>
    </row>
    <row r="185" spans="1:13">
      <c r="A185" s="20" t="s">
        <v>146</v>
      </c>
      <c r="B185" s="22">
        <f>+B179+B181+B183</f>
        <v>6426.3</v>
      </c>
      <c r="C185" s="25">
        <f>+C179+C181+C183</f>
        <v>1</v>
      </c>
      <c r="D185" s="22">
        <f>+D179+D181+D183</f>
        <v>2796.7</v>
      </c>
      <c r="E185" s="25">
        <f>+E179+E181+E183</f>
        <v>1</v>
      </c>
      <c r="M185" s="25">
        <f>+M179+M181+M183</f>
        <v>1</v>
      </c>
    </row>
    <row r="188" spans="1:13" ht="30" customHeight="1">
      <c r="A188" s="34" t="s">
        <v>42</v>
      </c>
      <c r="B188" s="242" t="s">
        <v>176</v>
      </c>
      <c r="C188" s="242"/>
      <c r="D188" s="242" t="s">
        <v>177</v>
      </c>
      <c r="E188" s="242"/>
      <c r="F188" s="242" t="s">
        <v>178</v>
      </c>
      <c r="G188" s="242"/>
      <c r="H188" s="242" t="s">
        <v>179</v>
      </c>
      <c r="I188" s="242"/>
      <c r="M188" s="72" t="s">
        <v>149</v>
      </c>
    </row>
    <row r="189" spans="1:13">
      <c r="A189" t="s">
        <v>248</v>
      </c>
      <c r="B189" s="21" t="s">
        <v>147</v>
      </c>
      <c r="C189" s="21" t="s">
        <v>148</v>
      </c>
      <c r="D189" s="21" t="s">
        <v>147</v>
      </c>
      <c r="E189" s="21" t="s">
        <v>148</v>
      </c>
      <c r="F189" s="21" t="s">
        <v>147</v>
      </c>
      <c r="G189" s="21" t="s">
        <v>148</v>
      </c>
      <c r="H189" s="21" t="s">
        <v>147</v>
      </c>
      <c r="I189" s="21" t="s">
        <v>148</v>
      </c>
    </row>
    <row r="190" spans="1:13">
      <c r="H190" s="21"/>
    </row>
    <row r="191" spans="1:13">
      <c r="A191" t="s">
        <v>143</v>
      </c>
      <c r="B191" s="22">
        <f>4534.1+15.9</f>
        <v>4550</v>
      </c>
      <c r="C191" s="25">
        <f>+B191/B197</f>
        <v>0.46824669911804961</v>
      </c>
      <c r="D191" s="22"/>
      <c r="E191" s="25" t="e">
        <f>+D191/D197</f>
        <v>#DIV/0!</v>
      </c>
      <c r="F191" s="22">
        <f>4132.2-164+11.3</f>
        <v>3979.5</v>
      </c>
      <c r="G191" s="25">
        <f>+F191/F197</f>
        <v>0.43732210952009404</v>
      </c>
      <c r="H191" s="22">
        <f>1550.6-0.6</f>
        <v>1550</v>
      </c>
      <c r="I191" s="25">
        <f>+H191/H197</f>
        <v>0.46159802257363231</v>
      </c>
      <c r="M191" s="25">
        <f>AVERAGE(C191,G191,I191)</f>
        <v>0.45572227707059199</v>
      </c>
    </row>
    <row r="192" spans="1:13">
      <c r="C192" s="25"/>
      <c r="E192" s="25"/>
      <c r="G192" s="25"/>
      <c r="H192" s="22"/>
      <c r="I192" s="25"/>
    </row>
    <row r="193" spans="1:13">
      <c r="A193" t="s">
        <v>144</v>
      </c>
      <c r="B193" s="22">
        <v>0</v>
      </c>
      <c r="C193" s="25">
        <f>+B193/B197</f>
        <v>0</v>
      </c>
      <c r="D193" s="22">
        <v>0</v>
      </c>
      <c r="E193" s="25" t="e">
        <f>+D193/D197</f>
        <v>#DIV/0!</v>
      </c>
      <c r="F193" s="22">
        <v>0</v>
      </c>
      <c r="G193" s="25">
        <f>+F193/F197</f>
        <v>0</v>
      </c>
      <c r="H193" s="22">
        <v>0</v>
      </c>
      <c r="I193" s="25">
        <f>+H193/H197</f>
        <v>0</v>
      </c>
      <c r="M193" s="25">
        <f>AVERAGE(C193,G193,I193)</f>
        <v>0</v>
      </c>
    </row>
    <row r="194" spans="1:13">
      <c r="C194" s="25"/>
      <c r="E194" s="25"/>
      <c r="G194" s="25"/>
      <c r="H194" s="22"/>
      <c r="I194" s="25"/>
    </row>
    <row r="195" spans="1:13">
      <c r="A195" t="s">
        <v>145</v>
      </c>
      <c r="B195" s="24">
        <v>5167.1000000000004</v>
      </c>
      <c r="C195" s="26">
        <f>+B195/B197</f>
        <v>0.53175330088195039</v>
      </c>
      <c r="D195" s="24"/>
      <c r="E195" s="26" t="e">
        <f>+D195/D197</f>
        <v>#DIV/0!</v>
      </c>
      <c r="F195" s="24">
        <v>5120.2</v>
      </c>
      <c r="G195" s="26">
        <f>+F195/F197</f>
        <v>0.56267789047990591</v>
      </c>
      <c r="H195" s="24">
        <v>1807.9</v>
      </c>
      <c r="I195" s="26">
        <f>+H195/H197</f>
        <v>0.53840197742636764</v>
      </c>
      <c r="M195" s="26">
        <f>AVERAGE(C195,G195,I195)</f>
        <v>0.54427772292940801</v>
      </c>
    </row>
    <row r="196" spans="1:13">
      <c r="H196" s="24"/>
    </row>
    <row r="197" spans="1:13">
      <c r="A197" s="20" t="s">
        <v>146</v>
      </c>
      <c r="B197" s="22">
        <f t="shared" ref="B197:H197" si="13">+B191+B193+B195</f>
        <v>9717.1</v>
      </c>
      <c r="C197" s="25">
        <f t="shared" si="13"/>
        <v>1</v>
      </c>
      <c r="D197" s="22">
        <f t="shared" si="13"/>
        <v>0</v>
      </c>
      <c r="E197" s="25" t="e">
        <f t="shared" si="13"/>
        <v>#DIV/0!</v>
      </c>
      <c r="F197" s="22">
        <f t="shared" si="13"/>
        <v>9099.7000000000007</v>
      </c>
      <c r="G197" s="25">
        <f t="shared" si="13"/>
        <v>1</v>
      </c>
      <c r="H197" s="22">
        <f t="shared" si="13"/>
        <v>3357.9</v>
      </c>
      <c r="I197" s="25">
        <f>+I191+I193+I195</f>
        <v>1</v>
      </c>
      <c r="M197" s="25">
        <f>+M191+M193+M195</f>
        <v>1</v>
      </c>
    </row>
  </sheetData>
  <mergeCells count="61">
    <mergeCell ref="BQ15:BR15"/>
    <mergeCell ref="BG15:BH15"/>
    <mergeCell ref="BI15:BJ15"/>
    <mergeCell ref="BK15:BL15"/>
    <mergeCell ref="BM15:BN15"/>
    <mergeCell ref="BO15:BP15"/>
    <mergeCell ref="B3:C3"/>
    <mergeCell ref="B27:C27"/>
    <mergeCell ref="H188:I188"/>
    <mergeCell ref="K15:L15"/>
    <mergeCell ref="AW15:AX15"/>
    <mergeCell ref="B188:C188"/>
    <mergeCell ref="D188:E188"/>
    <mergeCell ref="F188:G188"/>
    <mergeCell ref="B164:C164"/>
    <mergeCell ref="B176:C176"/>
    <mergeCell ref="D176:E176"/>
    <mergeCell ref="B15:C15"/>
    <mergeCell ref="D15:E15"/>
    <mergeCell ref="B39:C39"/>
    <mergeCell ref="B51:C51"/>
    <mergeCell ref="B63:C63"/>
    <mergeCell ref="D63:E63"/>
    <mergeCell ref="B89:C89"/>
    <mergeCell ref="F63:G63"/>
    <mergeCell ref="J63:K63"/>
    <mergeCell ref="B76:C76"/>
    <mergeCell ref="D76:E76"/>
    <mergeCell ref="F76:G76"/>
    <mergeCell ref="H76:I76"/>
    <mergeCell ref="B113:C113"/>
    <mergeCell ref="D140:E140"/>
    <mergeCell ref="F140:G140"/>
    <mergeCell ref="B125:C125"/>
    <mergeCell ref="B140:C140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BA15:BB15"/>
    <mergeCell ref="BC15:BD15"/>
    <mergeCell ref="BE15:BF15"/>
    <mergeCell ref="B152:C152"/>
    <mergeCell ref="D152:E152"/>
    <mergeCell ref="F152:G152"/>
    <mergeCell ref="H152:I152"/>
    <mergeCell ref="AY15:AZ15"/>
    <mergeCell ref="AQ15:AR15"/>
    <mergeCell ref="AS15:AT15"/>
    <mergeCell ref="AU15:AV15"/>
    <mergeCell ref="AG15:AH15"/>
    <mergeCell ref="AI15:AJ15"/>
    <mergeCell ref="AK15:AL15"/>
    <mergeCell ref="AM15:AN15"/>
    <mergeCell ref="AO15:AP15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Z371"/>
  <sheetViews>
    <sheetView topLeftCell="F332" workbookViewId="0">
      <selection activeCell="R360" sqref="R360"/>
    </sheetView>
  </sheetViews>
  <sheetFormatPr defaultRowHeight="15"/>
  <cols>
    <col min="1" max="1" width="40.85546875" customWidth="1"/>
    <col min="2" max="2" width="12.85546875" customWidth="1"/>
    <col min="3" max="13" width="12.7109375" customWidth="1"/>
    <col min="14" max="14" width="13.42578125" customWidth="1"/>
    <col min="15" max="15" width="14" customWidth="1"/>
    <col min="18" max="18" width="14.28515625" customWidth="1"/>
    <col min="19" max="19" width="12" customWidth="1"/>
    <col min="23" max="23" width="14" customWidth="1"/>
  </cols>
  <sheetData>
    <row r="8" ht="30" customHeight="1"/>
    <row r="20" spans="1:19" ht="45" customHeight="1">
      <c r="A20" s="109"/>
      <c r="B20" s="110" t="s">
        <v>260</v>
      </c>
      <c r="C20" s="111" t="s">
        <v>225</v>
      </c>
      <c r="D20" s="112" t="s">
        <v>226</v>
      </c>
      <c r="E20" s="78" t="s">
        <v>223</v>
      </c>
      <c r="F20" s="78" t="s">
        <v>227</v>
      </c>
      <c r="G20" s="78" t="s">
        <v>224</v>
      </c>
      <c r="H20" s="78" t="s">
        <v>228</v>
      </c>
      <c r="I20" s="110" t="s">
        <v>233</v>
      </c>
      <c r="J20" s="78" t="s">
        <v>229</v>
      </c>
      <c r="K20" s="113" t="s">
        <v>230</v>
      </c>
      <c r="L20" s="78" t="s">
        <v>231</v>
      </c>
      <c r="M20" s="112" t="s">
        <v>232</v>
      </c>
      <c r="N20" s="110" t="s">
        <v>261</v>
      </c>
      <c r="O20" s="110" t="s">
        <v>234</v>
      </c>
      <c r="P20" s="110" t="s">
        <v>259</v>
      </c>
      <c r="Q20" s="110" t="s">
        <v>265</v>
      </c>
      <c r="R20" s="110" t="s">
        <v>263</v>
      </c>
      <c r="S20" s="127" t="s">
        <v>264</v>
      </c>
    </row>
    <row r="21" spans="1:19">
      <c r="A21" s="109" t="s">
        <v>192</v>
      </c>
      <c r="B21" s="81">
        <v>580800000</v>
      </c>
      <c r="C21" s="81">
        <v>580800000</v>
      </c>
      <c r="D21" s="81">
        <v>580800000</v>
      </c>
      <c r="E21" s="81">
        <v>580800000</v>
      </c>
      <c r="F21" s="81">
        <v>580800000</v>
      </c>
      <c r="G21" s="81">
        <v>580800000</v>
      </c>
      <c r="H21" s="81">
        <v>580800000</v>
      </c>
      <c r="I21" s="81">
        <v>580800000</v>
      </c>
      <c r="J21" s="81">
        <v>580800000</v>
      </c>
      <c r="K21" s="81">
        <v>580800000</v>
      </c>
      <c r="L21" s="81">
        <v>580800000</v>
      </c>
      <c r="M21" s="81">
        <v>580800000</v>
      </c>
      <c r="N21" s="81">
        <v>580800000</v>
      </c>
      <c r="O21" s="82">
        <f>AVERAGE(B21:N21)</f>
        <v>580800000</v>
      </c>
      <c r="P21" s="87"/>
      <c r="Q21" s="87"/>
      <c r="R21" s="81">
        <v>188135</v>
      </c>
      <c r="S21" s="89">
        <f>R21</f>
        <v>188135</v>
      </c>
    </row>
    <row r="22" spans="1:19">
      <c r="A22" s="109" t="s">
        <v>193</v>
      </c>
      <c r="B22" s="81">
        <v>2008000</v>
      </c>
      <c r="C22" s="81">
        <v>2008000</v>
      </c>
      <c r="D22" s="81">
        <v>2008000</v>
      </c>
      <c r="E22" s="81">
        <v>2008000</v>
      </c>
      <c r="F22" s="81">
        <v>2008000</v>
      </c>
      <c r="G22" s="81">
        <v>2008000</v>
      </c>
      <c r="H22" s="81">
        <v>1987000</v>
      </c>
      <c r="I22" s="81">
        <v>1987000</v>
      </c>
      <c r="J22" s="81">
        <v>1987000</v>
      </c>
      <c r="K22" s="81">
        <v>1987000</v>
      </c>
      <c r="L22" s="81">
        <v>1982000</v>
      </c>
      <c r="M22" s="81">
        <v>1982000</v>
      </c>
      <c r="N22" s="81">
        <v>1972000</v>
      </c>
      <c r="O22" s="82">
        <f t="shared" ref="O22:O291" si="0">AVERAGE(B22:N22)</f>
        <v>1994769.2307692308</v>
      </c>
      <c r="P22" s="87">
        <v>3.78E-2</v>
      </c>
      <c r="Q22" s="87">
        <v>4.7879999999999999E-2</v>
      </c>
      <c r="R22" s="81">
        <f>O22*P22</f>
        <v>75402.276923076919</v>
      </c>
      <c r="S22" s="89">
        <f>P22*N22</f>
        <v>74541.600000000006</v>
      </c>
    </row>
    <row r="23" spans="1:19">
      <c r="A23" s="109" t="s">
        <v>194</v>
      </c>
      <c r="B23" s="81">
        <v>388500000</v>
      </c>
      <c r="C23" s="81">
        <v>388500000</v>
      </c>
      <c r="D23" s="81">
        <v>388500000</v>
      </c>
      <c r="E23" s="81">
        <v>388500000</v>
      </c>
      <c r="F23" s="81">
        <v>388500000</v>
      </c>
      <c r="G23" s="81">
        <v>388500000</v>
      </c>
      <c r="H23" s="81">
        <v>388500000</v>
      </c>
      <c r="I23" s="81">
        <v>388500000</v>
      </c>
      <c r="J23" s="81">
        <v>388500000</v>
      </c>
      <c r="K23" s="81">
        <v>388500000</v>
      </c>
      <c r="L23" s="81">
        <v>388500000</v>
      </c>
      <c r="M23" s="81">
        <v>388500000</v>
      </c>
      <c r="N23" s="81">
        <v>388500000</v>
      </c>
      <c r="O23" s="82">
        <f t="shared" si="0"/>
        <v>388500000</v>
      </c>
      <c r="P23" s="87"/>
      <c r="Q23" s="87"/>
      <c r="R23" s="81">
        <v>154219</v>
      </c>
      <c r="S23" s="89">
        <f>R23</f>
        <v>154219</v>
      </c>
    </row>
    <row r="24" spans="1:19">
      <c r="A24" s="109" t="s">
        <v>195</v>
      </c>
      <c r="B24" s="81">
        <v>5403000</v>
      </c>
      <c r="C24" s="81">
        <v>5403000</v>
      </c>
      <c r="D24" s="81">
        <v>5403000</v>
      </c>
      <c r="E24" s="81">
        <v>5403000</v>
      </c>
      <c r="F24" s="81">
        <v>5403000</v>
      </c>
      <c r="G24" s="81">
        <v>5403000</v>
      </c>
      <c r="H24" s="81">
        <v>5403000</v>
      </c>
      <c r="I24" s="81">
        <v>5403000</v>
      </c>
      <c r="J24" s="81">
        <v>5403000</v>
      </c>
      <c r="K24" s="81">
        <v>5403000</v>
      </c>
      <c r="L24" s="81">
        <v>5342000</v>
      </c>
      <c r="M24" s="81">
        <v>5342000</v>
      </c>
      <c r="N24" s="81">
        <v>5291000</v>
      </c>
      <c r="O24" s="82">
        <f t="shared" si="0"/>
        <v>5385000</v>
      </c>
      <c r="P24" s="87">
        <v>2.4500000000000001E-2</v>
      </c>
      <c r="Q24" s="87">
        <v>4.2750000000000003E-2</v>
      </c>
      <c r="R24" s="81">
        <f t="shared" ref="R24:R259" si="1">O24*P24</f>
        <v>131932.5</v>
      </c>
      <c r="S24" s="89">
        <f t="shared" ref="S24:S91" si="2">P24*N24</f>
        <v>129629.5</v>
      </c>
    </row>
    <row r="25" spans="1:19">
      <c r="A25" s="109" t="s">
        <v>196</v>
      </c>
      <c r="B25" s="81">
        <v>7147000</v>
      </c>
      <c r="C25" s="81">
        <v>4497000</v>
      </c>
      <c r="D25" s="81">
        <v>4497000</v>
      </c>
      <c r="E25" s="81">
        <v>4497000</v>
      </c>
      <c r="F25" s="81">
        <v>4497000</v>
      </c>
      <c r="G25" s="81">
        <v>4497000</v>
      </c>
      <c r="H25" s="81">
        <v>4497000</v>
      </c>
      <c r="I25" s="81">
        <v>4497000</v>
      </c>
      <c r="J25" s="81">
        <v>4497000</v>
      </c>
      <c r="K25" s="81">
        <v>4497000</v>
      </c>
      <c r="L25" s="81">
        <v>4486000</v>
      </c>
      <c r="M25" s="81">
        <v>4486000</v>
      </c>
      <c r="N25" s="81">
        <v>4486000</v>
      </c>
      <c r="O25" s="82">
        <f t="shared" si="0"/>
        <v>4698307.692307692</v>
      </c>
      <c r="P25" s="87">
        <v>2.75E-2</v>
      </c>
      <c r="Q25" s="87">
        <v>4.2979999999999997E-2</v>
      </c>
      <c r="R25" s="81">
        <f t="shared" si="1"/>
        <v>129203.46153846153</v>
      </c>
      <c r="S25" s="128">
        <f t="shared" si="2"/>
        <v>123365</v>
      </c>
    </row>
    <row r="26" spans="1:19">
      <c r="A26" t="s">
        <v>197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8"/>
      <c r="P26" s="57"/>
      <c r="Q26" s="57">
        <v>0.04</v>
      </c>
      <c r="R26" s="56"/>
      <c r="S26" s="101"/>
    </row>
    <row r="27" spans="1:19">
      <c r="A27" s="1">
        <v>2014</v>
      </c>
      <c r="B27" s="79">
        <v>10000000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8">
        <f t="shared" si="0"/>
        <v>769230.76923076925</v>
      </c>
      <c r="P27" s="57">
        <v>0.04</v>
      </c>
      <c r="Q27" s="57"/>
      <c r="R27" s="56">
        <f t="shared" si="1"/>
        <v>30769.23076923077</v>
      </c>
      <c r="S27" s="105">
        <f t="shared" si="2"/>
        <v>0</v>
      </c>
    </row>
    <row r="28" spans="1:19">
      <c r="A28" s="1">
        <v>2014</v>
      </c>
      <c r="B28" s="79">
        <v>3000000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8">
        <f t="shared" si="0"/>
        <v>230769.23076923078</v>
      </c>
      <c r="P28" s="57">
        <v>0.05</v>
      </c>
      <c r="Q28" s="57"/>
      <c r="R28" s="56">
        <f t="shared" si="1"/>
        <v>11538.461538461539</v>
      </c>
      <c r="S28" s="105">
        <f t="shared" si="2"/>
        <v>0</v>
      </c>
    </row>
    <row r="29" spans="1:19">
      <c r="A29" s="1">
        <v>2015</v>
      </c>
      <c r="B29" s="79">
        <v>25000000</v>
      </c>
      <c r="C29" s="79">
        <v>25000000</v>
      </c>
      <c r="D29" s="79">
        <v>25000000</v>
      </c>
      <c r="E29" s="79">
        <v>25000000</v>
      </c>
      <c r="F29" s="79">
        <v>25000000</v>
      </c>
      <c r="G29" s="79">
        <v>25000000</v>
      </c>
      <c r="H29" s="79">
        <v>25000000</v>
      </c>
      <c r="I29" s="79">
        <v>25000000</v>
      </c>
      <c r="J29" s="79">
        <v>25000000</v>
      </c>
      <c r="K29" s="79">
        <v>25000000</v>
      </c>
      <c r="L29" s="79">
        <v>25000000</v>
      </c>
      <c r="M29" s="79">
        <v>25000000</v>
      </c>
      <c r="N29" s="79">
        <v>25000000</v>
      </c>
      <c r="O29" s="58">
        <f t="shared" si="0"/>
        <v>25000000</v>
      </c>
      <c r="P29" s="57">
        <v>0.05</v>
      </c>
      <c r="Q29" s="57"/>
      <c r="R29" s="56">
        <f t="shared" si="1"/>
        <v>1250000</v>
      </c>
      <c r="S29" s="105">
        <f t="shared" si="2"/>
        <v>1250000</v>
      </c>
    </row>
    <row r="30" spans="1:19">
      <c r="A30" s="1">
        <v>2016</v>
      </c>
      <c r="B30" s="79">
        <v>4170000</v>
      </c>
      <c r="C30" s="79">
        <v>4170000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8">
        <f t="shared" si="0"/>
        <v>641538.4615384615</v>
      </c>
      <c r="P30" s="57">
        <v>0.04</v>
      </c>
      <c r="Q30" s="57"/>
      <c r="R30" s="56">
        <f t="shared" si="1"/>
        <v>25661.538461538461</v>
      </c>
      <c r="S30" s="105">
        <f t="shared" si="2"/>
        <v>0</v>
      </c>
    </row>
    <row r="31" spans="1:19">
      <c r="A31" s="1">
        <v>2016</v>
      </c>
      <c r="B31" s="79">
        <v>5830000</v>
      </c>
      <c r="C31" s="79">
        <v>5830000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8">
        <f t="shared" si="0"/>
        <v>896923.07692307688</v>
      </c>
      <c r="P31" s="57">
        <v>0.05</v>
      </c>
      <c r="Q31" s="57"/>
      <c r="R31" s="56">
        <f t="shared" si="1"/>
        <v>44846.153846153844</v>
      </c>
      <c r="S31" s="105">
        <f t="shared" si="2"/>
        <v>0</v>
      </c>
    </row>
    <row r="32" spans="1:19">
      <c r="A32" s="1">
        <v>2017</v>
      </c>
      <c r="B32" s="79">
        <v>1740000</v>
      </c>
      <c r="C32" s="79">
        <v>1740000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8">
        <f t="shared" si="0"/>
        <v>267692.30769230769</v>
      </c>
      <c r="P32" s="57">
        <v>0.04</v>
      </c>
      <c r="Q32" s="57"/>
      <c r="R32" s="56">
        <f t="shared" si="1"/>
        <v>10707.692307692309</v>
      </c>
      <c r="S32" s="105">
        <f t="shared" si="2"/>
        <v>0</v>
      </c>
    </row>
    <row r="33" spans="1:19">
      <c r="A33" s="1">
        <v>2017</v>
      </c>
      <c r="B33" s="79">
        <v>15260000</v>
      </c>
      <c r="C33" s="79">
        <v>15260000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8">
        <f t="shared" si="0"/>
        <v>2347692.3076923075</v>
      </c>
      <c r="P33" s="57">
        <v>0.05</v>
      </c>
      <c r="Q33" s="57"/>
      <c r="R33" s="56">
        <f t="shared" si="1"/>
        <v>117384.61538461538</v>
      </c>
      <c r="S33" s="105">
        <f t="shared" si="2"/>
        <v>0</v>
      </c>
    </row>
    <row r="34" spans="1:19">
      <c r="A34" s="1">
        <v>2031</v>
      </c>
      <c r="B34" s="79">
        <v>495000</v>
      </c>
      <c r="C34" s="79">
        <v>495000</v>
      </c>
      <c r="D34" s="79">
        <v>495000</v>
      </c>
      <c r="E34" s="79">
        <v>495000</v>
      </c>
      <c r="F34" s="79">
        <v>495000</v>
      </c>
      <c r="G34" s="79">
        <v>495000</v>
      </c>
      <c r="H34" s="79">
        <v>495000</v>
      </c>
      <c r="I34" s="79">
        <v>495000</v>
      </c>
      <c r="J34" s="79">
        <v>495000</v>
      </c>
      <c r="K34" s="79">
        <v>495000</v>
      </c>
      <c r="L34" s="56">
        <v>0</v>
      </c>
      <c r="M34" s="56">
        <v>0</v>
      </c>
      <c r="N34" s="56">
        <v>0</v>
      </c>
      <c r="O34" s="58">
        <f t="shared" si="0"/>
        <v>380769.23076923075</v>
      </c>
      <c r="P34" s="57">
        <v>4.4999999999999998E-2</v>
      </c>
      <c r="Q34" s="57"/>
      <c r="R34" s="56">
        <f t="shared" si="1"/>
        <v>17134.615384615383</v>
      </c>
      <c r="S34" s="105">
        <f t="shared" si="2"/>
        <v>0</v>
      </c>
    </row>
    <row r="35" spans="1:19">
      <c r="A35" s="1">
        <v>2031</v>
      </c>
      <c r="B35" s="79">
        <v>69660000</v>
      </c>
      <c r="C35" s="79">
        <v>69660000</v>
      </c>
      <c r="D35" s="79">
        <v>69660000</v>
      </c>
      <c r="E35" s="79">
        <v>69660000</v>
      </c>
      <c r="F35" s="79">
        <v>69660000</v>
      </c>
      <c r="G35" s="79">
        <v>69660000</v>
      </c>
      <c r="H35" s="79">
        <v>69660000</v>
      </c>
      <c r="I35" s="79">
        <v>69660000</v>
      </c>
      <c r="J35" s="79">
        <v>69660000</v>
      </c>
      <c r="K35" s="79">
        <v>69660000</v>
      </c>
      <c r="L35" s="56">
        <v>0</v>
      </c>
      <c r="M35" s="56">
        <v>0</v>
      </c>
      <c r="N35" s="56">
        <v>0</v>
      </c>
      <c r="O35" s="58">
        <f t="shared" si="0"/>
        <v>53584615.384615384</v>
      </c>
      <c r="P35" s="57">
        <v>0.05</v>
      </c>
      <c r="Q35" s="57"/>
      <c r="R35" s="56">
        <f t="shared" si="1"/>
        <v>2679230.7692307695</v>
      </c>
      <c r="S35" s="105">
        <f t="shared" si="2"/>
        <v>0</v>
      </c>
    </row>
    <row r="36" spans="1:19">
      <c r="A36" s="1">
        <v>2035</v>
      </c>
      <c r="B36" s="79">
        <v>27175000</v>
      </c>
      <c r="C36" s="79">
        <v>27175000</v>
      </c>
      <c r="D36" s="79">
        <v>27175000</v>
      </c>
      <c r="E36" s="79">
        <v>27175000</v>
      </c>
      <c r="F36" s="79">
        <v>27175000</v>
      </c>
      <c r="G36" s="79">
        <v>27175000</v>
      </c>
      <c r="H36" s="79">
        <v>27175000</v>
      </c>
      <c r="I36" s="79">
        <v>27175000</v>
      </c>
      <c r="J36" s="79">
        <v>27175000</v>
      </c>
      <c r="K36" s="79">
        <v>27175000</v>
      </c>
      <c r="L36" s="56">
        <v>0</v>
      </c>
      <c r="M36" s="56">
        <v>0</v>
      </c>
      <c r="N36" s="56">
        <v>0</v>
      </c>
      <c r="O36" s="58">
        <f t="shared" si="0"/>
        <v>20903846.153846152</v>
      </c>
      <c r="P36" s="57">
        <v>0.05</v>
      </c>
      <c r="Q36" s="57"/>
      <c r="R36" s="56">
        <f t="shared" si="1"/>
        <v>1045192.3076923076</v>
      </c>
      <c r="S36" s="105">
        <f t="shared" si="2"/>
        <v>0</v>
      </c>
    </row>
    <row r="37" spans="1:19">
      <c r="A37" s="1">
        <v>2036</v>
      </c>
      <c r="B37" s="79">
        <v>28485000</v>
      </c>
      <c r="C37" s="79">
        <v>28485000</v>
      </c>
      <c r="D37" s="79">
        <v>28485000</v>
      </c>
      <c r="E37" s="79">
        <v>28485000</v>
      </c>
      <c r="F37" s="79">
        <v>28485000</v>
      </c>
      <c r="G37" s="79">
        <v>28485000</v>
      </c>
      <c r="H37" s="79">
        <v>28485000</v>
      </c>
      <c r="I37" s="79">
        <v>28485000</v>
      </c>
      <c r="J37" s="79">
        <v>28485000</v>
      </c>
      <c r="K37" s="79">
        <v>28485000</v>
      </c>
      <c r="L37" s="56">
        <v>0</v>
      </c>
      <c r="M37" s="56">
        <v>0</v>
      </c>
      <c r="N37" s="56">
        <v>0</v>
      </c>
      <c r="O37" s="58">
        <f t="shared" si="0"/>
        <v>21911538.46153846</v>
      </c>
      <c r="P37" s="57">
        <v>4.7500000000000001E-2</v>
      </c>
      <c r="Q37" s="57"/>
      <c r="R37" s="56">
        <f t="shared" si="1"/>
        <v>1040798.0769230769</v>
      </c>
      <c r="S37" s="105">
        <f t="shared" si="2"/>
        <v>0</v>
      </c>
    </row>
    <row r="38" spans="1:19">
      <c r="A38" s="1">
        <v>2037</v>
      </c>
      <c r="B38" s="79">
        <v>284470000</v>
      </c>
      <c r="C38" s="79">
        <v>284470000</v>
      </c>
      <c r="D38" s="79">
        <v>284470000</v>
      </c>
      <c r="E38" s="79">
        <v>284470000</v>
      </c>
      <c r="F38" s="79">
        <v>284470000</v>
      </c>
      <c r="G38" s="79">
        <v>284470000</v>
      </c>
      <c r="H38" s="79">
        <v>284470000</v>
      </c>
      <c r="I38" s="79">
        <v>284470000</v>
      </c>
      <c r="J38" s="79">
        <v>284470000</v>
      </c>
      <c r="K38" s="79">
        <v>284470000</v>
      </c>
      <c r="L38" s="56">
        <v>0</v>
      </c>
      <c r="M38" s="56">
        <v>0</v>
      </c>
      <c r="N38" s="56">
        <v>0</v>
      </c>
      <c r="O38" s="58">
        <f t="shared" si="0"/>
        <v>218823076.92307693</v>
      </c>
      <c r="P38" s="57">
        <v>5.6250000000000001E-2</v>
      </c>
      <c r="Q38" s="57"/>
      <c r="R38" s="56">
        <f t="shared" si="1"/>
        <v>12308798.076923078</v>
      </c>
      <c r="S38" s="105">
        <f t="shared" si="2"/>
        <v>0</v>
      </c>
    </row>
    <row r="39" spans="1:19">
      <c r="A39" s="78">
        <v>2040</v>
      </c>
      <c r="B39" s="80">
        <v>55000000</v>
      </c>
      <c r="C39" s="80">
        <v>55000000</v>
      </c>
      <c r="D39" s="80">
        <v>55000000</v>
      </c>
      <c r="E39" s="80">
        <v>55000000</v>
      </c>
      <c r="F39" s="80">
        <v>55000000</v>
      </c>
      <c r="G39" s="80">
        <v>55000000</v>
      </c>
      <c r="H39" s="80">
        <v>55000000</v>
      </c>
      <c r="I39" s="80">
        <v>55000000</v>
      </c>
      <c r="J39" s="80">
        <v>55000000</v>
      </c>
      <c r="K39" s="80">
        <v>55000000</v>
      </c>
      <c r="L39" s="81">
        <v>0</v>
      </c>
      <c r="M39" s="81">
        <v>0</v>
      </c>
      <c r="N39" s="81">
        <v>0</v>
      </c>
      <c r="O39" s="82">
        <f t="shared" si="0"/>
        <v>42307692.307692304</v>
      </c>
      <c r="P39" s="87">
        <v>0.05</v>
      </c>
      <c r="Q39" s="87"/>
      <c r="R39" s="81">
        <f t="shared" si="1"/>
        <v>2115384.6153846155</v>
      </c>
      <c r="S39" s="81">
        <f t="shared" si="2"/>
        <v>0</v>
      </c>
    </row>
    <row r="40" spans="1:19">
      <c r="A40" t="s">
        <v>198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8"/>
      <c r="P40" s="57"/>
      <c r="Q40" s="57">
        <v>4.7E-2</v>
      </c>
      <c r="R40" s="56"/>
    </row>
    <row r="41" spans="1:19">
      <c r="A41" s="1">
        <v>2020</v>
      </c>
      <c r="B41" s="79">
        <v>12335000</v>
      </c>
      <c r="C41" s="79">
        <v>12335000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8">
        <f t="shared" si="0"/>
        <v>1897692.3076923077</v>
      </c>
      <c r="P41" s="85">
        <v>4.7500000000000001E-2</v>
      </c>
      <c r="Q41" s="85"/>
      <c r="R41" s="56">
        <f t="shared" si="1"/>
        <v>90140.384615384624</v>
      </c>
      <c r="S41" s="105">
        <f t="shared" si="2"/>
        <v>0</v>
      </c>
    </row>
    <row r="42" spans="1:19">
      <c r="A42" s="1">
        <v>2022</v>
      </c>
      <c r="B42" s="79">
        <v>13530000</v>
      </c>
      <c r="C42" s="79">
        <v>13530000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8">
        <f t="shared" si="0"/>
        <v>2081538.4615384615</v>
      </c>
      <c r="P42" s="85">
        <v>0.05</v>
      </c>
      <c r="Q42" s="85"/>
      <c r="R42" s="56">
        <f t="shared" si="1"/>
        <v>104076.92307692308</v>
      </c>
      <c r="S42" s="105">
        <f t="shared" si="2"/>
        <v>0</v>
      </c>
    </row>
    <row r="43" spans="1:19">
      <c r="A43" s="1">
        <v>2023</v>
      </c>
      <c r="B43" s="79">
        <v>20605000</v>
      </c>
      <c r="C43" s="79">
        <v>20605000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8">
        <f t="shared" si="0"/>
        <v>3170000</v>
      </c>
      <c r="P43" s="85">
        <v>0.05</v>
      </c>
      <c r="Q43" s="85"/>
      <c r="R43" s="56">
        <f t="shared" si="1"/>
        <v>158500</v>
      </c>
      <c r="S43" s="105">
        <f t="shared" si="2"/>
        <v>0</v>
      </c>
    </row>
    <row r="44" spans="1:19">
      <c r="A44" s="1">
        <v>2024</v>
      </c>
      <c r="B44" s="79">
        <v>11175000</v>
      </c>
      <c r="C44" s="79">
        <v>11175000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8">
        <f t="shared" si="0"/>
        <v>1719230.7692307692</v>
      </c>
      <c r="P44" s="85">
        <v>0.05</v>
      </c>
      <c r="Q44" s="85"/>
      <c r="R44" s="56">
        <f t="shared" si="1"/>
        <v>85961.538461538468</v>
      </c>
      <c r="S44" s="105">
        <f t="shared" si="2"/>
        <v>0</v>
      </c>
    </row>
    <row r="45" spans="1:19">
      <c r="A45" s="1">
        <v>2025</v>
      </c>
      <c r="B45" s="79">
        <v>20000000</v>
      </c>
      <c r="C45" s="79">
        <v>20000000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8">
        <f t="shared" si="0"/>
        <v>3076923.076923077</v>
      </c>
      <c r="P45" s="85">
        <v>4.7500000000000001E-2</v>
      </c>
      <c r="Q45" s="85"/>
      <c r="R45" s="56">
        <f t="shared" si="1"/>
        <v>146153.84615384616</v>
      </c>
      <c r="S45" s="105">
        <f t="shared" si="2"/>
        <v>0</v>
      </c>
    </row>
    <row r="46" spans="1:19">
      <c r="A46" s="1">
        <v>2025</v>
      </c>
      <c r="B46" s="79">
        <v>24475000</v>
      </c>
      <c r="C46" s="79">
        <v>24475000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8">
        <f t="shared" si="0"/>
        <v>3765384.6153846155</v>
      </c>
      <c r="P46" s="85">
        <v>0.05</v>
      </c>
      <c r="Q46" s="85"/>
      <c r="R46" s="56">
        <f t="shared" si="1"/>
        <v>188269.23076923078</v>
      </c>
      <c r="S46" s="105">
        <f t="shared" si="2"/>
        <v>0</v>
      </c>
    </row>
    <row r="47" spans="1:19">
      <c r="A47" s="1">
        <v>2026</v>
      </c>
      <c r="B47" s="79">
        <v>25000000</v>
      </c>
      <c r="C47" s="79">
        <v>25000000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8">
        <f t="shared" si="0"/>
        <v>3846153.846153846</v>
      </c>
      <c r="P47" s="85">
        <v>0.05</v>
      </c>
      <c r="Q47" s="85"/>
      <c r="R47" s="56">
        <f t="shared" si="1"/>
        <v>192307.69230769231</v>
      </c>
      <c r="S47" s="105">
        <f t="shared" si="2"/>
        <v>0</v>
      </c>
    </row>
    <row r="48" spans="1:19">
      <c r="A48" s="1">
        <v>2026</v>
      </c>
      <c r="B48" s="79">
        <v>12080000</v>
      </c>
      <c r="C48" s="79">
        <v>12080000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8">
        <f t="shared" si="0"/>
        <v>1858461.5384615385</v>
      </c>
      <c r="P48" s="85">
        <v>4.7500000000000001E-2</v>
      </c>
      <c r="Q48" s="85"/>
      <c r="R48" s="56">
        <f t="shared" si="1"/>
        <v>88276.923076923078</v>
      </c>
      <c r="S48" s="105">
        <f t="shared" si="2"/>
        <v>0</v>
      </c>
    </row>
    <row r="49" spans="1:19">
      <c r="A49" s="1">
        <v>2027</v>
      </c>
      <c r="B49" s="79">
        <v>33450000</v>
      </c>
      <c r="C49" s="79">
        <v>33450000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8">
        <f t="shared" si="0"/>
        <v>5146153.846153846</v>
      </c>
      <c r="P49" s="85">
        <v>4.7500000000000001E-2</v>
      </c>
      <c r="Q49" s="85"/>
      <c r="R49" s="56">
        <f t="shared" si="1"/>
        <v>244442.30769230769</v>
      </c>
      <c r="S49" s="105">
        <f t="shared" si="2"/>
        <v>0</v>
      </c>
    </row>
    <row r="50" spans="1:19">
      <c r="A50" s="1">
        <v>2028</v>
      </c>
      <c r="B50" s="79">
        <v>32100000</v>
      </c>
      <c r="C50" s="79">
        <v>32100000</v>
      </c>
      <c r="D50" s="79">
        <v>32100000</v>
      </c>
      <c r="E50" s="79">
        <v>32100000</v>
      </c>
      <c r="F50" s="79">
        <v>32100000</v>
      </c>
      <c r="G50" s="79">
        <v>32100000</v>
      </c>
      <c r="H50" s="79">
        <v>32100000</v>
      </c>
      <c r="I50" s="79">
        <v>32100000</v>
      </c>
      <c r="J50" s="79">
        <v>32100000</v>
      </c>
      <c r="K50" s="79">
        <v>32100000</v>
      </c>
      <c r="L50" s="56">
        <v>0</v>
      </c>
      <c r="M50" s="56">
        <v>0</v>
      </c>
      <c r="N50" s="56">
        <v>0</v>
      </c>
      <c r="O50" s="58">
        <f t="shared" si="0"/>
        <v>24692307.692307692</v>
      </c>
      <c r="P50" s="85">
        <v>4.7500000000000001E-2</v>
      </c>
      <c r="Q50" s="85"/>
      <c r="R50" s="56">
        <f t="shared" si="1"/>
        <v>1172884.6153846155</v>
      </c>
      <c r="S50" s="105">
        <f t="shared" si="2"/>
        <v>0</v>
      </c>
    </row>
    <row r="51" spans="1:19">
      <c r="A51" s="1">
        <v>2029</v>
      </c>
      <c r="B51" s="79">
        <v>24500000</v>
      </c>
      <c r="C51" s="79">
        <v>24500000</v>
      </c>
      <c r="D51" s="79">
        <v>24500000</v>
      </c>
      <c r="E51" s="79">
        <v>24500000</v>
      </c>
      <c r="F51" s="79">
        <v>24500000</v>
      </c>
      <c r="G51" s="79">
        <v>24500000</v>
      </c>
      <c r="H51" s="79">
        <v>24500000</v>
      </c>
      <c r="I51" s="79">
        <v>24500000</v>
      </c>
      <c r="J51" s="79">
        <v>24500000</v>
      </c>
      <c r="K51" s="79">
        <v>24500000</v>
      </c>
      <c r="L51" s="56">
        <v>0</v>
      </c>
      <c r="M51" s="56">
        <v>0</v>
      </c>
      <c r="N51" s="56">
        <v>0</v>
      </c>
      <c r="O51" s="58">
        <f t="shared" si="0"/>
        <v>18846153.846153848</v>
      </c>
      <c r="P51" s="85">
        <v>4.4999999999999998E-2</v>
      </c>
      <c r="Q51" s="85"/>
      <c r="R51" s="56">
        <f t="shared" si="1"/>
        <v>848076.92307692312</v>
      </c>
      <c r="S51" s="105">
        <f t="shared" si="2"/>
        <v>0</v>
      </c>
    </row>
    <row r="52" spans="1:19">
      <c r="A52" s="1">
        <v>2029</v>
      </c>
      <c r="B52" s="79">
        <v>24945000</v>
      </c>
      <c r="C52" s="79">
        <v>24945000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8">
        <f t="shared" si="0"/>
        <v>3837692.3076923075</v>
      </c>
      <c r="P52" s="85">
        <v>0.05</v>
      </c>
      <c r="Q52" s="85"/>
      <c r="R52" s="56">
        <f t="shared" si="1"/>
        <v>191884.61538461538</v>
      </c>
      <c r="S52" s="105">
        <f t="shared" si="2"/>
        <v>0</v>
      </c>
    </row>
    <row r="53" spans="1:19">
      <c r="A53" s="78">
        <v>2030</v>
      </c>
      <c r="B53" s="80">
        <v>61000000</v>
      </c>
      <c r="C53" s="80">
        <v>61000000</v>
      </c>
      <c r="D53" s="80">
        <v>61000000</v>
      </c>
      <c r="E53" s="80">
        <v>61000000</v>
      </c>
      <c r="F53" s="80">
        <v>61000000</v>
      </c>
      <c r="G53" s="80">
        <v>61000000</v>
      </c>
      <c r="H53" s="80">
        <v>61000000</v>
      </c>
      <c r="I53" s="80">
        <v>61000000</v>
      </c>
      <c r="J53" s="80">
        <v>61000000</v>
      </c>
      <c r="K53" s="80">
        <v>61000000</v>
      </c>
      <c r="L53" s="81">
        <v>0</v>
      </c>
      <c r="M53" s="81">
        <v>0</v>
      </c>
      <c r="N53" s="81">
        <v>0</v>
      </c>
      <c r="O53" s="82">
        <f t="shared" si="0"/>
        <v>46923076.92307692</v>
      </c>
      <c r="P53" s="86">
        <v>4.7500000000000001E-2</v>
      </c>
      <c r="Q53" s="86"/>
      <c r="R53" s="81">
        <f t="shared" si="1"/>
        <v>2228846.1538461535</v>
      </c>
      <c r="S53" s="81">
        <f t="shared" si="2"/>
        <v>0</v>
      </c>
    </row>
    <row r="54" spans="1:19">
      <c r="A54" t="s">
        <v>199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8"/>
      <c r="P54" s="85"/>
      <c r="Q54" s="85">
        <v>4.0399999999999998E-2</v>
      </c>
      <c r="R54" s="56"/>
    </row>
    <row r="55" spans="1:19">
      <c r="A55" s="1">
        <v>2009</v>
      </c>
      <c r="B55" s="79">
        <v>139258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8">
        <f t="shared" si="0"/>
        <v>10712.153846153846</v>
      </c>
      <c r="P55" s="85">
        <v>3.2000000000000001E-2</v>
      </c>
      <c r="Q55" s="85"/>
      <c r="R55" s="56">
        <f t="shared" si="1"/>
        <v>342.78892307692308</v>
      </c>
      <c r="S55" s="105">
        <f t="shared" si="2"/>
        <v>0</v>
      </c>
    </row>
    <row r="56" spans="1:19">
      <c r="A56" s="1">
        <v>2011</v>
      </c>
      <c r="B56" s="79">
        <v>1612500</v>
      </c>
      <c r="C56" s="79">
        <v>1612500</v>
      </c>
      <c r="D56" s="79">
        <v>1612500</v>
      </c>
      <c r="E56" s="79">
        <v>1612500</v>
      </c>
      <c r="F56" s="79">
        <v>1612500</v>
      </c>
      <c r="G56" s="79">
        <v>1612500</v>
      </c>
      <c r="H56" s="79">
        <v>1612500</v>
      </c>
      <c r="I56" s="79">
        <v>1612500</v>
      </c>
      <c r="J56" s="79">
        <v>1612500</v>
      </c>
      <c r="K56" s="79">
        <v>1612500</v>
      </c>
      <c r="L56" s="79">
        <v>1612500</v>
      </c>
      <c r="M56" s="79">
        <v>1612500</v>
      </c>
      <c r="N56" s="79">
        <v>1612500</v>
      </c>
      <c r="O56" s="58">
        <f t="shared" si="0"/>
        <v>1612500</v>
      </c>
      <c r="P56" s="85">
        <v>3.3500000000000002E-2</v>
      </c>
      <c r="Q56" s="85"/>
      <c r="R56" s="56">
        <f t="shared" si="1"/>
        <v>54018.75</v>
      </c>
      <c r="S56" s="105">
        <f t="shared" si="2"/>
        <v>54018.75</v>
      </c>
    </row>
    <row r="57" spans="1:19">
      <c r="A57" s="78">
        <v>2016</v>
      </c>
      <c r="B57" s="80">
        <v>3397242</v>
      </c>
      <c r="C57" s="80">
        <v>3397242</v>
      </c>
      <c r="D57" s="80">
        <v>3397242</v>
      </c>
      <c r="E57" s="80">
        <v>3397242</v>
      </c>
      <c r="F57" s="80">
        <v>3397242</v>
      </c>
      <c r="G57" s="80">
        <v>3397242</v>
      </c>
      <c r="H57" s="80">
        <v>3397242</v>
      </c>
      <c r="I57" s="80">
        <v>3397242</v>
      </c>
      <c r="J57" s="80">
        <v>3397242</v>
      </c>
      <c r="K57" s="80">
        <v>3397242</v>
      </c>
      <c r="L57" s="80">
        <v>3397242</v>
      </c>
      <c r="M57" s="80">
        <v>3397242</v>
      </c>
      <c r="N57" s="80">
        <v>3397242</v>
      </c>
      <c r="O57" s="82">
        <f t="shared" si="0"/>
        <v>3397242</v>
      </c>
      <c r="P57" s="86">
        <v>3.85E-2</v>
      </c>
      <c r="Q57" s="86"/>
      <c r="R57" s="81">
        <f t="shared" si="1"/>
        <v>130793.817</v>
      </c>
      <c r="S57" s="81">
        <f t="shared" si="2"/>
        <v>130793.817</v>
      </c>
    </row>
    <row r="58" spans="1:19">
      <c r="A58" t="s">
        <v>200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8"/>
      <c r="P58" s="57"/>
      <c r="Q58" s="57">
        <v>4.6589999999999999E-2</v>
      </c>
      <c r="R58" s="56"/>
    </row>
    <row r="59" spans="1:19">
      <c r="A59" s="1">
        <v>2014</v>
      </c>
      <c r="B59" s="79">
        <v>10610000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8">
        <f t="shared" si="0"/>
        <v>816153.84615384613</v>
      </c>
      <c r="P59" s="85">
        <v>0.05</v>
      </c>
      <c r="Q59" s="85"/>
      <c r="R59" s="56">
        <f t="shared" si="1"/>
        <v>40807.692307692312</v>
      </c>
      <c r="S59" s="105">
        <f t="shared" si="2"/>
        <v>0</v>
      </c>
    </row>
    <row r="60" spans="1:19">
      <c r="A60" s="1">
        <v>2015</v>
      </c>
      <c r="B60" s="79">
        <v>6640000</v>
      </c>
      <c r="C60" s="79">
        <v>6640000</v>
      </c>
      <c r="D60" s="79">
        <v>6640000</v>
      </c>
      <c r="E60" s="79">
        <v>6640000</v>
      </c>
      <c r="F60" s="79">
        <v>6640000</v>
      </c>
      <c r="G60" s="79">
        <v>6640000</v>
      </c>
      <c r="H60" s="79">
        <v>6640000</v>
      </c>
      <c r="I60" s="79">
        <v>6640000</v>
      </c>
      <c r="J60" s="79">
        <v>6640000</v>
      </c>
      <c r="K60" s="79">
        <v>6640000</v>
      </c>
      <c r="L60" s="79">
        <v>6640000</v>
      </c>
      <c r="M60" s="79">
        <v>6640000</v>
      </c>
      <c r="N60" s="79">
        <v>6640000</v>
      </c>
      <c r="O60" s="58">
        <f t="shared" si="0"/>
        <v>6640000</v>
      </c>
      <c r="P60" s="85">
        <v>0.04</v>
      </c>
      <c r="Q60" s="85"/>
      <c r="R60" s="56">
        <f t="shared" si="1"/>
        <v>265600</v>
      </c>
      <c r="S60" s="105">
        <f t="shared" si="2"/>
        <v>265600</v>
      </c>
    </row>
    <row r="61" spans="1:19">
      <c r="A61" s="1">
        <v>2015</v>
      </c>
      <c r="B61" s="79">
        <v>4500000</v>
      </c>
      <c r="C61" s="79">
        <v>4500000</v>
      </c>
      <c r="D61" s="79">
        <v>4500000</v>
      </c>
      <c r="E61" s="79">
        <v>4500000</v>
      </c>
      <c r="F61" s="79">
        <v>4500000</v>
      </c>
      <c r="G61" s="79">
        <v>4500000</v>
      </c>
      <c r="H61" s="79">
        <v>4500000</v>
      </c>
      <c r="I61" s="79">
        <v>4500000</v>
      </c>
      <c r="J61" s="79">
        <v>4500000</v>
      </c>
      <c r="K61" s="79">
        <v>4500000</v>
      </c>
      <c r="L61" s="79">
        <v>4500000</v>
      </c>
      <c r="M61" s="79">
        <v>4500000</v>
      </c>
      <c r="N61" s="79">
        <v>4500000</v>
      </c>
      <c r="O61" s="58">
        <f t="shared" si="0"/>
        <v>4500000</v>
      </c>
      <c r="P61" s="85">
        <v>0.05</v>
      </c>
      <c r="Q61" s="85"/>
      <c r="R61" s="56">
        <f t="shared" si="1"/>
        <v>225000</v>
      </c>
      <c r="S61" s="105">
        <f t="shared" si="2"/>
        <v>225000</v>
      </c>
    </row>
    <row r="62" spans="1:19">
      <c r="A62" s="1">
        <v>2016</v>
      </c>
      <c r="B62" s="79">
        <v>11630000</v>
      </c>
      <c r="C62" s="79">
        <v>11630000</v>
      </c>
      <c r="D62" s="79">
        <v>11630000</v>
      </c>
      <c r="E62" s="79">
        <v>11630000</v>
      </c>
      <c r="F62" s="79">
        <v>11630000</v>
      </c>
      <c r="G62" s="79">
        <v>11630000</v>
      </c>
      <c r="H62" s="79">
        <v>11630000</v>
      </c>
      <c r="I62" s="79">
        <v>11630000</v>
      </c>
      <c r="J62" s="79">
        <v>11630000</v>
      </c>
      <c r="K62" s="79">
        <v>11630000</v>
      </c>
      <c r="L62" s="79">
        <v>11630000</v>
      </c>
      <c r="M62" s="79">
        <v>11630000</v>
      </c>
      <c r="N62" s="79">
        <v>11630000</v>
      </c>
      <c r="O62" s="58">
        <f t="shared" si="0"/>
        <v>11630000</v>
      </c>
      <c r="P62" s="85">
        <v>0.05</v>
      </c>
      <c r="Q62" s="85"/>
      <c r="R62" s="56">
        <f t="shared" si="1"/>
        <v>581500</v>
      </c>
      <c r="S62" s="105">
        <f t="shared" si="2"/>
        <v>581500</v>
      </c>
    </row>
    <row r="63" spans="1:19">
      <c r="A63" s="1">
        <v>2017</v>
      </c>
      <c r="B63" s="79">
        <v>6215000</v>
      </c>
      <c r="C63" s="79">
        <v>6215000</v>
      </c>
      <c r="D63" s="79">
        <v>6215000</v>
      </c>
      <c r="E63" s="79">
        <v>6215000</v>
      </c>
      <c r="F63" s="79">
        <v>6215000</v>
      </c>
      <c r="G63" s="79">
        <v>6215000</v>
      </c>
      <c r="H63" s="79">
        <v>6215000</v>
      </c>
      <c r="I63" s="79">
        <v>6215000</v>
      </c>
      <c r="J63" s="79">
        <v>6215000</v>
      </c>
      <c r="K63" s="79">
        <v>6215000</v>
      </c>
      <c r="L63" s="79">
        <v>6215000</v>
      </c>
      <c r="M63" s="79">
        <v>6215000</v>
      </c>
      <c r="N63" s="79">
        <v>6215000</v>
      </c>
      <c r="O63" s="58">
        <f t="shared" si="0"/>
        <v>6215000</v>
      </c>
      <c r="P63" s="85">
        <v>0.04</v>
      </c>
      <c r="Q63" s="85"/>
      <c r="R63" s="56">
        <f t="shared" si="1"/>
        <v>248600</v>
      </c>
      <c r="S63" s="105">
        <f t="shared" si="2"/>
        <v>248600</v>
      </c>
    </row>
    <row r="64" spans="1:19">
      <c r="A64" s="1">
        <v>2017</v>
      </c>
      <c r="B64" s="79">
        <v>6000000</v>
      </c>
      <c r="C64" s="79">
        <v>6000000</v>
      </c>
      <c r="D64" s="79">
        <v>6000000</v>
      </c>
      <c r="E64" s="79">
        <v>6000000</v>
      </c>
      <c r="F64" s="79">
        <v>6000000</v>
      </c>
      <c r="G64" s="79">
        <v>6000000</v>
      </c>
      <c r="H64" s="79">
        <v>6000000</v>
      </c>
      <c r="I64" s="79">
        <v>6000000</v>
      </c>
      <c r="J64" s="79">
        <v>6000000</v>
      </c>
      <c r="K64" s="79">
        <v>6000000</v>
      </c>
      <c r="L64" s="79">
        <v>6000000</v>
      </c>
      <c r="M64" s="79">
        <v>6000000</v>
      </c>
      <c r="N64" s="79">
        <v>6000000</v>
      </c>
      <c r="O64" s="58">
        <f t="shared" si="0"/>
        <v>6000000</v>
      </c>
      <c r="P64" s="85">
        <v>0.05</v>
      </c>
      <c r="Q64" s="85"/>
      <c r="R64" s="56">
        <f t="shared" si="1"/>
        <v>300000</v>
      </c>
      <c r="S64" s="105">
        <f t="shared" si="2"/>
        <v>300000</v>
      </c>
    </row>
    <row r="65" spans="1:19">
      <c r="A65" s="1">
        <v>2018</v>
      </c>
      <c r="B65" s="79">
        <v>5140000</v>
      </c>
      <c r="C65" s="79">
        <v>5140000</v>
      </c>
      <c r="D65" s="79">
        <v>5140000</v>
      </c>
      <c r="E65" s="79">
        <v>5140000</v>
      </c>
      <c r="F65" s="79">
        <v>5140000</v>
      </c>
      <c r="G65" s="79">
        <v>5140000</v>
      </c>
      <c r="H65" s="79">
        <v>5140000</v>
      </c>
      <c r="I65" s="79">
        <v>5140000</v>
      </c>
      <c r="J65" s="79">
        <v>5140000</v>
      </c>
      <c r="K65" s="79">
        <v>5140000</v>
      </c>
      <c r="L65" s="79">
        <v>5140000</v>
      </c>
      <c r="M65" s="79">
        <v>5140000</v>
      </c>
      <c r="N65" s="79">
        <v>5140000</v>
      </c>
      <c r="O65" s="58">
        <f t="shared" si="0"/>
        <v>5140000</v>
      </c>
      <c r="P65" s="85">
        <v>0.04</v>
      </c>
      <c r="Q65" s="85"/>
      <c r="R65" s="56">
        <f t="shared" si="1"/>
        <v>205600</v>
      </c>
      <c r="S65" s="105">
        <f t="shared" si="2"/>
        <v>205600</v>
      </c>
    </row>
    <row r="66" spans="1:19">
      <c r="A66" s="1">
        <v>2018</v>
      </c>
      <c r="B66" s="79">
        <v>7620000</v>
      </c>
      <c r="C66" s="79">
        <v>7620000</v>
      </c>
      <c r="D66" s="79">
        <v>7620000</v>
      </c>
      <c r="E66" s="79">
        <v>7620000</v>
      </c>
      <c r="F66" s="79">
        <v>7620000</v>
      </c>
      <c r="G66" s="79">
        <v>7620000</v>
      </c>
      <c r="H66" s="79">
        <v>7620000</v>
      </c>
      <c r="I66" s="79">
        <v>7620000</v>
      </c>
      <c r="J66" s="79">
        <v>7620000</v>
      </c>
      <c r="K66" s="79">
        <v>7620000</v>
      </c>
      <c r="L66" s="79">
        <v>7620000</v>
      </c>
      <c r="M66" s="79">
        <v>7620000</v>
      </c>
      <c r="N66" s="79">
        <v>7620000</v>
      </c>
      <c r="O66" s="58">
        <f t="shared" si="0"/>
        <v>7620000</v>
      </c>
      <c r="P66" s="85">
        <v>0.05</v>
      </c>
      <c r="Q66" s="85"/>
      <c r="R66" s="56">
        <f t="shared" si="1"/>
        <v>381000</v>
      </c>
      <c r="S66" s="105">
        <f t="shared" si="2"/>
        <v>381000</v>
      </c>
    </row>
    <row r="67" spans="1:19">
      <c r="A67" s="1">
        <v>2019</v>
      </c>
      <c r="B67" s="79">
        <v>2405000</v>
      </c>
      <c r="C67" s="79">
        <v>2405000</v>
      </c>
      <c r="D67" s="79">
        <v>2405000</v>
      </c>
      <c r="E67" s="79">
        <v>2405000</v>
      </c>
      <c r="F67" s="79">
        <v>2405000</v>
      </c>
      <c r="G67" s="79">
        <v>2405000</v>
      </c>
      <c r="H67" s="79">
        <v>2405000</v>
      </c>
      <c r="I67" s="79">
        <v>2405000</v>
      </c>
      <c r="J67" s="79">
        <v>2405000</v>
      </c>
      <c r="K67" s="79">
        <v>2405000</v>
      </c>
      <c r="L67" s="79">
        <v>2405000</v>
      </c>
      <c r="M67" s="79">
        <v>2405000</v>
      </c>
      <c r="N67" s="79">
        <v>2405000</v>
      </c>
      <c r="O67" s="58">
        <f t="shared" si="0"/>
        <v>2405000</v>
      </c>
      <c r="P67" s="85">
        <v>0.04</v>
      </c>
      <c r="Q67" s="85"/>
      <c r="R67" s="56">
        <f t="shared" si="1"/>
        <v>96200</v>
      </c>
      <c r="S67" s="105">
        <f t="shared" si="2"/>
        <v>96200</v>
      </c>
    </row>
    <row r="68" spans="1:19">
      <c r="A68" s="1">
        <v>2019</v>
      </c>
      <c r="B68" s="79">
        <v>10950000</v>
      </c>
      <c r="C68" s="79">
        <v>10950000</v>
      </c>
      <c r="D68" s="79">
        <v>10950000</v>
      </c>
      <c r="E68" s="79">
        <v>10950000</v>
      </c>
      <c r="F68" s="79">
        <v>10950000</v>
      </c>
      <c r="G68" s="79">
        <v>10950000</v>
      </c>
      <c r="H68" s="79">
        <v>10950000</v>
      </c>
      <c r="I68" s="79">
        <v>10950000</v>
      </c>
      <c r="J68" s="79">
        <v>10950000</v>
      </c>
      <c r="K68" s="79">
        <v>10950000</v>
      </c>
      <c r="L68" s="79">
        <v>10950000</v>
      </c>
      <c r="M68" s="79">
        <v>10950000</v>
      </c>
      <c r="N68" s="79">
        <v>10950000</v>
      </c>
      <c r="O68" s="58">
        <f t="shared" si="0"/>
        <v>10950000</v>
      </c>
      <c r="P68" s="85">
        <v>0.05</v>
      </c>
      <c r="Q68" s="85"/>
      <c r="R68" s="56">
        <f t="shared" si="1"/>
        <v>547500</v>
      </c>
      <c r="S68" s="105">
        <f t="shared" si="2"/>
        <v>547500</v>
      </c>
    </row>
    <row r="69" spans="1:19">
      <c r="A69" s="1">
        <v>2020</v>
      </c>
      <c r="B69" s="79">
        <v>1450000</v>
      </c>
      <c r="C69" s="79">
        <v>1450000</v>
      </c>
      <c r="D69" s="79">
        <v>1450000</v>
      </c>
      <c r="E69" s="79">
        <v>1450000</v>
      </c>
      <c r="F69" s="79">
        <v>1450000</v>
      </c>
      <c r="G69" s="79">
        <v>1450000</v>
      </c>
      <c r="H69" s="79">
        <v>1450000</v>
      </c>
      <c r="I69" s="79">
        <v>1450000</v>
      </c>
      <c r="J69" s="79">
        <v>1450000</v>
      </c>
      <c r="K69" s="79">
        <v>1450000</v>
      </c>
      <c r="L69" s="79">
        <v>1450000</v>
      </c>
      <c r="M69" s="79">
        <v>1450000</v>
      </c>
      <c r="N69" s="79">
        <v>1450000</v>
      </c>
      <c r="O69" s="58">
        <f t="shared" si="0"/>
        <v>1450000</v>
      </c>
      <c r="P69" s="85">
        <v>4.0999999999999995E-2</v>
      </c>
      <c r="Q69" s="85"/>
      <c r="R69" s="56">
        <f t="shared" si="1"/>
        <v>59449.999999999993</v>
      </c>
      <c r="S69" s="105">
        <f t="shared" si="2"/>
        <v>59449.999999999993</v>
      </c>
    </row>
    <row r="70" spans="1:19">
      <c r="A70" s="1">
        <v>2020</v>
      </c>
      <c r="B70" s="79">
        <v>12540000</v>
      </c>
      <c r="C70" s="79">
        <v>12540000</v>
      </c>
      <c r="D70" s="79">
        <v>12540000</v>
      </c>
      <c r="E70" s="79">
        <v>12540000</v>
      </c>
      <c r="F70" s="79">
        <v>12540000</v>
      </c>
      <c r="G70" s="79">
        <v>12540000</v>
      </c>
      <c r="H70" s="79">
        <v>12540000</v>
      </c>
      <c r="I70" s="79">
        <v>12540000</v>
      </c>
      <c r="J70" s="79">
        <v>12540000</v>
      </c>
      <c r="K70" s="79">
        <v>12540000</v>
      </c>
      <c r="L70" s="79">
        <v>12540000</v>
      </c>
      <c r="M70" s="79">
        <v>12540000</v>
      </c>
      <c r="N70" s="79">
        <v>12540000</v>
      </c>
      <c r="O70" s="58">
        <f t="shared" si="0"/>
        <v>12540000</v>
      </c>
      <c r="P70" s="85">
        <v>0.05</v>
      </c>
      <c r="Q70" s="85"/>
      <c r="R70" s="56">
        <f t="shared" si="1"/>
        <v>627000</v>
      </c>
      <c r="S70" s="105">
        <f t="shared" si="2"/>
        <v>627000</v>
      </c>
    </row>
    <row r="71" spans="1:19">
      <c r="A71" s="1">
        <v>2021</v>
      </c>
      <c r="B71" s="79">
        <v>960000</v>
      </c>
      <c r="C71" s="79">
        <v>960000</v>
      </c>
      <c r="D71" s="79">
        <v>960000</v>
      </c>
      <c r="E71" s="79">
        <v>960000</v>
      </c>
      <c r="F71" s="79">
        <v>960000</v>
      </c>
      <c r="G71" s="79">
        <v>960000</v>
      </c>
      <c r="H71" s="79">
        <v>960000</v>
      </c>
      <c r="I71" s="79">
        <v>960000</v>
      </c>
      <c r="J71" s="79">
        <v>960000</v>
      </c>
      <c r="K71" s="79">
        <v>960000</v>
      </c>
      <c r="L71" s="79">
        <v>960000</v>
      </c>
      <c r="M71" s="79">
        <v>960000</v>
      </c>
      <c r="N71" s="79">
        <v>960000</v>
      </c>
      <c r="O71" s="58">
        <f t="shared" si="0"/>
        <v>960000</v>
      </c>
      <c r="P71" s="85">
        <v>4.1250000000000002E-2</v>
      </c>
      <c r="Q71" s="85"/>
      <c r="R71" s="56">
        <f t="shared" si="1"/>
        <v>39600</v>
      </c>
      <c r="S71" s="105">
        <f t="shared" si="2"/>
        <v>39600</v>
      </c>
    </row>
    <row r="72" spans="1:19">
      <c r="A72" s="1">
        <v>2021</v>
      </c>
      <c r="B72" s="79">
        <v>13720000</v>
      </c>
      <c r="C72" s="79">
        <v>13720000</v>
      </c>
      <c r="D72" s="79">
        <v>13720000</v>
      </c>
      <c r="E72" s="79">
        <v>13720000</v>
      </c>
      <c r="F72" s="79">
        <v>13720000</v>
      </c>
      <c r="G72" s="79">
        <v>13720000</v>
      </c>
      <c r="H72" s="79">
        <v>13720000</v>
      </c>
      <c r="I72" s="79">
        <v>13720000</v>
      </c>
      <c r="J72" s="79">
        <v>13720000</v>
      </c>
      <c r="K72" s="79">
        <v>13720000</v>
      </c>
      <c r="L72" s="79">
        <v>13720000</v>
      </c>
      <c r="M72" s="79">
        <v>13720000</v>
      </c>
      <c r="N72" s="79">
        <v>13720000</v>
      </c>
      <c r="O72" s="58">
        <f t="shared" si="0"/>
        <v>13720000</v>
      </c>
      <c r="P72" s="85">
        <v>0.05</v>
      </c>
      <c r="Q72" s="85"/>
      <c r="R72" s="56">
        <f t="shared" si="1"/>
        <v>686000</v>
      </c>
      <c r="S72" s="105">
        <f t="shared" si="2"/>
        <v>686000</v>
      </c>
    </row>
    <row r="73" spans="1:19">
      <c r="A73" s="1">
        <v>2022</v>
      </c>
      <c r="B73" s="79">
        <v>765000</v>
      </c>
      <c r="C73" s="79">
        <v>765000</v>
      </c>
      <c r="D73" s="79">
        <v>765000</v>
      </c>
      <c r="E73" s="79">
        <v>765000</v>
      </c>
      <c r="F73" s="79">
        <v>765000</v>
      </c>
      <c r="G73" s="79">
        <v>765000</v>
      </c>
      <c r="H73" s="79">
        <v>765000</v>
      </c>
      <c r="I73" s="79">
        <v>765000</v>
      </c>
      <c r="J73" s="79">
        <v>765000</v>
      </c>
      <c r="K73" s="79">
        <v>765000</v>
      </c>
      <c r="L73" s="79">
        <v>765000</v>
      </c>
      <c r="M73" s="79">
        <v>765000</v>
      </c>
      <c r="N73" s="79">
        <v>765000</v>
      </c>
      <c r="O73" s="58">
        <f t="shared" si="0"/>
        <v>765000</v>
      </c>
      <c r="P73" s="85">
        <v>4.2000000000000003E-2</v>
      </c>
      <c r="Q73" s="85"/>
      <c r="R73" s="56">
        <f t="shared" si="1"/>
        <v>32130.000000000004</v>
      </c>
      <c r="S73" s="105">
        <f t="shared" si="2"/>
        <v>32130.000000000004</v>
      </c>
    </row>
    <row r="74" spans="1:19">
      <c r="A74" s="1">
        <v>2022</v>
      </c>
      <c r="B74" s="79">
        <v>14640000</v>
      </c>
      <c r="C74" s="79">
        <v>14640000</v>
      </c>
      <c r="D74" s="79">
        <v>14640000</v>
      </c>
      <c r="E74" s="79">
        <v>14640000</v>
      </c>
      <c r="F74" s="79">
        <v>14640000</v>
      </c>
      <c r="G74" s="79">
        <v>14640000</v>
      </c>
      <c r="H74" s="79">
        <v>14640000</v>
      </c>
      <c r="I74" s="79">
        <v>14640000</v>
      </c>
      <c r="J74" s="79">
        <v>14640000</v>
      </c>
      <c r="K74" s="79">
        <v>14640000</v>
      </c>
      <c r="L74" s="79">
        <v>14640000</v>
      </c>
      <c r="M74" s="79">
        <v>14640000</v>
      </c>
      <c r="N74" s="79">
        <v>14640000</v>
      </c>
      <c r="O74" s="58">
        <f t="shared" si="0"/>
        <v>14640000</v>
      </c>
      <c r="P74" s="85">
        <v>0.05</v>
      </c>
      <c r="Q74" s="85"/>
      <c r="R74" s="56">
        <f t="shared" si="1"/>
        <v>732000</v>
      </c>
      <c r="S74" s="105">
        <f t="shared" si="2"/>
        <v>732000</v>
      </c>
    </row>
    <row r="75" spans="1:19">
      <c r="A75" s="1">
        <v>2023</v>
      </c>
      <c r="B75" s="79">
        <v>10425000</v>
      </c>
      <c r="C75" s="79">
        <v>10425000</v>
      </c>
      <c r="D75" s="79">
        <v>10425000</v>
      </c>
      <c r="E75" s="79">
        <v>10425000</v>
      </c>
      <c r="F75" s="79">
        <v>10425000</v>
      </c>
      <c r="G75" s="79">
        <v>10425000</v>
      </c>
      <c r="H75" s="79">
        <v>10425000</v>
      </c>
      <c r="I75" s="79">
        <v>10425000</v>
      </c>
      <c r="J75" s="79">
        <v>10425000</v>
      </c>
      <c r="K75" s="79">
        <v>10425000</v>
      </c>
      <c r="L75" s="79">
        <v>10425000</v>
      </c>
      <c r="M75" s="79">
        <v>10425000</v>
      </c>
      <c r="N75" s="79">
        <v>10425000</v>
      </c>
      <c r="O75" s="58">
        <f t="shared" si="0"/>
        <v>10425000</v>
      </c>
      <c r="P75" s="85">
        <v>0.05</v>
      </c>
      <c r="Q75" s="85"/>
      <c r="R75" s="56">
        <f t="shared" si="1"/>
        <v>521250</v>
      </c>
      <c r="S75" s="105">
        <f t="shared" si="2"/>
        <v>521250</v>
      </c>
    </row>
    <row r="76" spans="1:19">
      <c r="A76" s="1">
        <v>2037</v>
      </c>
      <c r="B76" s="79">
        <v>145520000</v>
      </c>
      <c r="C76" s="79">
        <v>145520000</v>
      </c>
      <c r="D76" s="79">
        <v>145520000</v>
      </c>
      <c r="E76" s="79">
        <v>145520000</v>
      </c>
      <c r="F76" s="79">
        <v>145520000</v>
      </c>
      <c r="G76" s="79">
        <v>145520000</v>
      </c>
      <c r="H76" s="79">
        <v>145520000</v>
      </c>
      <c r="I76" s="79">
        <v>145520000</v>
      </c>
      <c r="J76" s="79">
        <v>145520000</v>
      </c>
      <c r="K76" s="79">
        <v>145520000</v>
      </c>
      <c r="L76" s="79">
        <v>145520000</v>
      </c>
      <c r="M76" s="79">
        <v>145520000</v>
      </c>
      <c r="N76" s="79">
        <v>145520000</v>
      </c>
      <c r="O76" s="58">
        <f t="shared" si="0"/>
        <v>145520000</v>
      </c>
      <c r="P76" s="85">
        <v>0.05</v>
      </c>
      <c r="Q76" s="85"/>
      <c r="R76" s="56">
        <f t="shared" si="1"/>
        <v>7276000</v>
      </c>
      <c r="S76" s="105">
        <f t="shared" si="2"/>
        <v>7276000</v>
      </c>
    </row>
    <row r="77" spans="1:19">
      <c r="A77" s="78">
        <v>2039</v>
      </c>
      <c r="B77" s="80">
        <v>58900000</v>
      </c>
      <c r="C77" s="80">
        <v>58900000</v>
      </c>
      <c r="D77" s="80">
        <v>58900000</v>
      </c>
      <c r="E77" s="80">
        <v>58900000</v>
      </c>
      <c r="F77" s="80">
        <v>58900000</v>
      </c>
      <c r="G77" s="80">
        <v>58900000</v>
      </c>
      <c r="H77" s="80">
        <v>58900000</v>
      </c>
      <c r="I77" s="80">
        <v>58900000</v>
      </c>
      <c r="J77" s="80">
        <v>58900000</v>
      </c>
      <c r="K77" s="80">
        <v>58900000</v>
      </c>
      <c r="L77" s="80">
        <v>58900000</v>
      </c>
      <c r="M77" s="80">
        <v>58900000</v>
      </c>
      <c r="N77" s="80">
        <v>58900000</v>
      </c>
      <c r="O77" s="82">
        <f t="shared" si="0"/>
        <v>58900000</v>
      </c>
      <c r="P77" s="86">
        <v>0.05</v>
      </c>
      <c r="Q77" s="86"/>
      <c r="R77" s="81">
        <f t="shared" si="1"/>
        <v>2945000</v>
      </c>
      <c r="S77" s="81">
        <f t="shared" si="2"/>
        <v>2945000</v>
      </c>
    </row>
    <row r="78" spans="1:19">
      <c r="A78" t="s">
        <v>201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8"/>
      <c r="P78" s="57"/>
      <c r="Q78" s="57">
        <v>4.6379999999999998E-2</v>
      </c>
      <c r="R78" s="56"/>
    </row>
    <row r="79" spans="1:19">
      <c r="A79" s="1">
        <v>2023</v>
      </c>
      <c r="B79" s="79">
        <v>5600000</v>
      </c>
      <c r="C79" s="79">
        <v>5600000</v>
      </c>
      <c r="D79" s="79">
        <v>5600000</v>
      </c>
      <c r="E79" s="79">
        <v>5600000</v>
      </c>
      <c r="F79" s="79">
        <v>5600000</v>
      </c>
      <c r="G79" s="79">
        <v>5600000</v>
      </c>
      <c r="H79" s="79">
        <v>5600000</v>
      </c>
      <c r="I79" s="79">
        <v>5600000</v>
      </c>
      <c r="J79" s="79">
        <v>5600000</v>
      </c>
      <c r="K79" s="79">
        <v>5600000</v>
      </c>
      <c r="L79" s="79">
        <v>5600000</v>
      </c>
      <c r="M79" s="79">
        <v>5600000</v>
      </c>
      <c r="N79" s="79">
        <v>5600000</v>
      </c>
      <c r="O79" s="58">
        <f t="shared" si="0"/>
        <v>5600000</v>
      </c>
      <c r="P79" s="57">
        <v>0.05</v>
      </c>
      <c r="Q79" s="57"/>
      <c r="R79" s="56">
        <f t="shared" si="1"/>
        <v>280000</v>
      </c>
      <c r="S79" s="105">
        <f t="shared" si="2"/>
        <v>280000</v>
      </c>
    </row>
    <row r="80" spans="1:19">
      <c r="A80" s="1">
        <v>2024</v>
      </c>
      <c r="B80" s="79">
        <v>16825000</v>
      </c>
      <c r="C80" s="79">
        <v>16825000</v>
      </c>
      <c r="D80" s="79">
        <v>16825000</v>
      </c>
      <c r="E80" s="79">
        <v>16825000</v>
      </c>
      <c r="F80" s="79">
        <v>16825000</v>
      </c>
      <c r="G80" s="79">
        <v>16825000</v>
      </c>
      <c r="H80" s="79">
        <v>16825000</v>
      </c>
      <c r="I80" s="79">
        <v>16825000</v>
      </c>
      <c r="J80" s="79">
        <v>16825000</v>
      </c>
      <c r="K80" s="79">
        <v>16825000</v>
      </c>
      <c r="L80" s="79">
        <v>16825000</v>
      </c>
      <c r="M80" s="79">
        <v>16825000</v>
      </c>
      <c r="N80" s="79">
        <v>16825000</v>
      </c>
      <c r="O80" s="58">
        <f t="shared" si="0"/>
        <v>16825000</v>
      </c>
      <c r="P80" s="57">
        <v>0.05</v>
      </c>
      <c r="Q80" s="57"/>
      <c r="R80" s="56">
        <f t="shared" si="1"/>
        <v>841250</v>
      </c>
      <c r="S80" s="105">
        <f t="shared" si="2"/>
        <v>841250</v>
      </c>
    </row>
    <row r="81" spans="1:19">
      <c r="A81" s="1">
        <v>2025</v>
      </c>
      <c r="B81" s="79">
        <v>17665000</v>
      </c>
      <c r="C81" s="79">
        <v>17665000</v>
      </c>
      <c r="D81" s="79">
        <v>17665000</v>
      </c>
      <c r="E81" s="79">
        <v>17665000</v>
      </c>
      <c r="F81" s="79">
        <v>17665000</v>
      </c>
      <c r="G81" s="79">
        <v>17665000</v>
      </c>
      <c r="H81" s="79">
        <v>17665000</v>
      </c>
      <c r="I81" s="79">
        <v>17665000</v>
      </c>
      <c r="J81" s="79">
        <v>17665000</v>
      </c>
      <c r="K81" s="79">
        <v>17665000</v>
      </c>
      <c r="L81" s="79">
        <v>17665000</v>
      </c>
      <c r="M81" s="79">
        <v>17665000</v>
      </c>
      <c r="N81" s="79">
        <v>17665000</v>
      </c>
      <c r="O81" s="58">
        <f t="shared" si="0"/>
        <v>17665000</v>
      </c>
      <c r="P81" s="57">
        <v>0.05</v>
      </c>
      <c r="Q81" s="57"/>
      <c r="R81" s="56">
        <f t="shared" si="1"/>
        <v>883250</v>
      </c>
      <c r="S81" s="105">
        <f t="shared" si="2"/>
        <v>883250</v>
      </c>
    </row>
    <row r="82" spans="1:19">
      <c r="A82" s="1">
        <v>2026</v>
      </c>
      <c r="B82" s="79">
        <v>18550000</v>
      </c>
      <c r="C82" s="79">
        <v>18550000</v>
      </c>
      <c r="D82" s="79">
        <v>18550000</v>
      </c>
      <c r="E82" s="79">
        <v>18550000</v>
      </c>
      <c r="F82" s="79">
        <v>18550000</v>
      </c>
      <c r="G82" s="79">
        <v>18550000</v>
      </c>
      <c r="H82" s="79">
        <v>18550000</v>
      </c>
      <c r="I82" s="79">
        <v>18550000</v>
      </c>
      <c r="J82" s="79">
        <v>18550000</v>
      </c>
      <c r="K82" s="79">
        <v>18550000</v>
      </c>
      <c r="L82" s="79">
        <v>18550000</v>
      </c>
      <c r="M82" s="79">
        <v>18550000</v>
      </c>
      <c r="N82" s="79">
        <v>18550000</v>
      </c>
      <c r="O82" s="58">
        <f t="shared" si="0"/>
        <v>18550000</v>
      </c>
      <c r="P82" s="57">
        <v>0.05</v>
      </c>
      <c r="Q82" s="57"/>
      <c r="R82" s="56">
        <f t="shared" si="1"/>
        <v>927500</v>
      </c>
      <c r="S82" s="105">
        <f t="shared" si="2"/>
        <v>927500</v>
      </c>
    </row>
    <row r="83" spans="1:19">
      <c r="A83" s="1">
        <v>2027</v>
      </c>
      <c r="B83" s="79">
        <v>19475000</v>
      </c>
      <c r="C83" s="79">
        <v>19475000</v>
      </c>
      <c r="D83" s="79">
        <v>19475000</v>
      </c>
      <c r="E83" s="79">
        <v>19475000</v>
      </c>
      <c r="F83" s="79">
        <v>19475000</v>
      </c>
      <c r="G83" s="79">
        <v>19475000</v>
      </c>
      <c r="H83" s="79">
        <v>19475000</v>
      </c>
      <c r="I83" s="79">
        <v>19475000</v>
      </c>
      <c r="J83" s="79">
        <v>19475000</v>
      </c>
      <c r="K83" s="79">
        <v>19475000</v>
      </c>
      <c r="L83" s="79">
        <v>19475000</v>
      </c>
      <c r="M83" s="79">
        <v>19475000</v>
      </c>
      <c r="N83" s="79">
        <v>19475000</v>
      </c>
      <c r="O83" s="58">
        <f t="shared" si="0"/>
        <v>19475000</v>
      </c>
      <c r="P83" s="57">
        <v>0.05</v>
      </c>
      <c r="Q83" s="57"/>
      <c r="R83" s="56">
        <f t="shared" si="1"/>
        <v>973750</v>
      </c>
      <c r="S83" s="105">
        <f t="shared" si="2"/>
        <v>973750</v>
      </c>
    </row>
    <row r="84" spans="1:19">
      <c r="A84" s="1">
        <v>2028</v>
      </c>
      <c r="B84" s="79">
        <v>20450000</v>
      </c>
      <c r="C84" s="79">
        <v>20450000</v>
      </c>
      <c r="D84" s="79">
        <v>20450000</v>
      </c>
      <c r="E84" s="79">
        <v>20450000</v>
      </c>
      <c r="F84" s="79">
        <v>20450000</v>
      </c>
      <c r="G84" s="79">
        <v>20450000</v>
      </c>
      <c r="H84" s="79">
        <v>20450000</v>
      </c>
      <c r="I84" s="79">
        <v>20450000</v>
      </c>
      <c r="J84" s="79">
        <v>20450000</v>
      </c>
      <c r="K84" s="79">
        <v>20450000</v>
      </c>
      <c r="L84" s="79">
        <v>20450000</v>
      </c>
      <c r="M84" s="79">
        <v>20450000</v>
      </c>
      <c r="N84" s="79">
        <v>20450000</v>
      </c>
      <c r="O84" s="58">
        <f t="shared" si="0"/>
        <v>20450000</v>
      </c>
      <c r="P84" s="57">
        <v>0.05</v>
      </c>
      <c r="Q84" s="57"/>
      <c r="R84" s="56">
        <f t="shared" si="1"/>
        <v>1022500</v>
      </c>
      <c r="S84" s="105">
        <f t="shared" si="2"/>
        <v>1022500</v>
      </c>
    </row>
    <row r="85" spans="1:19">
      <c r="A85" s="1">
        <v>2029</v>
      </c>
      <c r="B85" s="79">
        <v>21475000</v>
      </c>
      <c r="C85" s="79">
        <v>21475000</v>
      </c>
      <c r="D85" s="79">
        <v>21475000</v>
      </c>
      <c r="E85" s="79">
        <v>21475000</v>
      </c>
      <c r="F85" s="79">
        <v>21475000</v>
      </c>
      <c r="G85" s="79">
        <v>21475000</v>
      </c>
      <c r="H85" s="79">
        <v>21475000</v>
      </c>
      <c r="I85" s="79">
        <v>21475000</v>
      </c>
      <c r="J85" s="79">
        <v>21475000</v>
      </c>
      <c r="K85" s="79">
        <v>21475000</v>
      </c>
      <c r="L85" s="79">
        <v>21475000</v>
      </c>
      <c r="M85" s="79">
        <v>21475000</v>
      </c>
      <c r="N85" s="79">
        <v>21475000</v>
      </c>
      <c r="O85" s="58">
        <f t="shared" si="0"/>
        <v>21475000</v>
      </c>
      <c r="P85" s="57">
        <v>0.05</v>
      </c>
      <c r="Q85" s="57"/>
      <c r="R85" s="56">
        <f t="shared" si="1"/>
        <v>1073750</v>
      </c>
      <c r="S85" s="105">
        <f t="shared" si="2"/>
        <v>1073750</v>
      </c>
    </row>
    <row r="86" spans="1:19">
      <c r="A86" s="1">
        <v>2030</v>
      </c>
      <c r="B86" s="79">
        <v>22550000</v>
      </c>
      <c r="C86" s="79">
        <v>22550000</v>
      </c>
      <c r="D86" s="79">
        <v>22550000</v>
      </c>
      <c r="E86" s="79">
        <v>22550000</v>
      </c>
      <c r="F86" s="79">
        <v>22550000</v>
      </c>
      <c r="G86" s="79">
        <v>22550000</v>
      </c>
      <c r="H86" s="79">
        <v>22550000</v>
      </c>
      <c r="I86" s="79">
        <v>22550000</v>
      </c>
      <c r="J86" s="79">
        <v>22550000</v>
      </c>
      <c r="K86" s="79">
        <v>22550000</v>
      </c>
      <c r="L86" s="79">
        <v>22550000</v>
      </c>
      <c r="M86" s="79">
        <v>22550000</v>
      </c>
      <c r="N86" s="79">
        <v>22550000</v>
      </c>
      <c r="O86" s="58">
        <f t="shared" si="0"/>
        <v>22550000</v>
      </c>
      <c r="P86" s="57">
        <v>0.05</v>
      </c>
      <c r="Q86" s="57"/>
      <c r="R86" s="56">
        <f t="shared" si="1"/>
        <v>1127500</v>
      </c>
      <c r="S86" s="105">
        <f t="shared" si="2"/>
        <v>1127500</v>
      </c>
    </row>
    <row r="87" spans="1:19">
      <c r="A87" s="1">
        <v>2031</v>
      </c>
      <c r="B87" s="79">
        <v>23675000</v>
      </c>
      <c r="C87" s="79">
        <v>23675000</v>
      </c>
      <c r="D87" s="79">
        <v>23675000</v>
      </c>
      <c r="E87" s="79">
        <v>23675000</v>
      </c>
      <c r="F87" s="79">
        <v>23675000</v>
      </c>
      <c r="G87" s="79">
        <v>23675000</v>
      </c>
      <c r="H87" s="79">
        <v>23675000</v>
      </c>
      <c r="I87" s="79">
        <v>23675000</v>
      </c>
      <c r="J87" s="79">
        <v>23675000</v>
      </c>
      <c r="K87" s="79">
        <v>23675000</v>
      </c>
      <c r="L87" s="79">
        <v>23675000</v>
      </c>
      <c r="M87" s="79">
        <v>23675000</v>
      </c>
      <c r="N87" s="79">
        <v>23675000</v>
      </c>
      <c r="O87" s="58">
        <f t="shared" si="0"/>
        <v>23675000</v>
      </c>
      <c r="P87" s="57">
        <v>0.05</v>
      </c>
      <c r="Q87" s="57"/>
      <c r="R87" s="56">
        <f t="shared" si="1"/>
        <v>1183750</v>
      </c>
      <c r="S87" s="105">
        <f t="shared" si="2"/>
        <v>1183750</v>
      </c>
    </row>
    <row r="88" spans="1:19">
      <c r="A88" s="78">
        <v>2032</v>
      </c>
      <c r="B88" s="80">
        <v>24860000</v>
      </c>
      <c r="C88" s="80">
        <v>24860000</v>
      </c>
      <c r="D88" s="80">
        <v>24860000</v>
      </c>
      <c r="E88" s="80">
        <v>24860000</v>
      </c>
      <c r="F88" s="80">
        <v>24860000</v>
      </c>
      <c r="G88" s="80">
        <v>24860000</v>
      </c>
      <c r="H88" s="80">
        <v>24860000</v>
      </c>
      <c r="I88" s="80">
        <v>24860000</v>
      </c>
      <c r="J88" s="80">
        <v>24860000</v>
      </c>
      <c r="K88" s="80">
        <v>24860000</v>
      </c>
      <c r="L88" s="80">
        <v>24860000</v>
      </c>
      <c r="M88" s="80">
        <v>24860000</v>
      </c>
      <c r="N88" s="80">
        <v>24860000</v>
      </c>
      <c r="O88" s="82">
        <f t="shared" si="0"/>
        <v>24860000</v>
      </c>
      <c r="P88" s="87">
        <v>0.05</v>
      </c>
      <c r="Q88" s="87"/>
      <c r="R88" s="81">
        <f t="shared" si="1"/>
        <v>1243000</v>
      </c>
      <c r="S88" s="81">
        <f>P88*N88</f>
        <v>1243000</v>
      </c>
    </row>
    <row r="89" spans="1:19">
      <c r="A89" s="88" t="s">
        <v>202</v>
      </c>
      <c r="B89" s="89">
        <v>200000000</v>
      </c>
      <c r="C89" s="89">
        <v>200000000</v>
      </c>
      <c r="D89" s="89">
        <v>200000000</v>
      </c>
      <c r="E89" s="89">
        <v>200000000</v>
      </c>
      <c r="F89" s="89">
        <v>200000000</v>
      </c>
      <c r="G89" s="89">
        <v>200000000</v>
      </c>
      <c r="H89" s="89">
        <v>200000000</v>
      </c>
      <c r="I89" s="89">
        <v>200000000</v>
      </c>
      <c r="J89" s="89">
        <v>200000000</v>
      </c>
      <c r="K89" s="89">
        <v>200000000</v>
      </c>
      <c r="L89" s="89">
        <v>200000000</v>
      </c>
      <c r="M89" s="89">
        <v>200000000</v>
      </c>
      <c r="N89" s="89">
        <v>200000000</v>
      </c>
      <c r="O89" s="90">
        <f t="shared" si="0"/>
        <v>200000000</v>
      </c>
      <c r="P89" s="91">
        <v>5.2499999999999998E-2</v>
      </c>
      <c r="Q89" s="91">
        <v>5.5829999999999998E-2</v>
      </c>
      <c r="R89" s="89">
        <f t="shared" si="1"/>
        <v>10500000</v>
      </c>
      <c r="S89" s="89">
        <f t="shared" si="2"/>
        <v>10500000</v>
      </c>
    </row>
    <row r="90" spans="1:19">
      <c r="A90" t="s">
        <v>203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8"/>
      <c r="P90" s="57"/>
      <c r="Q90" s="57">
        <v>5.0389999999999997E-2</v>
      </c>
      <c r="R90" s="56"/>
    </row>
    <row r="91" spans="1:19">
      <c r="A91" s="1">
        <v>2014</v>
      </c>
      <c r="B91" s="79">
        <v>4835000</v>
      </c>
      <c r="C91" s="56">
        <v>0</v>
      </c>
      <c r="D91" s="56">
        <v>0</v>
      </c>
      <c r="E91" s="56">
        <v>0</v>
      </c>
      <c r="F91" s="56">
        <v>0</v>
      </c>
      <c r="G91" s="56">
        <v>0</v>
      </c>
      <c r="H91" s="56">
        <v>0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O91" s="58">
        <f t="shared" si="0"/>
        <v>371923.07692307694</v>
      </c>
      <c r="P91" s="85">
        <v>0.05</v>
      </c>
      <c r="Q91" s="85"/>
      <c r="R91" s="56">
        <f t="shared" si="1"/>
        <v>18596.153846153848</v>
      </c>
      <c r="S91" s="105">
        <f t="shared" si="2"/>
        <v>0</v>
      </c>
    </row>
    <row r="92" spans="1:19">
      <c r="A92" s="1">
        <v>2015</v>
      </c>
      <c r="B92" s="79">
        <v>10440000</v>
      </c>
      <c r="C92" s="79">
        <v>10440000</v>
      </c>
      <c r="D92" s="79">
        <v>10440000</v>
      </c>
      <c r="E92" s="79">
        <v>10440000</v>
      </c>
      <c r="F92" s="79">
        <v>10440000</v>
      </c>
      <c r="G92" s="79">
        <v>10440000</v>
      </c>
      <c r="H92" s="79">
        <v>10440000</v>
      </c>
      <c r="I92" s="79">
        <v>10440000</v>
      </c>
      <c r="J92" s="79">
        <v>10440000</v>
      </c>
      <c r="K92" s="79">
        <v>10440000</v>
      </c>
      <c r="L92" s="79">
        <v>10440000</v>
      </c>
      <c r="M92" s="79">
        <v>10440000</v>
      </c>
      <c r="N92" s="79">
        <v>10440000</v>
      </c>
      <c r="O92" s="58">
        <f t="shared" si="0"/>
        <v>10440000</v>
      </c>
      <c r="P92" s="85">
        <v>0.05</v>
      </c>
      <c r="Q92" s="85"/>
      <c r="R92" s="56">
        <f t="shared" si="1"/>
        <v>522000</v>
      </c>
      <c r="S92" s="105">
        <f t="shared" ref="S92:S146" si="3">P92*N92</f>
        <v>522000</v>
      </c>
    </row>
    <row r="93" spans="1:19">
      <c r="A93" s="1">
        <v>2016</v>
      </c>
      <c r="B93" s="79">
        <v>31680000</v>
      </c>
      <c r="C93" s="79">
        <v>31680000</v>
      </c>
      <c r="D93" s="79">
        <v>31680000</v>
      </c>
      <c r="E93" s="79">
        <v>31680000</v>
      </c>
      <c r="F93" s="79">
        <v>31680000</v>
      </c>
      <c r="G93" s="79">
        <v>31680000</v>
      </c>
      <c r="H93" s="79">
        <v>31680000</v>
      </c>
      <c r="I93" s="79">
        <v>31680000</v>
      </c>
      <c r="J93" s="79">
        <v>31680000</v>
      </c>
      <c r="K93" s="79">
        <v>31680000</v>
      </c>
      <c r="L93" s="79">
        <v>31680000</v>
      </c>
      <c r="M93" s="79">
        <v>31680000</v>
      </c>
      <c r="N93" s="79">
        <v>31680000</v>
      </c>
      <c r="O93" s="58">
        <f t="shared" si="0"/>
        <v>31680000</v>
      </c>
      <c r="P93" s="85">
        <v>0.04</v>
      </c>
      <c r="Q93" s="85"/>
      <c r="R93" s="56">
        <f t="shared" si="1"/>
        <v>1267200</v>
      </c>
      <c r="S93" s="105">
        <f t="shared" si="3"/>
        <v>1267200</v>
      </c>
    </row>
    <row r="94" spans="1:19">
      <c r="A94" s="1">
        <v>2016</v>
      </c>
      <c r="B94" s="79">
        <v>31685000</v>
      </c>
      <c r="C94" s="79">
        <v>31685000</v>
      </c>
      <c r="D94" s="79">
        <v>31685000</v>
      </c>
      <c r="E94" s="79">
        <v>31685000</v>
      </c>
      <c r="F94" s="79">
        <v>31685000</v>
      </c>
      <c r="G94" s="79">
        <v>31685000</v>
      </c>
      <c r="H94" s="79">
        <v>31685000</v>
      </c>
      <c r="I94" s="79">
        <v>31685000</v>
      </c>
      <c r="J94" s="79">
        <v>31685000</v>
      </c>
      <c r="K94" s="79">
        <v>31685000</v>
      </c>
      <c r="L94" s="79">
        <v>31685000</v>
      </c>
      <c r="M94" s="79">
        <v>31685000</v>
      </c>
      <c r="N94" s="79">
        <v>31685000</v>
      </c>
      <c r="O94" s="58">
        <f t="shared" si="0"/>
        <v>31685000</v>
      </c>
      <c r="P94" s="85">
        <v>0.05</v>
      </c>
      <c r="Q94" s="85"/>
      <c r="R94" s="56">
        <f t="shared" si="1"/>
        <v>1584250</v>
      </c>
      <c r="S94" s="105">
        <f t="shared" si="3"/>
        <v>1584250</v>
      </c>
    </row>
    <row r="95" spans="1:19">
      <c r="A95" s="1">
        <v>2017</v>
      </c>
      <c r="B95" s="79">
        <v>18280000</v>
      </c>
      <c r="C95" s="79">
        <v>18280000</v>
      </c>
      <c r="D95" s="79">
        <v>18280000</v>
      </c>
      <c r="E95" s="79">
        <v>18280000</v>
      </c>
      <c r="F95" s="79">
        <v>18280000</v>
      </c>
      <c r="G95" s="79">
        <v>18280000</v>
      </c>
      <c r="H95" s="79">
        <v>18280000</v>
      </c>
      <c r="I95" s="79">
        <v>18280000</v>
      </c>
      <c r="J95" s="79">
        <v>18280000</v>
      </c>
      <c r="K95" s="79">
        <v>18280000</v>
      </c>
      <c r="L95" s="79">
        <v>18280000</v>
      </c>
      <c r="M95" s="79">
        <v>18280000</v>
      </c>
      <c r="N95" s="79">
        <v>18280000</v>
      </c>
      <c r="O95" s="58">
        <f t="shared" si="0"/>
        <v>18280000</v>
      </c>
      <c r="P95" s="85">
        <v>4.1250000000000002E-2</v>
      </c>
      <c r="Q95" s="85"/>
      <c r="R95" s="56">
        <f t="shared" si="1"/>
        <v>754050</v>
      </c>
      <c r="S95" s="105">
        <f t="shared" si="3"/>
        <v>754050</v>
      </c>
    </row>
    <row r="96" spans="1:19">
      <c r="A96" s="1">
        <v>2017</v>
      </c>
      <c r="B96" s="79">
        <v>18285000</v>
      </c>
      <c r="C96" s="79">
        <v>18285000</v>
      </c>
      <c r="D96" s="79">
        <v>18285000</v>
      </c>
      <c r="E96" s="79">
        <v>18285000</v>
      </c>
      <c r="F96" s="79">
        <v>18285000</v>
      </c>
      <c r="G96" s="79">
        <v>18285000</v>
      </c>
      <c r="H96" s="79">
        <v>18285000</v>
      </c>
      <c r="I96" s="79">
        <v>18285000</v>
      </c>
      <c r="J96" s="79">
        <v>18285000</v>
      </c>
      <c r="K96" s="79">
        <v>18285000</v>
      </c>
      <c r="L96" s="79">
        <v>18285000</v>
      </c>
      <c r="M96" s="79">
        <v>18285000</v>
      </c>
      <c r="N96" s="79">
        <v>18285000</v>
      </c>
      <c r="O96" s="58">
        <f t="shared" si="0"/>
        <v>18285000</v>
      </c>
      <c r="P96" s="85">
        <v>0.05</v>
      </c>
      <c r="Q96" s="85"/>
      <c r="R96" s="56">
        <f t="shared" si="1"/>
        <v>914250</v>
      </c>
      <c r="S96" s="105">
        <f t="shared" si="3"/>
        <v>914250</v>
      </c>
    </row>
    <row r="97" spans="1:19">
      <c r="A97" s="1">
        <v>2019</v>
      </c>
      <c r="B97" s="79">
        <v>5185000</v>
      </c>
      <c r="C97" s="79">
        <v>5185000</v>
      </c>
      <c r="D97" s="79">
        <v>5185000</v>
      </c>
      <c r="E97" s="79">
        <v>5185000</v>
      </c>
      <c r="F97" s="79">
        <v>5185000</v>
      </c>
      <c r="G97" s="79">
        <v>5185000</v>
      </c>
      <c r="H97" s="79">
        <v>5185000</v>
      </c>
      <c r="I97" s="79">
        <v>5185000</v>
      </c>
      <c r="J97" s="79">
        <v>5185000</v>
      </c>
      <c r="K97" s="79">
        <v>5185000</v>
      </c>
      <c r="L97" s="79">
        <v>5185000</v>
      </c>
      <c r="M97" s="79">
        <v>5185000</v>
      </c>
      <c r="N97" s="79">
        <v>5185000</v>
      </c>
      <c r="O97" s="58">
        <f t="shared" si="0"/>
        <v>5185000</v>
      </c>
      <c r="P97" s="85">
        <v>0.05</v>
      </c>
      <c r="Q97" s="85"/>
      <c r="R97" s="56">
        <f t="shared" si="1"/>
        <v>259250</v>
      </c>
      <c r="S97" s="105">
        <f t="shared" si="3"/>
        <v>259250</v>
      </c>
    </row>
    <row r="98" spans="1:19">
      <c r="A98" s="1">
        <v>2020</v>
      </c>
      <c r="B98" s="79">
        <v>6245000</v>
      </c>
      <c r="C98" s="79">
        <v>6245000</v>
      </c>
      <c r="D98" s="79">
        <v>6245000</v>
      </c>
      <c r="E98" s="79">
        <v>6245000</v>
      </c>
      <c r="F98" s="79">
        <v>6245000</v>
      </c>
      <c r="G98" s="79">
        <v>6245000</v>
      </c>
      <c r="H98" s="79">
        <v>6245000</v>
      </c>
      <c r="I98" s="79">
        <v>6245000</v>
      </c>
      <c r="J98" s="79">
        <v>6245000</v>
      </c>
      <c r="K98" s="79">
        <v>6245000</v>
      </c>
      <c r="L98" s="79">
        <v>6245000</v>
      </c>
      <c r="M98" s="79">
        <v>6245000</v>
      </c>
      <c r="N98" s="79">
        <v>6245000</v>
      </c>
      <c r="O98" s="58">
        <f t="shared" si="0"/>
        <v>6245000</v>
      </c>
      <c r="P98" s="85">
        <v>0.05</v>
      </c>
      <c r="Q98" s="85"/>
      <c r="R98" s="56">
        <f t="shared" si="1"/>
        <v>312250</v>
      </c>
      <c r="S98" s="105">
        <f t="shared" si="3"/>
        <v>312250</v>
      </c>
    </row>
    <row r="99" spans="1:19">
      <c r="A99" s="1">
        <v>2021</v>
      </c>
      <c r="B99" s="79">
        <v>6620000</v>
      </c>
      <c r="C99" s="79">
        <v>6620000</v>
      </c>
      <c r="D99" s="79">
        <v>6620000</v>
      </c>
      <c r="E99" s="79">
        <v>6620000</v>
      </c>
      <c r="F99" s="79">
        <v>6620000</v>
      </c>
      <c r="G99" s="79">
        <v>6620000</v>
      </c>
      <c r="H99" s="79">
        <v>6620000</v>
      </c>
      <c r="I99" s="79">
        <v>6620000</v>
      </c>
      <c r="J99" s="79">
        <v>6620000</v>
      </c>
      <c r="K99" s="79">
        <v>6620000</v>
      </c>
      <c r="L99" s="79">
        <v>6620000</v>
      </c>
      <c r="M99" s="79">
        <v>6620000</v>
      </c>
      <c r="N99" s="79">
        <v>6620000</v>
      </c>
      <c r="O99" s="58">
        <f t="shared" si="0"/>
        <v>6620000</v>
      </c>
      <c r="P99" s="85">
        <v>0.05</v>
      </c>
      <c r="Q99" s="85"/>
      <c r="R99" s="56">
        <f t="shared" si="1"/>
        <v>331000</v>
      </c>
      <c r="S99" s="105">
        <f t="shared" si="3"/>
        <v>331000</v>
      </c>
    </row>
    <row r="100" spans="1:19">
      <c r="A100" s="1">
        <v>2022</v>
      </c>
      <c r="B100" s="79">
        <v>5655000</v>
      </c>
      <c r="C100" s="79">
        <v>5655000</v>
      </c>
      <c r="D100" s="79">
        <v>5655000</v>
      </c>
      <c r="E100" s="79">
        <v>5655000</v>
      </c>
      <c r="F100" s="79">
        <v>5655000</v>
      </c>
      <c r="G100" s="79">
        <v>5655000</v>
      </c>
      <c r="H100" s="79">
        <v>5655000</v>
      </c>
      <c r="I100" s="79">
        <v>5655000</v>
      </c>
      <c r="J100" s="79">
        <v>5655000</v>
      </c>
      <c r="K100" s="79">
        <v>5655000</v>
      </c>
      <c r="L100" s="79">
        <v>5655000</v>
      </c>
      <c r="M100" s="79">
        <v>5655000</v>
      </c>
      <c r="N100" s="79">
        <v>5655000</v>
      </c>
      <c r="O100" s="58">
        <f t="shared" si="0"/>
        <v>5655000</v>
      </c>
      <c r="P100" s="85">
        <v>0.05</v>
      </c>
      <c r="Q100" s="85"/>
      <c r="R100" s="56">
        <f t="shared" si="1"/>
        <v>282750</v>
      </c>
      <c r="S100" s="105">
        <f t="shared" si="3"/>
        <v>282750</v>
      </c>
    </row>
    <row r="101" spans="1:19">
      <c r="A101" s="1">
        <v>2023</v>
      </c>
      <c r="B101" s="79">
        <v>5880000</v>
      </c>
      <c r="C101" s="79">
        <v>5880000</v>
      </c>
      <c r="D101" s="79">
        <v>5880000</v>
      </c>
      <c r="E101" s="79">
        <v>5880000</v>
      </c>
      <c r="F101" s="79">
        <v>5880000</v>
      </c>
      <c r="G101" s="79">
        <v>5880000</v>
      </c>
      <c r="H101" s="79">
        <v>5880000</v>
      </c>
      <c r="I101" s="79">
        <v>5880000</v>
      </c>
      <c r="J101" s="79">
        <v>5880000</v>
      </c>
      <c r="K101" s="79">
        <v>5880000</v>
      </c>
      <c r="L101" s="79">
        <v>5880000</v>
      </c>
      <c r="M101" s="79">
        <v>5880000</v>
      </c>
      <c r="N101" s="79">
        <v>5880000</v>
      </c>
      <c r="O101" s="58">
        <f t="shared" si="0"/>
        <v>5880000</v>
      </c>
      <c r="P101" s="85">
        <v>0.05</v>
      </c>
      <c r="Q101" s="85"/>
      <c r="R101" s="56">
        <f t="shared" si="1"/>
        <v>294000</v>
      </c>
      <c r="S101" s="105">
        <f t="shared" si="3"/>
        <v>294000</v>
      </c>
    </row>
    <row r="102" spans="1:19">
      <c r="A102" s="1">
        <v>2024</v>
      </c>
      <c r="B102" s="79">
        <v>5340000</v>
      </c>
      <c r="C102" s="79">
        <v>5340000</v>
      </c>
      <c r="D102" s="79">
        <v>5340000</v>
      </c>
      <c r="E102" s="79">
        <v>5340000</v>
      </c>
      <c r="F102" s="79">
        <v>5340000</v>
      </c>
      <c r="G102" s="79">
        <v>5340000</v>
      </c>
      <c r="H102" s="79">
        <v>5340000</v>
      </c>
      <c r="I102" s="79">
        <v>5340000</v>
      </c>
      <c r="J102" s="79">
        <v>5340000</v>
      </c>
      <c r="K102" s="79">
        <v>5340000</v>
      </c>
      <c r="L102" s="79">
        <v>5340000</v>
      </c>
      <c r="M102" s="79">
        <v>5340000</v>
      </c>
      <c r="N102" s="79">
        <v>5340000</v>
      </c>
      <c r="O102" s="58">
        <f t="shared" si="0"/>
        <v>5340000</v>
      </c>
      <c r="P102" s="85">
        <v>0.05</v>
      </c>
      <c r="Q102" s="85"/>
      <c r="R102" s="56">
        <f t="shared" si="1"/>
        <v>267000</v>
      </c>
      <c r="S102" s="105">
        <f t="shared" si="3"/>
        <v>267000</v>
      </c>
    </row>
    <row r="103" spans="1:19">
      <c r="A103" s="1">
        <v>2025</v>
      </c>
      <c r="B103" s="79">
        <v>11040000</v>
      </c>
      <c r="C103" s="79">
        <v>11040000</v>
      </c>
      <c r="D103" s="79">
        <v>11040000</v>
      </c>
      <c r="E103" s="79">
        <v>11040000</v>
      </c>
      <c r="F103" s="79">
        <v>11040000</v>
      </c>
      <c r="G103" s="79">
        <v>11040000</v>
      </c>
      <c r="H103" s="79">
        <v>11040000</v>
      </c>
      <c r="I103" s="79">
        <v>11040000</v>
      </c>
      <c r="J103" s="79">
        <v>11040000</v>
      </c>
      <c r="K103" s="79">
        <v>11040000</v>
      </c>
      <c r="L103" s="79">
        <v>11040000</v>
      </c>
      <c r="M103" s="79">
        <v>11040000</v>
      </c>
      <c r="N103" s="79">
        <v>11040000</v>
      </c>
      <c r="O103" s="58">
        <f t="shared" si="0"/>
        <v>11040000</v>
      </c>
      <c r="P103" s="85">
        <v>0.05</v>
      </c>
      <c r="Q103" s="85"/>
      <c r="R103" s="56">
        <f t="shared" si="1"/>
        <v>552000</v>
      </c>
      <c r="S103" s="105">
        <f t="shared" si="3"/>
        <v>552000</v>
      </c>
    </row>
    <row r="104" spans="1:19">
      <c r="A104" s="1">
        <v>2026</v>
      </c>
      <c r="B104" s="79">
        <v>16820000</v>
      </c>
      <c r="C104" s="79">
        <v>16820000</v>
      </c>
      <c r="D104" s="79">
        <v>16820000</v>
      </c>
      <c r="E104" s="79">
        <v>16820000</v>
      </c>
      <c r="F104" s="79">
        <v>16820000</v>
      </c>
      <c r="G104" s="79">
        <v>16820000</v>
      </c>
      <c r="H104" s="79">
        <v>16820000</v>
      </c>
      <c r="I104" s="79">
        <v>16820000</v>
      </c>
      <c r="J104" s="79">
        <v>16820000</v>
      </c>
      <c r="K104" s="79">
        <v>16820000</v>
      </c>
      <c r="L104" s="79">
        <v>16820000</v>
      </c>
      <c r="M104" s="79">
        <v>16820000</v>
      </c>
      <c r="N104" s="79">
        <v>16820000</v>
      </c>
      <c r="O104" s="58">
        <f t="shared" si="0"/>
        <v>16820000</v>
      </c>
      <c r="P104" s="85">
        <v>0.05</v>
      </c>
      <c r="Q104" s="85"/>
      <c r="R104" s="56">
        <f t="shared" si="1"/>
        <v>841000</v>
      </c>
      <c r="S104" s="105">
        <f t="shared" si="3"/>
        <v>841000</v>
      </c>
    </row>
    <row r="105" spans="1:19">
      <c r="A105" s="1">
        <v>2027</v>
      </c>
      <c r="B105" s="79">
        <v>23110000</v>
      </c>
      <c r="C105" s="79">
        <v>23110000</v>
      </c>
      <c r="D105" s="79">
        <v>23110000</v>
      </c>
      <c r="E105" s="79">
        <v>23110000</v>
      </c>
      <c r="F105" s="79">
        <v>23110000</v>
      </c>
      <c r="G105" s="79">
        <v>23110000</v>
      </c>
      <c r="H105" s="79">
        <v>23110000</v>
      </c>
      <c r="I105" s="79">
        <v>23110000</v>
      </c>
      <c r="J105" s="79">
        <v>23110000</v>
      </c>
      <c r="K105" s="79">
        <v>23110000</v>
      </c>
      <c r="L105" s="79">
        <v>23110000</v>
      </c>
      <c r="M105" s="79">
        <v>23110000</v>
      </c>
      <c r="N105" s="79">
        <v>23110000</v>
      </c>
      <c r="O105" s="58">
        <f t="shared" si="0"/>
        <v>23110000</v>
      </c>
      <c r="P105" s="85">
        <v>0.05</v>
      </c>
      <c r="Q105" s="85"/>
      <c r="R105" s="56">
        <f t="shared" si="1"/>
        <v>1155500</v>
      </c>
      <c r="S105" s="105">
        <f t="shared" si="3"/>
        <v>1155500</v>
      </c>
    </row>
    <row r="106" spans="1:19">
      <c r="A106" s="1">
        <v>2028</v>
      </c>
      <c r="B106" s="79">
        <v>24145000</v>
      </c>
      <c r="C106" s="79">
        <v>24145000</v>
      </c>
      <c r="D106" s="79">
        <v>24145000</v>
      </c>
      <c r="E106" s="79">
        <v>24145000</v>
      </c>
      <c r="F106" s="79">
        <v>24145000</v>
      </c>
      <c r="G106" s="79">
        <v>24145000</v>
      </c>
      <c r="H106" s="79">
        <v>24145000</v>
      </c>
      <c r="I106" s="79">
        <v>24145000</v>
      </c>
      <c r="J106" s="79">
        <v>24145000</v>
      </c>
      <c r="K106" s="79">
        <v>24145000</v>
      </c>
      <c r="L106" s="79">
        <v>24145000</v>
      </c>
      <c r="M106" s="79">
        <v>24145000</v>
      </c>
      <c r="N106" s="79">
        <v>24145000</v>
      </c>
      <c r="O106" s="58">
        <f t="shared" si="0"/>
        <v>24145000</v>
      </c>
      <c r="P106" s="85">
        <v>0.05</v>
      </c>
      <c r="Q106" s="85"/>
      <c r="R106" s="56">
        <f t="shared" si="1"/>
        <v>1207250</v>
      </c>
      <c r="S106" s="105">
        <f t="shared" si="3"/>
        <v>1207250</v>
      </c>
    </row>
    <row r="107" spans="1:19">
      <c r="A107" s="78">
        <v>2032</v>
      </c>
      <c r="B107" s="80">
        <v>105635000</v>
      </c>
      <c r="C107" s="80">
        <v>105635000</v>
      </c>
      <c r="D107" s="80">
        <v>105635000</v>
      </c>
      <c r="E107" s="80">
        <v>105635000</v>
      </c>
      <c r="F107" s="80">
        <v>105635000</v>
      </c>
      <c r="G107" s="80">
        <v>105635000</v>
      </c>
      <c r="H107" s="80">
        <v>105635000</v>
      </c>
      <c r="I107" s="80">
        <v>105635000</v>
      </c>
      <c r="J107" s="80">
        <v>105635000</v>
      </c>
      <c r="K107" s="80">
        <v>105635000</v>
      </c>
      <c r="L107" s="80">
        <v>105635000</v>
      </c>
      <c r="M107" s="80">
        <v>105635000</v>
      </c>
      <c r="N107" s="80">
        <v>105635000</v>
      </c>
      <c r="O107" s="82">
        <f t="shared" si="0"/>
        <v>105635000</v>
      </c>
      <c r="P107" s="86">
        <v>5.2499999999999998E-2</v>
      </c>
      <c r="Q107" s="86"/>
      <c r="R107" s="81">
        <f t="shared" si="1"/>
        <v>5545837.5</v>
      </c>
      <c r="S107" s="81">
        <f t="shared" si="3"/>
        <v>5545837.5</v>
      </c>
    </row>
    <row r="108" spans="1:19">
      <c r="A108" t="s">
        <v>204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8"/>
      <c r="P108" s="57"/>
      <c r="Q108" s="57">
        <v>4.7730000000000002E-2</v>
      </c>
      <c r="R108" s="56"/>
    </row>
    <row r="109" spans="1:19">
      <c r="A109" s="1">
        <v>2014</v>
      </c>
      <c r="B109" s="79">
        <v>2370000</v>
      </c>
      <c r="C109" s="56">
        <v>0</v>
      </c>
      <c r="D109" s="56">
        <v>0</v>
      </c>
      <c r="E109" s="56">
        <v>0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56">
        <v>0</v>
      </c>
      <c r="N109" s="56">
        <v>0</v>
      </c>
      <c r="O109" s="58">
        <f t="shared" si="0"/>
        <v>182307.69230769231</v>
      </c>
      <c r="P109" s="85">
        <v>0.03</v>
      </c>
      <c r="Q109" s="85"/>
      <c r="R109" s="56">
        <f t="shared" si="1"/>
        <v>5469.2307692307695</v>
      </c>
      <c r="S109" s="105">
        <f t="shared" si="3"/>
        <v>0</v>
      </c>
    </row>
    <row r="110" spans="1:19">
      <c r="A110" s="1">
        <v>2015</v>
      </c>
      <c r="B110" s="79">
        <v>1000000</v>
      </c>
      <c r="C110" s="79">
        <v>1000000</v>
      </c>
      <c r="D110" s="79">
        <v>1000000</v>
      </c>
      <c r="E110" s="79">
        <v>1000000</v>
      </c>
      <c r="F110" s="79">
        <v>1000000</v>
      </c>
      <c r="G110" s="79">
        <v>1000000</v>
      </c>
      <c r="H110" s="79">
        <v>1000000</v>
      </c>
      <c r="I110" s="79">
        <v>1000000</v>
      </c>
      <c r="J110" s="79">
        <v>1000000</v>
      </c>
      <c r="K110" s="79">
        <v>1000000</v>
      </c>
      <c r="L110" s="79">
        <v>1000000</v>
      </c>
      <c r="M110" s="79">
        <v>1000000</v>
      </c>
      <c r="N110" s="79">
        <v>1000000</v>
      </c>
      <c r="O110" s="58">
        <f t="shared" si="0"/>
        <v>1000000</v>
      </c>
      <c r="P110" s="85">
        <v>0.04</v>
      </c>
      <c r="Q110" s="85"/>
      <c r="R110" s="56">
        <f t="shared" si="1"/>
        <v>40000</v>
      </c>
      <c r="S110" s="105">
        <f t="shared" si="3"/>
        <v>40000</v>
      </c>
    </row>
    <row r="111" spans="1:19">
      <c r="A111" s="1">
        <v>2015</v>
      </c>
      <c r="B111" s="79">
        <v>1485000</v>
      </c>
      <c r="C111" s="79">
        <v>1485000</v>
      </c>
      <c r="D111" s="79">
        <v>1485000</v>
      </c>
      <c r="E111" s="79">
        <v>1485000</v>
      </c>
      <c r="F111" s="79">
        <v>1485000</v>
      </c>
      <c r="G111" s="79">
        <v>1485000</v>
      </c>
      <c r="H111" s="79">
        <v>1485000</v>
      </c>
      <c r="I111" s="79">
        <v>1485000</v>
      </c>
      <c r="J111" s="79">
        <v>1485000</v>
      </c>
      <c r="K111" s="79">
        <v>1485000</v>
      </c>
      <c r="L111" s="79">
        <v>1485000</v>
      </c>
      <c r="M111" s="79">
        <v>1485000</v>
      </c>
      <c r="N111" s="79">
        <v>1485000</v>
      </c>
      <c r="O111" s="58">
        <f t="shared" si="0"/>
        <v>1485000</v>
      </c>
      <c r="P111" s="85">
        <v>0.05</v>
      </c>
      <c r="Q111" s="85"/>
      <c r="R111" s="56">
        <f t="shared" si="1"/>
        <v>74250</v>
      </c>
      <c r="S111" s="105">
        <f t="shared" si="3"/>
        <v>74250</v>
      </c>
    </row>
    <row r="112" spans="1:19">
      <c r="A112" s="1">
        <v>2016</v>
      </c>
      <c r="B112" s="79">
        <v>2590000</v>
      </c>
      <c r="C112" s="79">
        <v>2590000</v>
      </c>
      <c r="D112" s="79">
        <v>2590000</v>
      </c>
      <c r="E112" s="79">
        <v>2590000</v>
      </c>
      <c r="F112" s="79">
        <v>2590000</v>
      </c>
      <c r="G112" s="79">
        <v>2590000</v>
      </c>
      <c r="H112" s="79">
        <v>2590000</v>
      </c>
      <c r="I112" s="79">
        <v>2590000</v>
      </c>
      <c r="J112" s="79">
        <v>2590000</v>
      </c>
      <c r="K112" s="79">
        <v>2590000</v>
      </c>
      <c r="L112" s="79">
        <v>2590000</v>
      </c>
      <c r="M112" s="79">
        <v>2590000</v>
      </c>
      <c r="N112" s="79">
        <v>2590000</v>
      </c>
      <c r="O112" s="58">
        <f t="shared" si="0"/>
        <v>2590000</v>
      </c>
      <c r="P112" s="85">
        <v>0.04</v>
      </c>
      <c r="Q112" s="85"/>
      <c r="R112" s="56">
        <f t="shared" si="1"/>
        <v>103600</v>
      </c>
      <c r="S112" s="105">
        <f t="shared" si="3"/>
        <v>103600</v>
      </c>
    </row>
    <row r="113" spans="1:19">
      <c r="A113" s="1">
        <v>2017</v>
      </c>
      <c r="B113" s="79">
        <v>2695000</v>
      </c>
      <c r="C113" s="79">
        <v>2695000</v>
      </c>
      <c r="D113" s="79">
        <v>2695000</v>
      </c>
      <c r="E113" s="79">
        <v>2695000</v>
      </c>
      <c r="F113" s="79">
        <v>2695000</v>
      </c>
      <c r="G113" s="79">
        <v>2695000</v>
      </c>
      <c r="H113" s="79">
        <v>2695000</v>
      </c>
      <c r="I113" s="79">
        <v>2695000</v>
      </c>
      <c r="J113" s="79">
        <v>2695000</v>
      </c>
      <c r="K113" s="79">
        <v>2695000</v>
      </c>
      <c r="L113" s="79">
        <v>2695000</v>
      </c>
      <c r="M113" s="79">
        <v>2695000</v>
      </c>
      <c r="N113" s="79">
        <v>2695000</v>
      </c>
      <c r="O113" s="58">
        <f t="shared" si="0"/>
        <v>2695000</v>
      </c>
      <c r="P113" s="85">
        <v>0.04</v>
      </c>
      <c r="Q113" s="85"/>
      <c r="R113" s="56">
        <f t="shared" si="1"/>
        <v>107800</v>
      </c>
      <c r="S113" s="105">
        <f t="shared" si="3"/>
        <v>107800</v>
      </c>
    </row>
    <row r="114" spans="1:19">
      <c r="A114" s="1">
        <v>2018</v>
      </c>
      <c r="B114" s="79">
        <v>2810000</v>
      </c>
      <c r="C114" s="79">
        <v>2810000</v>
      </c>
      <c r="D114" s="79">
        <v>2810000</v>
      </c>
      <c r="E114" s="79">
        <v>2810000</v>
      </c>
      <c r="F114" s="79">
        <v>2810000</v>
      </c>
      <c r="G114" s="79">
        <v>2810000</v>
      </c>
      <c r="H114" s="79">
        <v>2810000</v>
      </c>
      <c r="I114" s="79">
        <v>2810000</v>
      </c>
      <c r="J114" s="79">
        <v>2810000</v>
      </c>
      <c r="K114" s="79">
        <v>2810000</v>
      </c>
      <c r="L114" s="79">
        <v>2810000</v>
      </c>
      <c r="M114" s="79">
        <v>2810000</v>
      </c>
      <c r="N114" s="79">
        <v>2810000</v>
      </c>
      <c r="O114" s="58">
        <f t="shared" si="0"/>
        <v>2810000</v>
      </c>
      <c r="P114" s="85">
        <v>0.04</v>
      </c>
      <c r="Q114" s="85"/>
      <c r="R114" s="56">
        <f t="shared" si="1"/>
        <v>112400</v>
      </c>
      <c r="S114" s="105">
        <f t="shared" si="3"/>
        <v>112400</v>
      </c>
    </row>
    <row r="115" spans="1:19">
      <c r="A115" s="1">
        <v>2019</v>
      </c>
      <c r="B115" s="79">
        <v>2925000</v>
      </c>
      <c r="C115" s="79">
        <v>2925000</v>
      </c>
      <c r="D115" s="79">
        <v>2925000</v>
      </c>
      <c r="E115" s="79">
        <v>2925000</v>
      </c>
      <c r="F115" s="79">
        <v>2925000</v>
      </c>
      <c r="G115" s="79">
        <v>2925000</v>
      </c>
      <c r="H115" s="79">
        <v>2925000</v>
      </c>
      <c r="I115" s="79">
        <v>2925000</v>
      </c>
      <c r="J115" s="79">
        <v>2925000</v>
      </c>
      <c r="K115" s="79">
        <v>2925000</v>
      </c>
      <c r="L115" s="79">
        <v>2925000</v>
      </c>
      <c r="M115" s="79">
        <v>2925000</v>
      </c>
      <c r="N115" s="79">
        <v>2925000</v>
      </c>
      <c r="O115" s="58">
        <f t="shared" si="0"/>
        <v>2925000</v>
      </c>
      <c r="P115" s="85">
        <v>0.04</v>
      </c>
      <c r="Q115" s="85"/>
      <c r="R115" s="56">
        <f t="shared" si="1"/>
        <v>117000</v>
      </c>
      <c r="S115" s="105">
        <f t="shared" si="3"/>
        <v>117000</v>
      </c>
    </row>
    <row r="116" spans="1:19">
      <c r="A116" s="1">
        <v>2020</v>
      </c>
      <c r="B116" s="79">
        <v>275000</v>
      </c>
      <c r="C116" s="79">
        <v>275000</v>
      </c>
      <c r="D116" s="79">
        <v>275000</v>
      </c>
      <c r="E116" s="79">
        <v>275000</v>
      </c>
      <c r="F116" s="79">
        <v>275000</v>
      </c>
      <c r="G116" s="79">
        <v>275000</v>
      </c>
      <c r="H116" s="79">
        <v>275000</v>
      </c>
      <c r="I116" s="79">
        <v>275000</v>
      </c>
      <c r="J116" s="79">
        <v>275000</v>
      </c>
      <c r="K116" s="79">
        <v>275000</v>
      </c>
      <c r="L116" s="79">
        <v>275000</v>
      </c>
      <c r="M116" s="79">
        <v>275000</v>
      </c>
      <c r="N116" s="79">
        <v>275000</v>
      </c>
      <c r="O116" s="58">
        <f t="shared" si="0"/>
        <v>275000</v>
      </c>
      <c r="P116" s="85">
        <v>0.04</v>
      </c>
      <c r="Q116" s="85"/>
      <c r="R116" s="56">
        <f t="shared" si="1"/>
        <v>11000</v>
      </c>
      <c r="S116" s="105">
        <f t="shared" si="3"/>
        <v>11000</v>
      </c>
    </row>
    <row r="117" spans="1:19">
      <c r="A117" s="1">
        <v>2020</v>
      </c>
      <c r="B117" s="79">
        <v>2800000</v>
      </c>
      <c r="C117" s="79">
        <v>2800000</v>
      </c>
      <c r="D117" s="79">
        <v>2800000</v>
      </c>
      <c r="E117" s="79">
        <v>2800000</v>
      </c>
      <c r="F117" s="79">
        <v>2800000</v>
      </c>
      <c r="G117" s="79">
        <v>2800000</v>
      </c>
      <c r="H117" s="79">
        <v>2800000</v>
      </c>
      <c r="I117" s="79">
        <v>2800000</v>
      </c>
      <c r="J117" s="79">
        <v>2800000</v>
      </c>
      <c r="K117" s="79">
        <v>2800000</v>
      </c>
      <c r="L117" s="79">
        <v>2800000</v>
      </c>
      <c r="M117" s="79">
        <v>2800000</v>
      </c>
      <c r="N117" s="79">
        <v>2800000</v>
      </c>
      <c r="O117" s="58">
        <f t="shared" si="0"/>
        <v>2800000</v>
      </c>
      <c r="P117" s="85">
        <v>0.05</v>
      </c>
      <c r="Q117" s="85"/>
      <c r="R117" s="56">
        <f t="shared" si="1"/>
        <v>140000</v>
      </c>
      <c r="S117" s="105">
        <f t="shared" si="3"/>
        <v>140000</v>
      </c>
    </row>
    <row r="118" spans="1:19">
      <c r="A118" s="1">
        <v>2021</v>
      </c>
      <c r="B118" s="79">
        <v>1000000</v>
      </c>
      <c r="C118" s="79">
        <v>1000000</v>
      </c>
      <c r="D118" s="79">
        <v>1000000</v>
      </c>
      <c r="E118" s="79">
        <v>1000000</v>
      </c>
      <c r="F118" s="79">
        <v>1000000</v>
      </c>
      <c r="G118" s="79">
        <v>1000000</v>
      </c>
      <c r="H118" s="79">
        <v>1000000</v>
      </c>
      <c r="I118" s="79">
        <v>1000000</v>
      </c>
      <c r="J118" s="79">
        <v>1000000</v>
      </c>
      <c r="K118" s="79">
        <v>1000000</v>
      </c>
      <c r="L118" s="79">
        <v>1000000</v>
      </c>
      <c r="M118" s="79">
        <v>1000000</v>
      </c>
      <c r="N118" s="79">
        <v>1000000</v>
      </c>
      <c r="O118" s="58">
        <f t="shared" si="0"/>
        <v>1000000</v>
      </c>
      <c r="P118" s="85">
        <v>0.04</v>
      </c>
      <c r="Q118" s="85"/>
      <c r="R118" s="56">
        <f t="shared" si="1"/>
        <v>40000</v>
      </c>
      <c r="S118" s="105">
        <f t="shared" si="3"/>
        <v>40000</v>
      </c>
    </row>
    <row r="119" spans="1:19">
      <c r="A119" s="1">
        <v>2021</v>
      </c>
      <c r="B119" s="79">
        <v>2230000</v>
      </c>
      <c r="C119" s="79">
        <v>2230000</v>
      </c>
      <c r="D119" s="79">
        <v>2230000</v>
      </c>
      <c r="E119" s="79">
        <v>2230000</v>
      </c>
      <c r="F119" s="79">
        <v>2230000</v>
      </c>
      <c r="G119" s="79">
        <v>2230000</v>
      </c>
      <c r="H119" s="79">
        <v>2230000</v>
      </c>
      <c r="I119" s="79">
        <v>2230000</v>
      </c>
      <c r="J119" s="79">
        <v>2230000</v>
      </c>
      <c r="K119" s="79">
        <v>2230000</v>
      </c>
      <c r="L119" s="79">
        <v>2230000</v>
      </c>
      <c r="M119" s="79">
        <v>2230000</v>
      </c>
      <c r="N119" s="79">
        <v>2230000</v>
      </c>
      <c r="O119" s="58">
        <f t="shared" si="0"/>
        <v>2230000</v>
      </c>
      <c r="P119" s="85">
        <v>0.05</v>
      </c>
      <c r="Q119" s="85"/>
      <c r="R119" s="56">
        <f t="shared" si="1"/>
        <v>111500</v>
      </c>
      <c r="S119" s="105">
        <f t="shared" si="3"/>
        <v>111500</v>
      </c>
    </row>
    <row r="120" spans="1:19">
      <c r="A120" s="1">
        <v>2022</v>
      </c>
      <c r="B120" s="79">
        <v>700000</v>
      </c>
      <c r="C120" s="79">
        <v>700000</v>
      </c>
      <c r="D120" s="79">
        <v>700000</v>
      </c>
      <c r="E120" s="79">
        <v>700000</v>
      </c>
      <c r="F120" s="79">
        <v>700000</v>
      </c>
      <c r="G120" s="79">
        <v>700000</v>
      </c>
      <c r="H120" s="79">
        <v>700000</v>
      </c>
      <c r="I120" s="79">
        <v>700000</v>
      </c>
      <c r="J120" s="79">
        <v>700000</v>
      </c>
      <c r="K120" s="79">
        <v>700000</v>
      </c>
      <c r="L120" s="79">
        <v>700000</v>
      </c>
      <c r="M120" s="79">
        <v>700000</v>
      </c>
      <c r="N120" s="79">
        <v>700000</v>
      </c>
      <c r="O120" s="58">
        <f t="shared" si="0"/>
        <v>700000</v>
      </c>
      <c r="P120" s="85">
        <v>0.04</v>
      </c>
      <c r="Q120" s="85"/>
      <c r="R120" s="56">
        <f t="shared" si="1"/>
        <v>28000</v>
      </c>
      <c r="S120" s="105">
        <f t="shared" si="3"/>
        <v>28000</v>
      </c>
    </row>
    <row r="121" spans="1:19">
      <c r="A121" s="1">
        <v>2022</v>
      </c>
      <c r="B121" s="79">
        <v>2690000</v>
      </c>
      <c r="C121" s="79">
        <v>2690000</v>
      </c>
      <c r="D121" s="79">
        <v>2690000</v>
      </c>
      <c r="E121" s="79">
        <v>2690000</v>
      </c>
      <c r="F121" s="79">
        <v>2690000</v>
      </c>
      <c r="G121" s="79">
        <v>2690000</v>
      </c>
      <c r="H121" s="79">
        <v>2690000</v>
      </c>
      <c r="I121" s="79">
        <v>2690000</v>
      </c>
      <c r="J121" s="79">
        <v>2690000</v>
      </c>
      <c r="K121" s="79">
        <v>2690000</v>
      </c>
      <c r="L121" s="79">
        <v>2690000</v>
      </c>
      <c r="M121" s="79">
        <v>2690000</v>
      </c>
      <c r="N121" s="79">
        <v>2690000</v>
      </c>
      <c r="O121" s="58">
        <f t="shared" si="0"/>
        <v>2690000</v>
      </c>
      <c r="P121" s="85">
        <v>0.05</v>
      </c>
      <c r="Q121" s="85"/>
      <c r="R121" s="56">
        <f t="shared" si="1"/>
        <v>134500</v>
      </c>
      <c r="S121" s="105">
        <f t="shared" si="3"/>
        <v>134500</v>
      </c>
    </row>
    <row r="122" spans="1:19">
      <c r="A122" s="92">
        <v>2023</v>
      </c>
      <c r="B122" s="79">
        <v>1025000</v>
      </c>
      <c r="C122" s="79">
        <v>1025000</v>
      </c>
      <c r="D122" s="79">
        <v>1025000</v>
      </c>
      <c r="E122" s="79">
        <v>1025000</v>
      </c>
      <c r="F122" s="79">
        <v>1025000</v>
      </c>
      <c r="G122" s="79">
        <v>1025000</v>
      </c>
      <c r="H122" s="79">
        <v>1025000</v>
      </c>
      <c r="I122" s="79">
        <v>1025000</v>
      </c>
      <c r="J122" s="79">
        <v>1025000</v>
      </c>
      <c r="K122" s="79">
        <v>1025000</v>
      </c>
      <c r="L122" s="79">
        <v>1025000</v>
      </c>
      <c r="M122" s="79">
        <v>1025000</v>
      </c>
      <c r="N122" s="79">
        <v>1025000</v>
      </c>
      <c r="O122" s="58">
        <f t="shared" si="0"/>
        <v>1025000</v>
      </c>
      <c r="P122" s="85">
        <v>4.1250000000000002E-2</v>
      </c>
      <c r="Q122" s="85"/>
      <c r="R122" s="56">
        <f t="shared" si="1"/>
        <v>42281.25</v>
      </c>
      <c r="S122" s="105">
        <f t="shared" si="3"/>
        <v>42281.25</v>
      </c>
    </row>
    <row r="123" spans="1:19">
      <c r="A123" s="92">
        <v>2023</v>
      </c>
      <c r="B123" s="79">
        <v>2535000</v>
      </c>
      <c r="C123" s="79">
        <v>2535000</v>
      </c>
      <c r="D123" s="79">
        <v>2535000</v>
      </c>
      <c r="E123" s="79">
        <v>2535000</v>
      </c>
      <c r="F123" s="79">
        <v>2535000</v>
      </c>
      <c r="G123" s="79">
        <v>2535000</v>
      </c>
      <c r="H123" s="79">
        <v>2535000</v>
      </c>
      <c r="I123" s="79">
        <v>2535000</v>
      </c>
      <c r="J123" s="79">
        <v>2535000</v>
      </c>
      <c r="K123" s="79">
        <v>2535000</v>
      </c>
      <c r="L123" s="79">
        <v>2535000</v>
      </c>
      <c r="M123" s="79">
        <v>2535000</v>
      </c>
      <c r="N123" s="79">
        <v>2535000</v>
      </c>
      <c r="O123" s="58">
        <f t="shared" si="0"/>
        <v>2535000</v>
      </c>
      <c r="P123" s="85">
        <v>0.05</v>
      </c>
      <c r="Q123" s="85"/>
      <c r="R123" s="56">
        <f t="shared" si="1"/>
        <v>126750</v>
      </c>
      <c r="S123" s="105">
        <f t="shared" si="3"/>
        <v>126750</v>
      </c>
    </row>
    <row r="124" spans="1:19">
      <c r="A124" s="92">
        <v>2024</v>
      </c>
      <c r="B124" s="79">
        <v>1285000</v>
      </c>
      <c r="C124" s="79">
        <v>1285000</v>
      </c>
      <c r="D124" s="79">
        <v>1285000</v>
      </c>
      <c r="E124" s="79">
        <v>1285000</v>
      </c>
      <c r="F124" s="79">
        <v>1285000</v>
      </c>
      <c r="G124" s="79">
        <v>1285000</v>
      </c>
      <c r="H124" s="79">
        <v>1285000</v>
      </c>
      <c r="I124" s="79">
        <v>1285000</v>
      </c>
      <c r="J124" s="79">
        <v>1285000</v>
      </c>
      <c r="K124" s="79">
        <v>1285000</v>
      </c>
      <c r="L124" s="79">
        <v>1285000</v>
      </c>
      <c r="M124" s="79">
        <v>1285000</v>
      </c>
      <c r="N124" s="79">
        <v>1285000</v>
      </c>
      <c r="O124" s="58">
        <f t="shared" si="0"/>
        <v>1285000</v>
      </c>
      <c r="P124" s="85">
        <v>4.2500000000000003E-2</v>
      </c>
      <c r="Q124" s="85"/>
      <c r="R124" s="56">
        <f t="shared" si="1"/>
        <v>54612.500000000007</v>
      </c>
      <c r="S124" s="105">
        <f t="shared" si="3"/>
        <v>54612.500000000007</v>
      </c>
    </row>
    <row r="125" spans="1:19">
      <c r="A125" s="92">
        <v>2024</v>
      </c>
      <c r="B125" s="79">
        <v>2450000</v>
      </c>
      <c r="C125" s="79">
        <v>2450000</v>
      </c>
      <c r="D125" s="79">
        <v>2450000</v>
      </c>
      <c r="E125" s="79">
        <v>2450000</v>
      </c>
      <c r="F125" s="79">
        <v>2450000</v>
      </c>
      <c r="G125" s="79">
        <v>2450000</v>
      </c>
      <c r="H125" s="79">
        <v>2450000</v>
      </c>
      <c r="I125" s="79">
        <v>2450000</v>
      </c>
      <c r="J125" s="79">
        <v>2450000</v>
      </c>
      <c r="K125" s="79">
        <v>2450000</v>
      </c>
      <c r="L125" s="79">
        <v>2450000</v>
      </c>
      <c r="M125" s="79">
        <v>2450000</v>
      </c>
      <c r="N125" s="79">
        <v>2450000</v>
      </c>
      <c r="O125" s="58">
        <f t="shared" si="0"/>
        <v>2450000</v>
      </c>
      <c r="P125" s="93">
        <v>0.05</v>
      </c>
      <c r="Q125" s="93"/>
      <c r="R125" s="56">
        <f t="shared" si="1"/>
        <v>122500</v>
      </c>
      <c r="S125" s="105">
        <f t="shared" si="3"/>
        <v>122500</v>
      </c>
    </row>
    <row r="126" spans="1:19">
      <c r="A126" s="92">
        <v>2025</v>
      </c>
      <c r="B126" s="79">
        <v>3935000</v>
      </c>
      <c r="C126" s="79">
        <v>3935000</v>
      </c>
      <c r="D126" s="79">
        <v>3935000</v>
      </c>
      <c r="E126" s="79">
        <v>3935000</v>
      </c>
      <c r="F126" s="79">
        <v>3935000</v>
      </c>
      <c r="G126" s="79">
        <v>3935000</v>
      </c>
      <c r="H126" s="79">
        <v>3935000</v>
      </c>
      <c r="I126" s="79">
        <v>3935000</v>
      </c>
      <c r="J126" s="79">
        <v>3935000</v>
      </c>
      <c r="K126" s="79">
        <v>3935000</v>
      </c>
      <c r="L126" s="79">
        <v>3935000</v>
      </c>
      <c r="M126" s="79">
        <v>3935000</v>
      </c>
      <c r="N126" s="79">
        <v>3935000</v>
      </c>
      <c r="O126" s="58">
        <f t="shared" si="0"/>
        <v>3935000</v>
      </c>
      <c r="P126" s="93">
        <v>0.05</v>
      </c>
      <c r="Q126" s="93"/>
      <c r="R126" s="56">
        <f t="shared" si="1"/>
        <v>196750</v>
      </c>
      <c r="S126" s="105">
        <f t="shared" si="3"/>
        <v>196750</v>
      </c>
    </row>
    <row r="127" spans="1:19">
      <c r="A127" s="92">
        <v>2026</v>
      </c>
      <c r="B127" s="79">
        <v>245000</v>
      </c>
      <c r="C127" s="79">
        <v>245000</v>
      </c>
      <c r="D127" s="79">
        <v>245000</v>
      </c>
      <c r="E127" s="79">
        <v>245000</v>
      </c>
      <c r="F127" s="79">
        <v>245000</v>
      </c>
      <c r="G127" s="79">
        <v>245000</v>
      </c>
      <c r="H127" s="79">
        <v>245000</v>
      </c>
      <c r="I127" s="79">
        <v>245000</v>
      </c>
      <c r="J127" s="79">
        <v>245000</v>
      </c>
      <c r="K127" s="79">
        <v>245000</v>
      </c>
      <c r="L127" s="79">
        <v>245000</v>
      </c>
      <c r="M127" s="79">
        <v>245000</v>
      </c>
      <c r="N127" s="79">
        <v>245000</v>
      </c>
      <c r="O127" s="58">
        <f t="shared" si="0"/>
        <v>245000</v>
      </c>
      <c r="P127" s="93">
        <v>4.4999999999999998E-2</v>
      </c>
      <c r="Q127" s="93"/>
      <c r="R127" s="56">
        <f t="shared" si="1"/>
        <v>11025</v>
      </c>
      <c r="S127" s="105">
        <f t="shared" si="3"/>
        <v>11025</v>
      </c>
    </row>
    <row r="128" spans="1:19">
      <c r="A128" s="92">
        <v>2026</v>
      </c>
      <c r="B128" s="79">
        <v>3895000</v>
      </c>
      <c r="C128" s="79">
        <v>3895000</v>
      </c>
      <c r="D128" s="79">
        <v>3895000</v>
      </c>
      <c r="E128" s="79">
        <v>3895000</v>
      </c>
      <c r="F128" s="79">
        <v>3895000</v>
      </c>
      <c r="G128" s="79">
        <v>3895000</v>
      </c>
      <c r="H128" s="79">
        <v>3895000</v>
      </c>
      <c r="I128" s="79">
        <v>3895000</v>
      </c>
      <c r="J128" s="79">
        <v>3895000</v>
      </c>
      <c r="K128" s="79">
        <v>3895000</v>
      </c>
      <c r="L128" s="79">
        <v>3895000</v>
      </c>
      <c r="M128" s="79">
        <v>3895000</v>
      </c>
      <c r="N128" s="79">
        <v>3895000</v>
      </c>
      <c r="O128" s="58">
        <f t="shared" si="0"/>
        <v>3895000</v>
      </c>
      <c r="P128" s="93">
        <v>0.05</v>
      </c>
      <c r="Q128" s="93"/>
      <c r="R128" s="56">
        <f t="shared" si="1"/>
        <v>194750</v>
      </c>
      <c r="S128" s="105">
        <f t="shared" si="3"/>
        <v>194750</v>
      </c>
    </row>
    <row r="129" spans="1:19">
      <c r="A129" s="92">
        <v>2027</v>
      </c>
      <c r="B129" s="79">
        <v>4355000</v>
      </c>
      <c r="C129" s="79">
        <v>4355000</v>
      </c>
      <c r="D129" s="79">
        <v>4355000</v>
      </c>
      <c r="E129" s="79">
        <v>4355000</v>
      </c>
      <c r="F129" s="79">
        <v>4355000</v>
      </c>
      <c r="G129" s="79">
        <v>4355000</v>
      </c>
      <c r="H129" s="79">
        <v>4355000</v>
      </c>
      <c r="I129" s="79">
        <v>4355000</v>
      </c>
      <c r="J129" s="79">
        <v>4355000</v>
      </c>
      <c r="K129" s="79">
        <v>4355000</v>
      </c>
      <c r="L129" s="79">
        <v>4355000</v>
      </c>
      <c r="M129" s="79">
        <v>4355000</v>
      </c>
      <c r="N129" s="79">
        <v>4355000</v>
      </c>
      <c r="O129" s="58">
        <f t="shared" si="0"/>
        <v>4355000</v>
      </c>
      <c r="P129" s="93">
        <v>0.05</v>
      </c>
      <c r="Q129" s="93"/>
      <c r="R129" s="56">
        <f t="shared" si="1"/>
        <v>217750</v>
      </c>
      <c r="S129" s="105">
        <f t="shared" si="3"/>
        <v>217750</v>
      </c>
    </row>
    <row r="130" spans="1:19">
      <c r="A130" s="92">
        <v>2028</v>
      </c>
      <c r="B130" s="79">
        <v>4585000</v>
      </c>
      <c r="C130" s="79">
        <v>4585000</v>
      </c>
      <c r="D130" s="79">
        <v>4585000</v>
      </c>
      <c r="E130" s="79">
        <v>4585000</v>
      </c>
      <c r="F130" s="79">
        <v>4585000</v>
      </c>
      <c r="G130" s="79">
        <v>4585000</v>
      </c>
      <c r="H130" s="79">
        <v>4585000</v>
      </c>
      <c r="I130" s="79">
        <v>4585000</v>
      </c>
      <c r="J130" s="79">
        <v>4585000</v>
      </c>
      <c r="K130" s="79">
        <v>4585000</v>
      </c>
      <c r="L130" s="79">
        <v>4585000</v>
      </c>
      <c r="M130" s="79">
        <v>4585000</v>
      </c>
      <c r="N130" s="79">
        <v>4585000</v>
      </c>
      <c r="O130" s="58">
        <f t="shared" si="0"/>
        <v>4585000</v>
      </c>
      <c r="P130" s="93">
        <v>0.05</v>
      </c>
      <c r="Q130" s="93"/>
      <c r="R130" s="56">
        <f t="shared" si="1"/>
        <v>229250</v>
      </c>
      <c r="S130" s="105">
        <f t="shared" si="3"/>
        <v>229250</v>
      </c>
    </row>
    <row r="131" spans="1:19">
      <c r="A131" s="92">
        <v>2029</v>
      </c>
      <c r="B131" s="79">
        <v>4830000</v>
      </c>
      <c r="C131" s="79">
        <v>4830000</v>
      </c>
      <c r="D131" s="79">
        <v>4830000</v>
      </c>
      <c r="E131" s="79">
        <v>4830000</v>
      </c>
      <c r="F131" s="79">
        <v>4830000</v>
      </c>
      <c r="G131" s="79">
        <v>4830000</v>
      </c>
      <c r="H131" s="79">
        <v>4830000</v>
      </c>
      <c r="I131" s="79">
        <v>4830000</v>
      </c>
      <c r="J131" s="79">
        <v>4830000</v>
      </c>
      <c r="K131" s="79">
        <v>4830000</v>
      </c>
      <c r="L131" s="79">
        <v>4830000</v>
      </c>
      <c r="M131" s="79">
        <v>4830000</v>
      </c>
      <c r="N131" s="79">
        <v>4830000</v>
      </c>
      <c r="O131" s="58">
        <f t="shared" si="0"/>
        <v>4830000</v>
      </c>
      <c r="P131" s="93">
        <v>0.05</v>
      </c>
      <c r="Q131" s="93"/>
      <c r="R131" s="56">
        <f t="shared" si="1"/>
        <v>241500</v>
      </c>
      <c r="S131" s="105">
        <f t="shared" si="3"/>
        <v>241500</v>
      </c>
    </row>
    <row r="132" spans="1:19">
      <c r="A132" s="92">
        <v>2030</v>
      </c>
      <c r="B132" s="79">
        <v>5080000</v>
      </c>
      <c r="C132" s="79">
        <v>5080000</v>
      </c>
      <c r="D132" s="79">
        <v>5080000</v>
      </c>
      <c r="E132" s="79">
        <v>5080000</v>
      </c>
      <c r="F132" s="79">
        <v>5080000</v>
      </c>
      <c r="G132" s="79">
        <v>5080000</v>
      </c>
      <c r="H132" s="79">
        <v>5080000</v>
      </c>
      <c r="I132" s="79">
        <v>5080000</v>
      </c>
      <c r="J132" s="79">
        <v>5080000</v>
      </c>
      <c r="K132" s="79">
        <v>5080000</v>
      </c>
      <c r="L132" s="79">
        <v>5080000</v>
      </c>
      <c r="M132" s="79">
        <v>5080000</v>
      </c>
      <c r="N132" s="79">
        <v>5080000</v>
      </c>
      <c r="O132" s="58">
        <f t="shared" si="0"/>
        <v>5080000</v>
      </c>
      <c r="P132" s="93">
        <v>0.05</v>
      </c>
      <c r="Q132" s="93"/>
      <c r="R132" s="56">
        <f t="shared" si="1"/>
        <v>254000</v>
      </c>
      <c r="S132" s="105">
        <f t="shared" si="3"/>
        <v>254000</v>
      </c>
    </row>
    <row r="133" spans="1:19">
      <c r="A133" s="1">
        <v>2032</v>
      </c>
      <c r="B133" s="79">
        <v>10980000</v>
      </c>
      <c r="C133" s="79">
        <v>10980000</v>
      </c>
      <c r="D133" s="79">
        <v>10980000</v>
      </c>
      <c r="E133" s="79">
        <v>10980000</v>
      </c>
      <c r="F133" s="79">
        <v>10980000</v>
      </c>
      <c r="G133" s="79">
        <v>10980000</v>
      </c>
      <c r="H133" s="79">
        <v>10980000</v>
      </c>
      <c r="I133" s="79">
        <v>10980000</v>
      </c>
      <c r="J133" s="79">
        <v>10980000</v>
      </c>
      <c r="K133" s="79">
        <v>10980000</v>
      </c>
      <c r="L133" s="79">
        <v>10980000</v>
      </c>
      <c r="M133" s="79">
        <v>10980000</v>
      </c>
      <c r="N133" s="79">
        <v>10980000</v>
      </c>
      <c r="O133" s="58">
        <f t="shared" si="0"/>
        <v>10980000</v>
      </c>
      <c r="P133" s="85">
        <v>0.05</v>
      </c>
      <c r="Q133" s="85"/>
      <c r="R133" s="56">
        <f t="shared" si="1"/>
        <v>549000</v>
      </c>
      <c r="S133" s="105">
        <f t="shared" si="3"/>
        <v>549000</v>
      </c>
    </row>
    <row r="134" spans="1:19">
      <c r="A134" s="1">
        <v>2034</v>
      </c>
      <c r="B134" s="79">
        <v>12165000</v>
      </c>
      <c r="C134" s="79">
        <v>12165000</v>
      </c>
      <c r="D134" s="79">
        <v>12165000</v>
      </c>
      <c r="E134" s="79">
        <v>12165000</v>
      </c>
      <c r="F134" s="79">
        <v>12165000</v>
      </c>
      <c r="G134" s="79">
        <v>12165000</v>
      </c>
      <c r="H134" s="79">
        <v>12165000</v>
      </c>
      <c r="I134" s="79">
        <v>12165000</v>
      </c>
      <c r="J134" s="79">
        <v>12165000</v>
      </c>
      <c r="K134" s="79">
        <v>12165000</v>
      </c>
      <c r="L134" s="79">
        <v>12165000</v>
      </c>
      <c r="M134" s="79">
        <v>12165000</v>
      </c>
      <c r="N134" s="79">
        <v>12165000</v>
      </c>
      <c r="O134" s="58">
        <f t="shared" si="0"/>
        <v>12165000</v>
      </c>
      <c r="P134" s="85">
        <v>0.05</v>
      </c>
      <c r="Q134" s="85"/>
      <c r="R134" s="56">
        <f t="shared" si="1"/>
        <v>608250</v>
      </c>
      <c r="S134" s="105">
        <f t="shared" si="3"/>
        <v>608250</v>
      </c>
    </row>
    <row r="135" spans="1:19">
      <c r="A135" s="78">
        <v>2039</v>
      </c>
      <c r="B135" s="80">
        <v>36490000</v>
      </c>
      <c r="C135" s="80">
        <v>36490000</v>
      </c>
      <c r="D135" s="80">
        <v>36490000</v>
      </c>
      <c r="E135" s="80">
        <v>36490000</v>
      </c>
      <c r="F135" s="80">
        <v>36490000</v>
      </c>
      <c r="G135" s="80">
        <v>36490000</v>
      </c>
      <c r="H135" s="80">
        <v>36490000</v>
      </c>
      <c r="I135" s="80">
        <v>36490000</v>
      </c>
      <c r="J135" s="80">
        <v>36490000</v>
      </c>
      <c r="K135" s="80">
        <v>36490000</v>
      </c>
      <c r="L135" s="80">
        <v>36490000</v>
      </c>
      <c r="M135" s="80">
        <v>36490000</v>
      </c>
      <c r="N135" s="80">
        <v>36490000</v>
      </c>
      <c r="O135" s="82">
        <f t="shared" si="0"/>
        <v>36490000</v>
      </c>
      <c r="P135" s="86">
        <v>0.05</v>
      </c>
      <c r="Q135" s="86"/>
      <c r="R135" s="94">
        <f t="shared" si="1"/>
        <v>1824500</v>
      </c>
      <c r="S135" s="81">
        <f t="shared" si="3"/>
        <v>1824500</v>
      </c>
    </row>
    <row r="136" spans="1:19">
      <c r="A136" t="s">
        <v>205</v>
      </c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8"/>
      <c r="P136" s="57"/>
      <c r="Q136" s="57">
        <v>4.5629999999999997E-2</v>
      </c>
      <c r="R136" s="56"/>
    </row>
    <row r="137" spans="1:19">
      <c r="A137" s="1">
        <v>2023</v>
      </c>
      <c r="B137" s="79">
        <v>8660000</v>
      </c>
      <c r="C137" s="79">
        <v>8660000</v>
      </c>
      <c r="D137" s="79">
        <v>8660000</v>
      </c>
      <c r="E137" s="79">
        <v>8660000</v>
      </c>
      <c r="F137" s="79">
        <v>8660000</v>
      </c>
      <c r="G137" s="79">
        <v>8660000</v>
      </c>
      <c r="H137" s="79">
        <v>8660000</v>
      </c>
      <c r="I137" s="79">
        <v>8660000</v>
      </c>
      <c r="J137" s="79">
        <v>8660000</v>
      </c>
      <c r="K137" s="79">
        <v>8660000</v>
      </c>
      <c r="L137" s="79">
        <v>8660000</v>
      </c>
      <c r="M137" s="79">
        <v>8660000</v>
      </c>
      <c r="N137" s="79">
        <v>8660000</v>
      </c>
      <c r="O137" s="58">
        <f t="shared" si="0"/>
        <v>8660000</v>
      </c>
      <c r="P137" s="85">
        <v>0.04</v>
      </c>
      <c r="Q137" s="85"/>
      <c r="R137" s="56">
        <f t="shared" si="1"/>
        <v>346400</v>
      </c>
      <c r="S137" s="105">
        <f t="shared" si="3"/>
        <v>346400</v>
      </c>
    </row>
    <row r="138" spans="1:19">
      <c r="A138" s="1">
        <v>2023</v>
      </c>
      <c r="B138" s="79">
        <v>2025000</v>
      </c>
      <c r="C138" s="79">
        <v>2025000</v>
      </c>
      <c r="D138" s="79">
        <v>2025000</v>
      </c>
      <c r="E138" s="79">
        <v>2025000</v>
      </c>
      <c r="F138" s="79">
        <v>2025000</v>
      </c>
      <c r="G138" s="79">
        <v>2025000</v>
      </c>
      <c r="H138" s="79">
        <v>2025000</v>
      </c>
      <c r="I138" s="79">
        <v>2025000</v>
      </c>
      <c r="J138" s="79">
        <v>2025000</v>
      </c>
      <c r="K138" s="79">
        <v>2025000</v>
      </c>
      <c r="L138" s="79">
        <v>2025000</v>
      </c>
      <c r="M138" s="79">
        <v>2025000</v>
      </c>
      <c r="N138" s="79">
        <v>2025000</v>
      </c>
      <c r="O138" s="58">
        <f t="shared" si="0"/>
        <v>2025000</v>
      </c>
      <c r="P138" s="85">
        <v>4.4999999999999998E-2</v>
      </c>
      <c r="Q138" s="85"/>
      <c r="R138" s="56">
        <f t="shared" si="1"/>
        <v>91125</v>
      </c>
      <c r="S138" s="105">
        <f t="shared" si="3"/>
        <v>91125</v>
      </c>
    </row>
    <row r="139" spans="1:19">
      <c r="A139" s="1">
        <v>2023</v>
      </c>
      <c r="B139" s="79">
        <v>12775000</v>
      </c>
      <c r="C139" s="79">
        <v>12775000</v>
      </c>
      <c r="D139" s="79">
        <v>12775000</v>
      </c>
      <c r="E139" s="79">
        <v>12775000</v>
      </c>
      <c r="F139" s="79">
        <v>12775000</v>
      </c>
      <c r="G139" s="79">
        <v>12775000</v>
      </c>
      <c r="H139" s="79">
        <v>12775000</v>
      </c>
      <c r="I139" s="79">
        <v>12775000</v>
      </c>
      <c r="J139" s="79">
        <v>12775000</v>
      </c>
      <c r="K139" s="79">
        <v>12775000</v>
      </c>
      <c r="L139" s="79">
        <v>12775000</v>
      </c>
      <c r="M139" s="79">
        <v>12775000</v>
      </c>
      <c r="N139" s="79">
        <v>12775000</v>
      </c>
      <c r="O139" s="58">
        <f t="shared" si="0"/>
        <v>12775000</v>
      </c>
      <c r="P139" s="85">
        <v>0.05</v>
      </c>
      <c r="Q139" s="85"/>
      <c r="R139" s="56">
        <f t="shared" si="1"/>
        <v>638750</v>
      </c>
      <c r="S139" s="105">
        <f t="shared" si="3"/>
        <v>638750</v>
      </c>
    </row>
    <row r="140" spans="1:19">
      <c r="A140" s="1">
        <v>2023</v>
      </c>
      <c r="B140" s="79">
        <v>61035000</v>
      </c>
      <c r="C140" s="79">
        <v>61035000</v>
      </c>
      <c r="D140" s="79">
        <v>61035000</v>
      </c>
      <c r="E140" s="79">
        <v>61035000</v>
      </c>
      <c r="F140" s="79">
        <v>61035000</v>
      </c>
      <c r="G140" s="79">
        <v>61035000</v>
      </c>
      <c r="H140" s="79">
        <v>61035000</v>
      </c>
      <c r="I140" s="79">
        <v>61035000</v>
      </c>
      <c r="J140" s="79">
        <v>61035000</v>
      </c>
      <c r="K140" s="79">
        <v>61035000</v>
      </c>
      <c r="L140" s="79">
        <v>61035000</v>
      </c>
      <c r="M140" s="79">
        <v>61035000</v>
      </c>
      <c r="N140" s="79">
        <v>61035000</v>
      </c>
      <c r="O140" s="58">
        <f t="shared" si="0"/>
        <v>61035000</v>
      </c>
      <c r="P140" s="85">
        <v>5.2499999999999998E-2</v>
      </c>
      <c r="Q140" s="85"/>
      <c r="R140" s="56">
        <f t="shared" si="1"/>
        <v>3204337.5</v>
      </c>
      <c r="S140" s="105">
        <f t="shared" si="3"/>
        <v>3204337.5</v>
      </c>
    </row>
    <row r="141" spans="1:19">
      <c r="A141" s="1">
        <v>2024</v>
      </c>
      <c r="B141" s="79">
        <v>11700000</v>
      </c>
      <c r="C141" s="79">
        <v>11700000</v>
      </c>
      <c r="D141" s="79">
        <v>11700000</v>
      </c>
      <c r="E141" s="79">
        <v>11700000</v>
      </c>
      <c r="F141" s="79">
        <v>11700000</v>
      </c>
      <c r="G141" s="79">
        <v>11700000</v>
      </c>
      <c r="H141" s="79">
        <v>11700000</v>
      </c>
      <c r="I141" s="79">
        <v>11700000</v>
      </c>
      <c r="J141" s="79">
        <v>11700000</v>
      </c>
      <c r="K141" s="79">
        <v>11700000</v>
      </c>
      <c r="L141" s="79">
        <v>11700000</v>
      </c>
      <c r="M141" s="79">
        <v>11700000</v>
      </c>
      <c r="N141" s="79">
        <v>11700000</v>
      </c>
      <c r="O141" s="58">
        <f t="shared" si="0"/>
        <v>11700000</v>
      </c>
      <c r="P141" s="85">
        <v>4.1250000000000002E-2</v>
      </c>
      <c r="Q141" s="85"/>
      <c r="R141" s="56">
        <f t="shared" si="1"/>
        <v>482625</v>
      </c>
      <c r="S141" s="105">
        <f t="shared" si="3"/>
        <v>482625</v>
      </c>
    </row>
    <row r="142" spans="1:19">
      <c r="A142" s="1">
        <v>2024</v>
      </c>
      <c r="B142" s="79">
        <v>3315000</v>
      </c>
      <c r="C142" s="79">
        <v>3315000</v>
      </c>
      <c r="D142" s="79">
        <v>3315000</v>
      </c>
      <c r="E142" s="79">
        <v>3315000</v>
      </c>
      <c r="F142" s="79">
        <v>3315000</v>
      </c>
      <c r="G142" s="79">
        <v>3315000</v>
      </c>
      <c r="H142" s="79">
        <v>3315000</v>
      </c>
      <c r="I142" s="79">
        <v>3315000</v>
      </c>
      <c r="J142" s="79">
        <v>3315000</v>
      </c>
      <c r="K142" s="79">
        <v>3315000</v>
      </c>
      <c r="L142" s="79">
        <v>3315000</v>
      </c>
      <c r="M142" s="79">
        <v>3315000</v>
      </c>
      <c r="N142" s="79">
        <v>3315000</v>
      </c>
      <c r="O142" s="58">
        <f t="shared" si="0"/>
        <v>3315000</v>
      </c>
      <c r="P142" s="85">
        <v>4.4999999999999998E-2</v>
      </c>
      <c r="Q142" s="85"/>
      <c r="R142" s="56">
        <f t="shared" si="1"/>
        <v>149175</v>
      </c>
      <c r="S142" s="105">
        <f t="shared" si="3"/>
        <v>149175</v>
      </c>
    </row>
    <row r="143" spans="1:19">
      <c r="A143" s="1">
        <v>2024</v>
      </c>
      <c r="B143" s="79">
        <v>17720000</v>
      </c>
      <c r="C143" s="79">
        <v>17720000</v>
      </c>
      <c r="D143" s="79">
        <v>17720000</v>
      </c>
      <c r="E143" s="79">
        <v>17720000</v>
      </c>
      <c r="F143" s="79">
        <v>17720000</v>
      </c>
      <c r="G143" s="79">
        <v>17720000</v>
      </c>
      <c r="H143" s="79">
        <v>17720000</v>
      </c>
      <c r="I143" s="79">
        <v>17720000</v>
      </c>
      <c r="J143" s="79">
        <v>17720000</v>
      </c>
      <c r="K143" s="79">
        <v>17720000</v>
      </c>
      <c r="L143" s="79">
        <v>17720000</v>
      </c>
      <c r="M143" s="79">
        <v>17720000</v>
      </c>
      <c r="N143" s="79">
        <v>17720000</v>
      </c>
      <c r="O143" s="58">
        <f t="shared" si="0"/>
        <v>17720000</v>
      </c>
      <c r="P143" s="85">
        <v>0.05</v>
      </c>
      <c r="Q143" s="85"/>
      <c r="R143" s="56">
        <f t="shared" si="1"/>
        <v>886000</v>
      </c>
      <c r="S143" s="105">
        <f t="shared" si="3"/>
        <v>886000</v>
      </c>
    </row>
    <row r="144" spans="1:19">
      <c r="A144" s="78">
        <v>2024</v>
      </c>
      <c r="B144" s="80">
        <v>54895000</v>
      </c>
      <c r="C144" s="80">
        <v>54895000</v>
      </c>
      <c r="D144" s="80">
        <v>54895000</v>
      </c>
      <c r="E144" s="80">
        <v>54895000</v>
      </c>
      <c r="F144" s="80">
        <v>54895000</v>
      </c>
      <c r="G144" s="80">
        <v>54895000</v>
      </c>
      <c r="H144" s="80">
        <v>54895000</v>
      </c>
      <c r="I144" s="80">
        <v>54895000</v>
      </c>
      <c r="J144" s="80">
        <v>54895000</v>
      </c>
      <c r="K144" s="80">
        <v>54895000</v>
      </c>
      <c r="L144" s="80">
        <v>54895000</v>
      </c>
      <c r="M144" s="80">
        <v>54895000</v>
      </c>
      <c r="N144" s="80">
        <v>54895000</v>
      </c>
      <c r="O144" s="82">
        <f t="shared" si="0"/>
        <v>54895000</v>
      </c>
      <c r="P144" s="86">
        <v>5.2499999999999998E-2</v>
      </c>
      <c r="Q144" s="86"/>
      <c r="R144" s="81">
        <f t="shared" si="1"/>
        <v>2881987.5</v>
      </c>
      <c r="S144" s="94">
        <f t="shared" si="3"/>
        <v>2881987.5</v>
      </c>
    </row>
    <row r="145" spans="1:19">
      <c r="A145" t="s">
        <v>206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8"/>
      <c r="P145" s="57"/>
      <c r="Q145" s="57">
        <v>3.8980000000000001E-2</v>
      </c>
      <c r="R145" s="56"/>
    </row>
    <row r="146" spans="1:19">
      <c r="A146" s="95">
        <v>2039</v>
      </c>
      <c r="B146" s="97">
        <v>316000000</v>
      </c>
      <c r="C146" s="97">
        <v>316000000</v>
      </c>
      <c r="D146" s="97">
        <v>316000000</v>
      </c>
      <c r="E146" s="97">
        <v>316000000</v>
      </c>
      <c r="F146" s="97">
        <v>316000000</v>
      </c>
      <c r="G146" s="97">
        <v>316000000</v>
      </c>
      <c r="H146" s="97">
        <v>316000000</v>
      </c>
      <c r="I146" s="97">
        <v>316000000</v>
      </c>
      <c r="J146" s="97">
        <v>316000000</v>
      </c>
      <c r="K146" s="97">
        <v>316000000</v>
      </c>
      <c r="L146" s="97">
        <v>316000000</v>
      </c>
      <c r="M146" s="97">
        <v>316000000</v>
      </c>
      <c r="N146" s="97">
        <v>316000000</v>
      </c>
      <c r="O146" s="58">
        <f t="shared" si="0"/>
        <v>316000000</v>
      </c>
      <c r="P146" s="99">
        <v>5.7160000000000002E-2</v>
      </c>
      <c r="Q146" s="99"/>
      <c r="R146" s="56">
        <f t="shared" si="1"/>
        <v>18062560</v>
      </c>
      <c r="S146" s="105">
        <f t="shared" si="3"/>
        <v>18062560</v>
      </c>
    </row>
    <row r="147" spans="1:19">
      <c r="A147" s="96">
        <v>2040</v>
      </c>
      <c r="B147" s="98">
        <v>300000000</v>
      </c>
      <c r="C147" s="98">
        <v>300000000</v>
      </c>
      <c r="D147" s="98">
        <v>300000000</v>
      </c>
      <c r="E147" s="98">
        <v>300000000</v>
      </c>
      <c r="F147" s="98">
        <v>300000000</v>
      </c>
      <c r="G147" s="98">
        <v>300000000</v>
      </c>
      <c r="H147" s="98">
        <v>300000000</v>
      </c>
      <c r="I147" s="98">
        <v>300000000</v>
      </c>
      <c r="J147" s="98">
        <v>300000000</v>
      </c>
      <c r="K147" s="98">
        <v>300000000</v>
      </c>
      <c r="L147" s="98">
        <v>300000000</v>
      </c>
      <c r="M147" s="98">
        <v>300000000</v>
      </c>
      <c r="N147" s="98">
        <v>300000000</v>
      </c>
      <c r="O147" s="82">
        <f t="shared" si="0"/>
        <v>300000000</v>
      </c>
      <c r="P147" s="100">
        <v>6.1660000000000006E-2</v>
      </c>
      <c r="Q147" s="100"/>
      <c r="R147" s="81">
        <f t="shared" si="1"/>
        <v>18498000.000000004</v>
      </c>
      <c r="S147" s="94">
        <f>P147*N147</f>
        <v>18498000.000000004</v>
      </c>
    </row>
    <row r="148" spans="1:19">
      <c r="A148" t="s">
        <v>207</v>
      </c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8"/>
      <c r="P148" s="57"/>
      <c r="Q148" s="57">
        <v>3.015E-2</v>
      </c>
      <c r="R148" s="56"/>
    </row>
    <row r="149" spans="1:19">
      <c r="A149" s="1">
        <v>2014</v>
      </c>
      <c r="B149" s="79">
        <v>5485000</v>
      </c>
      <c r="C149" s="56">
        <v>0</v>
      </c>
      <c r="D149" s="56">
        <v>0</v>
      </c>
      <c r="E149" s="56">
        <v>0</v>
      </c>
      <c r="F149" s="56">
        <v>0</v>
      </c>
      <c r="G149" s="56">
        <v>0</v>
      </c>
      <c r="H149" s="56">
        <v>0</v>
      </c>
      <c r="I149" s="56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8">
        <f t="shared" si="0"/>
        <v>421923.07692307694</v>
      </c>
      <c r="P149" s="83">
        <v>0.05</v>
      </c>
      <c r="Q149" s="83"/>
      <c r="R149" s="56">
        <f t="shared" si="1"/>
        <v>21096.153846153848</v>
      </c>
      <c r="S149" s="105">
        <f t="shared" ref="S149:S200" si="4">P149*N149</f>
        <v>0</v>
      </c>
    </row>
    <row r="150" spans="1:19">
      <c r="A150" s="1">
        <v>2015</v>
      </c>
      <c r="B150" s="79">
        <v>2085000</v>
      </c>
      <c r="C150" s="79">
        <v>2085000</v>
      </c>
      <c r="D150" s="79">
        <v>2085000</v>
      </c>
      <c r="E150" s="79">
        <v>2085000</v>
      </c>
      <c r="F150" s="79">
        <v>2085000</v>
      </c>
      <c r="G150" s="79">
        <v>2085000</v>
      </c>
      <c r="H150" s="79">
        <v>2085000</v>
      </c>
      <c r="I150" s="79">
        <v>2085000</v>
      </c>
      <c r="J150" s="79">
        <v>2085000</v>
      </c>
      <c r="K150" s="79">
        <v>2085000</v>
      </c>
      <c r="L150" s="79">
        <v>2085000</v>
      </c>
      <c r="M150" s="79">
        <v>2085000</v>
      </c>
      <c r="N150" s="79">
        <v>2085000</v>
      </c>
      <c r="O150" s="58">
        <f t="shared" si="0"/>
        <v>2085000</v>
      </c>
      <c r="P150" s="83">
        <v>2.1000000000000001E-2</v>
      </c>
      <c r="Q150" s="83"/>
      <c r="R150" s="56">
        <f t="shared" si="1"/>
        <v>43785</v>
      </c>
      <c r="S150" s="105">
        <f t="shared" si="4"/>
        <v>43785</v>
      </c>
    </row>
    <row r="151" spans="1:19">
      <c r="A151" s="1">
        <v>2015</v>
      </c>
      <c r="B151" s="79">
        <v>2620000</v>
      </c>
      <c r="C151" s="79">
        <v>2620000</v>
      </c>
      <c r="D151" s="79">
        <v>2620000</v>
      </c>
      <c r="E151" s="79">
        <v>2620000</v>
      </c>
      <c r="F151" s="79">
        <v>2620000</v>
      </c>
      <c r="G151" s="79">
        <v>2620000</v>
      </c>
      <c r="H151" s="79">
        <v>2620000</v>
      </c>
      <c r="I151" s="79">
        <v>2620000</v>
      </c>
      <c r="J151" s="79">
        <v>2620000</v>
      </c>
      <c r="K151" s="79">
        <v>2620000</v>
      </c>
      <c r="L151" s="79">
        <v>2620000</v>
      </c>
      <c r="M151" s="79">
        <v>2620000</v>
      </c>
      <c r="N151" s="79">
        <v>2620000</v>
      </c>
      <c r="O151" s="58">
        <f t="shared" si="0"/>
        <v>2620000</v>
      </c>
      <c r="P151" s="83">
        <v>0.05</v>
      </c>
      <c r="Q151" s="83"/>
      <c r="R151" s="56">
        <f t="shared" si="1"/>
        <v>131000</v>
      </c>
      <c r="S151" s="105">
        <f t="shared" si="4"/>
        <v>131000</v>
      </c>
    </row>
    <row r="152" spans="1:19">
      <c r="A152" s="1">
        <v>2018</v>
      </c>
      <c r="B152" s="79">
        <v>4575000</v>
      </c>
      <c r="C152" s="79">
        <v>4575000</v>
      </c>
      <c r="D152" s="79">
        <v>4575000</v>
      </c>
      <c r="E152" s="79">
        <v>4575000</v>
      </c>
      <c r="F152" s="79">
        <v>4575000</v>
      </c>
      <c r="G152" s="79">
        <v>4575000</v>
      </c>
      <c r="H152" s="79">
        <v>4575000</v>
      </c>
      <c r="I152" s="79">
        <v>4575000</v>
      </c>
      <c r="J152" s="79">
        <v>4575000</v>
      </c>
      <c r="K152" s="79">
        <v>4575000</v>
      </c>
      <c r="L152" s="79">
        <v>4575000</v>
      </c>
      <c r="M152" s="79">
        <v>4575000</v>
      </c>
      <c r="N152" s="79">
        <v>4575000</v>
      </c>
      <c r="O152" s="58">
        <f t="shared" si="0"/>
        <v>4575000</v>
      </c>
      <c r="P152" s="83">
        <v>0.03</v>
      </c>
      <c r="Q152" s="83"/>
      <c r="R152" s="56">
        <f t="shared" si="1"/>
        <v>137250</v>
      </c>
      <c r="S152" s="105">
        <f t="shared" si="4"/>
        <v>137250</v>
      </c>
    </row>
    <row r="153" spans="1:19">
      <c r="A153" s="1">
        <v>2018</v>
      </c>
      <c r="B153" s="79">
        <v>1090000</v>
      </c>
      <c r="C153" s="79">
        <v>1090000</v>
      </c>
      <c r="D153" s="79">
        <v>1090000</v>
      </c>
      <c r="E153" s="79">
        <v>1090000</v>
      </c>
      <c r="F153" s="79">
        <v>1090000</v>
      </c>
      <c r="G153" s="79">
        <v>1090000</v>
      </c>
      <c r="H153" s="79">
        <v>1090000</v>
      </c>
      <c r="I153" s="79">
        <v>1090000</v>
      </c>
      <c r="J153" s="79">
        <v>1090000</v>
      </c>
      <c r="K153" s="79">
        <v>1090000</v>
      </c>
      <c r="L153" s="79">
        <v>1090000</v>
      </c>
      <c r="M153" s="79">
        <v>1090000</v>
      </c>
      <c r="N153" s="79">
        <v>1090000</v>
      </c>
      <c r="O153" s="58">
        <f t="shared" si="0"/>
        <v>1090000</v>
      </c>
      <c r="P153" s="83">
        <v>0.05</v>
      </c>
      <c r="Q153" s="83"/>
      <c r="R153" s="56">
        <f t="shared" si="1"/>
        <v>54500</v>
      </c>
      <c r="S153" s="105">
        <f t="shared" si="4"/>
        <v>54500</v>
      </c>
    </row>
    <row r="154" spans="1:19">
      <c r="A154" s="1">
        <v>2019</v>
      </c>
      <c r="B154" s="79">
        <v>5650000</v>
      </c>
      <c r="C154" s="79">
        <v>5650000</v>
      </c>
      <c r="D154" s="79">
        <v>5650000</v>
      </c>
      <c r="E154" s="79">
        <v>5650000</v>
      </c>
      <c r="F154" s="79">
        <v>5650000</v>
      </c>
      <c r="G154" s="79">
        <v>5650000</v>
      </c>
      <c r="H154" s="79">
        <v>5650000</v>
      </c>
      <c r="I154" s="79">
        <v>5650000</v>
      </c>
      <c r="J154" s="79">
        <v>5650000</v>
      </c>
      <c r="K154" s="79">
        <v>5650000</v>
      </c>
      <c r="L154" s="79">
        <v>5650000</v>
      </c>
      <c r="M154" s="79">
        <v>5650000</v>
      </c>
      <c r="N154" s="79">
        <v>5650000</v>
      </c>
      <c r="O154" s="58">
        <f t="shared" si="0"/>
        <v>5650000</v>
      </c>
      <c r="P154" s="83">
        <v>0.05</v>
      </c>
      <c r="Q154" s="83"/>
      <c r="R154" s="56">
        <f t="shared" si="1"/>
        <v>282500</v>
      </c>
      <c r="S154" s="105">
        <f t="shared" si="4"/>
        <v>282500</v>
      </c>
    </row>
    <row r="155" spans="1:19">
      <c r="A155" s="1">
        <v>2020</v>
      </c>
      <c r="B155" s="79">
        <v>2360000</v>
      </c>
      <c r="C155" s="79">
        <v>2360000</v>
      </c>
      <c r="D155" s="79">
        <v>2360000</v>
      </c>
      <c r="E155" s="79">
        <v>2360000</v>
      </c>
      <c r="F155" s="79">
        <v>2360000</v>
      </c>
      <c r="G155" s="79">
        <v>2360000</v>
      </c>
      <c r="H155" s="79">
        <v>2360000</v>
      </c>
      <c r="I155" s="79">
        <v>2360000</v>
      </c>
      <c r="J155" s="79">
        <v>2360000</v>
      </c>
      <c r="K155" s="79">
        <v>2360000</v>
      </c>
      <c r="L155" s="79">
        <v>2360000</v>
      </c>
      <c r="M155" s="79">
        <v>2360000</v>
      </c>
      <c r="N155" s="79">
        <v>2360000</v>
      </c>
      <c r="O155" s="58">
        <f t="shared" si="0"/>
        <v>2360000</v>
      </c>
      <c r="P155" s="83">
        <v>0.04</v>
      </c>
      <c r="Q155" s="83"/>
      <c r="R155" s="56">
        <f t="shared" si="1"/>
        <v>94400</v>
      </c>
      <c r="S155" s="105">
        <f t="shared" si="4"/>
        <v>94400</v>
      </c>
    </row>
    <row r="156" spans="1:19">
      <c r="A156" s="1">
        <v>2020</v>
      </c>
      <c r="B156" s="79">
        <v>2910000</v>
      </c>
      <c r="C156" s="79">
        <v>2910000</v>
      </c>
      <c r="D156" s="79">
        <v>2910000</v>
      </c>
      <c r="E156" s="79">
        <v>2910000</v>
      </c>
      <c r="F156" s="79">
        <v>2910000</v>
      </c>
      <c r="G156" s="79">
        <v>2910000</v>
      </c>
      <c r="H156" s="79">
        <v>2910000</v>
      </c>
      <c r="I156" s="79">
        <v>2910000</v>
      </c>
      <c r="J156" s="79">
        <v>2910000</v>
      </c>
      <c r="K156" s="79">
        <v>2910000</v>
      </c>
      <c r="L156" s="79">
        <v>2910000</v>
      </c>
      <c r="M156" s="79">
        <v>2910000</v>
      </c>
      <c r="N156" s="79">
        <v>2910000</v>
      </c>
      <c r="O156" s="58">
        <f t="shared" si="0"/>
        <v>2910000</v>
      </c>
      <c r="P156" s="83">
        <v>0.05</v>
      </c>
      <c r="Q156" s="83"/>
      <c r="R156" s="56">
        <f t="shared" si="1"/>
        <v>145500</v>
      </c>
      <c r="S156" s="105">
        <f t="shared" si="4"/>
        <v>145500</v>
      </c>
    </row>
    <row r="157" spans="1:19">
      <c r="A157" s="1">
        <v>2021</v>
      </c>
      <c r="B157" s="79">
        <v>2265000</v>
      </c>
      <c r="C157" s="79">
        <v>2265000</v>
      </c>
      <c r="D157" s="79">
        <v>2265000</v>
      </c>
      <c r="E157" s="79">
        <v>2265000</v>
      </c>
      <c r="F157" s="79">
        <v>2265000</v>
      </c>
      <c r="G157" s="79">
        <v>2265000</v>
      </c>
      <c r="H157" s="79">
        <v>2265000</v>
      </c>
      <c r="I157" s="79">
        <v>2265000</v>
      </c>
      <c r="J157" s="79">
        <v>2265000</v>
      </c>
      <c r="K157" s="79">
        <v>2265000</v>
      </c>
      <c r="L157" s="79">
        <v>2265000</v>
      </c>
      <c r="M157" s="79">
        <v>2265000</v>
      </c>
      <c r="N157" s="79">
        <v>2265000</v>
      </c>
      <c r="O157" s="58">
        <f t="shared" si="0"/>
        <v>2265000</v>
      </c>
      <c r="P157" s="83">
        <v>3.3750000000000002E-2</v>
      </c>
      <c r="Q157" s="83"/>
      <c r="R157" s="56">
        <f t="shared" si="1"/>
        <v>76443.75</v>
      </c>
      <c r="S157" s="105">
        <f t="shared" si="4"/>
        <v>76443.75</v>
      </c>
    </row>
    <row r="158" spans="1:19">
      <c r="A158" s="1">
        <v>2021</v>
      </c>
      <c r="B158" s="79">
        <v>3915000</v>
      </c>
      <c r="C158" s="79">
        <v>3915000</v>
      </c>
      <c r="D158" s="79">
        <v>3915000</v>
      </c>
      <c r="E158" s="79">
        <v>3915000</v>
      </c>
      <c r="F158" s="79">
        <v>3915000</v>
      </c>
      <c r="G158" s="79">
        <v>3915000</v>
      </c>
      <c r="H158" s="79">
        <v>3915000</v>
      </c>
      <c r="I158" s="79">
        <v>3915000</v>
      </c>
      <c r="J158" s="79">
        <v>3915000</v>
      </c>
      <c r="K158" s="79">
        <v>3915000</v>
      </c>
      <c r="L158" s="79">
        <v>3915000</v>
      </c>
      <c r="M158" s="79">
        <v>3915000</v>
      </c>
      <c r="N158" s="79">
        <v>3915000</v>
      </c>
      <c r="O158" s="58">
        <f t="shared" si="0"/>
        <v>3915000</v>
      </c>
      <c r="P158" s="83">
        <v>0.05</v>
      </c>
      <c r="Q158" s="83"/>
      <c r="R158" s="56">
        <f t="shared" si="1"/>
        <v>195750</v>
      </c>
      <c r="S158" s="105">
        <f t="shared" si="4"/>
        <v>195750</v>
      </c>
    </row>
    <row r="159" spans="1:19">
      <c r="A159" s="78">
        <v>2022</v>
      </c>
      <c r="B159" s="80">
        <v>5720000</v>
      </c>
      <c r="C159" s="80">
        <v>5720000</v>
      </c>
      <c r="D159" s="80">
        <v>5720000</v>
      </c>
      <c r="E159" s="80">
        <v>5720000</v>
      </c>
      <c r="F159" s="80">
        <v>5720000</v>
      </c>
      <c r="G159" s="80">
        <v>5720000</v>
      </c>
      <c r="H159" s="80">
        <v>5720000</v>
      </c>
      <c r="I159" s="80">
        <v>5720000</v>
      </c>
      <c r="J159" s="80">
        <v>5720000</v>
      </c>
      <c r="K159" s="80">
        <v>5720000</v>
      </c>
      <c r="L159" s="80">
        <v>5720000</v>
      </c>
      <c r="M159" s="80">
        <v>5720000</v>
      </c>
      <c r="N159" s="80">
        <v>5720000</v>
      </c>
      <c r="O159" s="82">
        <f t="shared" si="0"/>
        <v>5720000</v>
      </c>
      <c r="P159" s="84">
        <v>0.05</v>
      </c>
      <c r="Q159" s="84"/>
      <c r="R159" s="81">
        <f t="shared" si="1"/>
        <v>286000</v>
      </c>
      <c r="S159" s="81">
        <f t="shared" si="4"/>
        <v>286000</v>
      </c>
    </row>
    <row r="160" spans="1:19">
      <c r="A160" s="88" t="s">
        <v>208</v>
      </c>
      <c r="B160" s="89">
        <v>139775000</v>
      </c>
      <c r="C160" s="89">
        <v>139775000</v>
      </c>
      <c r="D160" s="89">
        <v>139775000</v>
      </c>
      <c r="E160" s="89">
        <v>139775000</v>
      </c>
      <c r="F160" s="89">
        <v>139775000</v>
      </c>
      <c r="G160" s="89">
        <v>139775000</v>
      </c>
      <c r="H160" s="89">
        <v>139775000</v>
      </c>
      <c r="I160" s="89">
        <v>139775000</v>
      </c>
      <c r="J160" s="89">
        <v>139775000</v>
      </c>
      <c r="K160" s="89">
        <v>139775000</v>
      </c>
      <c r="L160" s="89">
        <v>139775000</v>
      </c>
      <c r="M160" s="89">
        <v>139775000</v>
      </c>
      <c r="N160" s="89">
        <v>139775000</v>
      </c>
      <c r="O160" s="90">
        <f t="shared" si="0"/>
        <v>139775000</v>
      </c>
      <c r="P160" s="86">
        <v>5.5160000000000001E-2</v>
      </c>
      <c r="Q160" s="86">
        <v>2.1180000000000001E-2</v>
      </c>
      <c r="R160" s="89">
        <f t="shared" si="1"/>
        <v>7709989</v>
      </c>
      <c r="S160" s="81">
        <f t="shared" si="4"/>
        <v>7709989</v>
      </c>
    </row>
    <row r="161" spans="1:19">
      <c r="A161" t="s">
        <v>209</v>
      </c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8"/>
      <c r="P161" s="57"/>
      <c r="Q161" s="57">
        <v>4.342E-2</v>
      </c>
      <c r="R161" s="56"/>
    </row>
    <row r="162" spans="1:19">
      <c r="A162" s="1">
        <v>2041</v>
      </c>
      <c r="B162" s="79">
        <v>100000000</v>
      </c>
      <c r="C162" s="79">
        <v>100000000</v>
      </c>
      <c r="D162" s="79">
        <v>100000000</v>
      </c>
      <c r="E162" s="79">
        <v>100000000</v>
      </c>
      <c r="F162" s="79">
        <v>100000000</v>
      </c>
      <c r="G162" s="79">
        <v>100000000</v>
      </c>
      <c r="H162" s="79">
        <v>100000000</v>
      </c>
      <c r="I162" s="79">
        <v>100000000</v>
      </c>
      <c r="J162" s="79">
        <v>100000000</v>
      </c>
      <c r="K162" s="79">
        <v>100000000</v>
      </c>
      <c r="L162" s="79">
        <v>100000000</v>
      </c>
      <c r="M162" s="79">
        <v>100000000</v>
      </c>
      <c r="N162" s="79">
        <v>100000000</v>
      </c>
      <c r="O162" s="58">
        <f t="shared" si="0"/>
        <v>100000000</v>
      </c>
      <c r="P162" s="85">
        <v>7.0000000000000007E-2</v>
      </c>
      <c r="Q162" s="85"/>
      <c r="R162" s="56">
        <f t="shared" si="1"/>
        <v>7000000.0000000009</v>
      </c>
      <c r="S162" s="105">
        <f t="shared" si="4"/>
        <v>7000000.0000000009</v>
      </c>
    </row>
    <row r="163" spans="1:19">
      <c r="A163" s="78">
        <v>2045</v>
      </c>
      <c r="B163" s="80">
        <v>660200000</v>
      </c>
      <c r="C163" s="80">
        <v>660200000</v>
      </c>
      <c r="D163" s="80">
        <v>660200000</v>
      </c>
      <c r="E163" s="80">
        <v>660200000</v>
      </c>
      <c r="F163" s="80">
        <v>660200000</v>
      </c>
      <c r="G163" s="80">
        <v>660200000</v>
      </c>
      <c r="H163" s="80">
        <v>660200000</v>
      </c>
      <c r="I163" s="80">
        <v>660200000</v>
      </c>
      <c r="J163" s="80">
        <v>660200000</v>
      </c>
      <c r="K163" s="80">
        <v>660200000</v>
      </c>
      <c r="L163" s="80">
        <v>660200000</v>
      </c>
      <c r="M163" s="80">
        <v>660200000</v>
      </c>
      <c r="N163" s="80">
        <v>660200000</v>
      </c>
      <c r="O163" s="82">
        <f t="shared" si="0"/>
        <v>660200000</v>
      </c>
      <c r="P163" s="86">
        <v>6.5739999999999993E-2</v>
      </c>
      <c r="Q163" s="86"/>
      <c r="R163" s="81">
        <f t="shared" si="1"/>
        <v>43401547.999999993</v>
      </c>
      <c r="S163" s="81">
        <f t="shared" si="4"/>
        <v>43401547.999999993</v>
      </c>
    </row>
    <row r="164" spans="1:19">
      <c r="A164" t="s">
        <v>210</v>
      </c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8"/>
      <c r="P164" s="57"/>
      <c r="Q164" s="57">
        <v>2.7150000000000001E-2</v>
      </c>
      <c r="R164" s="56"/>
    </row>
    <row r="165" spans="1:19">
      <c r="A165" s="1">
        <v>2014</v>
      </c>
      <c r="B165" s="79">
        <v>2700000</v>
      </c>
      <c r="C165" s="56">
        <v>0</v>
      </c>
      <c r="D165" s="56">
        <v>0</v>
      </c>
      <c r="E165" s="56">
        <v>0</v>
      </c>
      <c r="F165" s="56">
        <v>0</v>
      </c>
      <c r="G165" s="56">
        <v>0</v>
      </c>
      <c r="H165" s="56">
        <v>0</v>
      </c>
      <c r="I165" s="56">
        <v>0</v>
      </c>
      <c r="J165" s="56">
        <v>0</v>
      </c>
      <c r="K165" s="56">
        <v>0</v>
      </c>
      <c r="L165" s="56">
        <v>0</v>
      </c>
      <c r="M165" s="56">
        <v>0</v>
      </c>
      <c r="N165" s="56">
        <v>0</v>
      </c>
      <c r="O165" s="58">
        <f t="shared" si="0"/>
        <v>207692.30769230769</v>
      </c>
      <c r="P165" s="83">
        <v>0.02</v>
      </c>
      <c r="Q165" s="83"/>
      <c r="R165" s="56">
        <f t="shared" si="1"/>
        <v>4153.8461538461543</v>
      </c>
      <c r="S165" s="105">
        <f t="shared" si="4"/>
        <v>0</v>
      </c>
    </row>
    <row r="166" spans="1:19">
      <c r="A166" s="1">
        <v>2014</v>
      </c>
      <c r="B166" s="79">
        <v>54630000</v>
      </c>
      <c r="C166" s="56">
        <v>0</v>
      </c>
      <c r="D166" s="56">
        <v>0</v>
      </c>
      <c r="E166" s="56">
        <v>0</v>
      </c>
      <c r="F166" s="56">
        <v>0</v>
      </c>
      <c r="G166" s="56">
        <v>0</v>
      </c>
      <c r="H166" s="56">
        <v>0</v>
      </c>
      <c r="I166" s="56">
        <v>0</v>
      </c>
      <c r="J166" s="56">
        <v>0</v>
      </c>
      <c r="K166" s="56">
        <v>0</v>
      </c>
      <c r="L166" s="56">
        <v>0</v>
      </c>
      <c r="M166" s="56">
        <v>0</v>
      </c>
      <c r="N166" s="56">
        <v>0</v>
      </c>
      <c r="O166" s="58">
        <f t="shared" si="0"/>
        <v>4202307.692307692</v>
      </c>
      <c r="P166" s="83">
        <v>0.05</v>
      </c>
      <c r="Q166" s="83"/>
      <c r="R166" s="56">
        <f t="shared" si="1"/>
        <v>210115.38461538462</v>
      </c>
      <c r="S166" s="105">
        <f t="shared" si="4"/>
        <v>0</v>
      </c>
    </row>
    <row r="167" spans="1:19">
      <c r="A167" s="1">
        <v>2015</v>
      </c>
      <c r="B167" s="79">
        <v>6675000</v>
      </c>
      <c r="C167" s="79">
        <v>6675000</v>
      </c>
      <c r="D167" s="79">
        <v>6675000</v>
      </c>
      <c r="E167" s="79">
        <v>6675000</v>
      </c>
      <c r="F167" s="79">
        <v>6675000</v>
      </c>
      <c r="G167" s="79">
        <v>6675000</v>
      </c>
      <c r="H167" s="79">
        <v>6675000</v>
      </c>
      <c r="I167" s="79">
        <v>6675000</v>
      </c>
      <c r="J167" s="79">
        <v>6675000</v>
      </c>
      <c r="K167" s="79">
        <v>6675000</v>
      </c>
      <c r="L167" s="79">
        <v>6675000</v>
      </c>
      <c r="M167" s="79">
        <v>6675000</v>
      </c>
      <c r="N167" s="79">
        <v>6675000</v>
      </c>
      <c r="O167" s="58">
        <f t="shared" si="0"/>
        <v>6675000</v>
      </c>
      <c r="P167" s="83">
        <v>0.03</v>
      </c>
      <c r="Q167" s="83"/>
      <c r="R167" s="56">
        <f t="shared" si="1"/>
        <v>200250</v>
      </c>
      <c r="S167" s="105">
        <f t="shared" si="4"/>
        <v>200250</v>
      </c>
    </row>
    <row r="168" spans="1:19">
      <c r="A168" s="1">
        <v>2015</v>
      </c>
      <c r="B168" s="79">
        <v>44070000</v>
      </c>
      <c r="C168" s="79">
        <v>44070000</v>
      </c>
      <c r="D168" s="79">
        <v>44070000</v>
      </c>
      <c r="E168" s="79">
        <v>44070000</v>
      </c>
      <c r="F168" s="79">
        <v>44070000</v>
      </c>
      <c r="G168" s="79">
        <v>44070000</v>
      </c>
      <c r="H168" s="79">
        <v>44070000</v>
      </c>
      <c r="I168" s="79">
        <v>44070000</v>
      </c>
      <c r="J168" s="79">
        <v>44070000</v>
      </c>
      <c r="K168" s="79">
        <v>44070000</v>
      </c>
      <c r="L168" s="79">
        <v>44070000</v>
      </c>
      <c r="M168" s="79">
        <v>44070000</v>
      </c>
      <c r="N168" s="79">
        <v>44070000</v>
      </c>
      <c r="O168" s="58">
        <f t="shared" si="0"/>
        <v>44070000</v>
      </c>
      <c r="P168" s="83">
        <v>0.05</v>
      </c>
      <c r="Q168" s="83"/>
      <c r="R168" s="56">
        <f t="shared" si="1"/>
        <v>2203500</v>
      </c>
      <c r="S168" s="105">
        <f t="shared" si="4"/>
        <v>2203500</v>
      </c>
    </row>
    <row r="169" spans="1:19">
      <c r="A169" s="1">
        <v>2016</v>
      </c>
      <c r="B169" s="79">
        <v>2605000</v>
      </c>
      <c r="C169" s="79">
        <v>2605000</v>
      </c>
      <c r="D169" s="79">
        <v>2605000</v>
      </c>
      <c r="E169" s="79">
        <v>2605000</v>
      </c>
      <c r="F169" s="79">
        <v>2605000</v>
      </c>
      <c r="G169" s="79">
        <v>2605000</v>
      </c>
      <c r="H169" s="79">
        <v>2605000</v>
      </c>
      <c r="I169" s="79">
        <v>2605000</v>
      </c>
      <c r="J169" s="79">
        <v>2605000</v>
      </c>
      <c r="K169" s="79">
        <v>2605000</v>
      </c>
      <c r="L169" s="79">
        <v>2605000</v>
      </c>
      <c r="M169" s="79">
        <v>2605000</v>
      </c>
      <c r="N169" s="79">
        <v>2605000</v>
      </c>
      <c r="O169" s="58">
        <f t="shared" si="0"/>
        <v>2605000</v>
      </c>
      <c r="P169" s="83">
        <v>0.02</v>
      </c>
      <c r="Q169" s="83"/>
      <c r="R169" s="56">
        <f t="shared" si="1"/>
        <v>52100</v>
      </c>
      <c r="S169" s="105">
        <f t="shared" si="4"/>
        <v>52100</v>
      </c>
    </row>
    <row r="170" spans="1:19">
      <c r="A170" s="1">
        <v>2016</v>
      </c>
      <c r="B170" s="79">
        <v>3570000</v>
      </c>
      <c r="C170" s="79">
        <v>3570000</v>
      </c>
      <c r="D170" s="79">
        <v>3570000</v>
      </c>
      <c r="E170" s="79">
        <v>3570000</v>
      </c>
      <c r="F170" s="79">
        <v>3570000</v>
      </c>
      <c r="G170" s="79">
        <v>3570000</v>
      </c>
      <c r="H170" s="79">
        <v>3570000</v>
      </c>
      <c r="I170" s="79">
        <v>3570000</v>
      </c>
      <c r="J170" s="79">
        <v>3570000</v>
      </c>
      <c r="K170" s="79">
        <v>3570000</v>
      </c>
      <c r="L170" s="79">
        <v>3570000</v>
      </c>
      <c r="M170" s="79">
        <v>3570000</v>
      </c>
      <c r="N170" s="79">
        <v>3570000</v>
      </c>
      <c r="O170" s="58">
        <f t="shared" si="0"/>
        <v>3570000</v>
      </c>
      <c r="P170" s="83">
        <v>0.04</v>
      </c>
      <c r="Q170" s="83"/>
      <c r="R170" s="56">
        <f t="shared" si="1"/>
        <v>142800</v>
      </c>
      <c r="S170" s="105">
        <f t="shared" si="4"/>
        <v>142800</v>
      </c>
    </row>
    <row r="171" spans="1:19">
      <c r="A171" s="1">
        <v>2017</v>
      </c>
      <c r="B171" s="79">
        <v>1820000</v>
      </c>
      <c r="C171" s="79">
        <v>1820000</v>
      </c>
      <c r="D171" s="79">
        <v>1820000</v>
      </c>
      <c r="E171" s="79">
        <v>1820000</v>
      </c>
      <c r="F171" s="79">
        <v>1820000</v>
      </c>
      <c r="G171" s="79">
        <v>1820000</v>
      </c>
      <c r="H171" s="79">
        <v>1820000</v>
      </c>
      <c r="I171" s="79">
        <v>1820000</v>
      </c>
      <c r="J171" s="79">
        <v>1820000</v>
      </c>
      <c r="K171" s="79">
        <v>1820000</v>
      </c>
      <c r="L171" s="79">
        <v>1820000</v>
      </c>
      <c r="M171" s="79">
        <v>1820000</v>
      </c>
      <c r="N171" s="79">
        <v>1820000</v>
      </c>
      <c r="O171" s="58">
        <f t="shared" si="0"/>
        <v>1820000</v>
      </c>
      <c r="P171" s="83">
        <v>0.02</v>
      </c>
      <c r="Q171" s="83"/>
      <c r="R171" s="56">
        <f t="shared" si="1"/>
        <v>36400</v>
      </c>
      <c r="S171" s="105">
        <f t="shared" si="4"/>
        <v>36400</v>
      </c>
    </row>
    <row r="172" spans="1:19">
      <c r="A172" s="1">
        <v>2017</v>
      </c>
      <c r="B172" s="79">
        <v>4575000</v>
      </c>
      <c r="C172" s="79">
        <v>4575000</v>
      </c>
      <c r="D172" s="79">
        <v>4575000</v>
      </c>
      <c r="E172" s="79">
        <v>4575000</v>
      </c>
      <c r="F172" s="79">
        <v>4575000</v>
      </c>
      <c r="G172" s="79">
        <v>4575000</v>
      </c>
      <c r="H172" s="79">
        <v>4575000</v>
      </c>
      <c r="I172" s="79">
        <v>4575000</v>
      </c>
      <c r="J172" s="79">
        <v>4575000</v>
      </c>
      <c r="K172" s="79">
        <v>4575000</v>
      </c>
      <c r="L172" s="79">
        <v>4575000</v>
      </c>
      <c r="M172" s="79">
        <v>4575000</v>
      </c>
      <c r="N172" s="79">
        <v>4575000</v>
      </c>
      <c r="O172" s="58">
        <f t="shared" si="0"/>
        <v>4575000</v>
      </c>
      <c r="P172" s="83">
        <v>0.04</v>
      </c>
      <c r="Q172" s="83"/>
      <c r="R172" s="56">
        <f t="shared" si="1"/>
        <v>183000</v>
      </c>
      <c r="S172" s="105">
        <f t="shared" si="4"/>
        <v>183000</v>
      </c>
    </row>
    <row r="173" spans="1:19">
      <c r="A173" s="1">
        <v>2018</v>
      </c>
      <c r="B173" s="79">
        <v>5575000</v>
      </c>
      <c r="C173" s="79">
        <v>5575000</v>
      </c>
      <c r="D173" s="79">
        <v>5575000</v>
      </c>
      <c r="E173" s="79">
        <v>5575000</v>
      </c>
      <c r="F173" s="79">
        <v>5575000</v>
      </c>
      <c r="G173" s="79">
        <v>5575000</v>
      </c>
      <c r="H173" s="79">
        <v>5575000</v>
      </c>
      <c r="I173" s="79">
        <v>5575000</v>
      </c>
      <c r="J173" s="79">
        <v>5575000</v>
      </c>
      <c r="K173" s="79">
        <v>5575000</v>
      </c>
      <c r="L173" s="79">
        <v>5575000</v>
      </c>
      <c r="M173" s="79">
        <v>5575000</v>
      </c>
      <c r="N173" s="79">
        <v>5575000</v>
      </c>
      <c r="O173" s="58">
        <f t="shared" si="0"/>
        <v>5575000</v>
      </c>
      <c r="P173" s="83">
        <v>0.03</v>
      </c>
      <c r="Q173" s="83"/>
      <c r="R173" s="56">
        <f t="shared" si="1"/>
        <v>167250</v>
      </c>
      <c r="S173" s="105">
        <f t="shared" si="4"/>
        <v>167250</v>
      </c>
    </row>
    <row r="174" spans="1:19">
      <c r="A174" s="1">
        <v>2018</v>
      </c>
      <c r="B174" s="79">
        <v>78350000</v>
      </c>
      <c r="C174" s="79">
        <v>78350000</v>
      </c>
      <c r="D174" s="79">
        <v>78350000</v>
      </c>
      <c r="E174" s="79">
        <v>78350000</v>
      </c>
      <c r="F174" s="79">
        <v>78350000</v>
      </c>
      <c r="G174" s="79">
        <v>78350000</v>
      </c>
      <c r="H174" s="79">
        <v>78350000</v>
      </c>
      <c r="I174" s="79">
        <v>78350000</v>
      </c>
      <c r="J174" s="79">
        <v>78350000</v>
      </c>
      <c r="K174" s="79">
        <v>78350000</v>
      </c>
      <c r="L174" s="79">
        <v>78350000</v>
      </c>
      <c r="M174" s="79">
        <v>78350000</v>
      </c>
      <c r="N174" s="79">
        <v>78350000</v>
      </c>
      <c r="O174" s="58">
        <f t="shared" si="0"/>
        <v>78350000</v>
      </c>
      <c r="P174" s="83">
        <v>0.05</v>
      </c>
      <c r="Q174" s="83"/>
      <c r="R174" s="56">
        <f t="shared" si="1"/>
        <v>3917500</v>
      </c>
      <c r="S174" s="105">
        <f t="shared" si="4"/>
        <v>3917500</v>
      </c>
    </row>
    <row r="175" spans="1:19">
      <c r="A175" s="1">
        <v>2019</v>
      </c>
      <c r="B175" s="79">
        <v>4395000</v>
      </c>
      <c r="C175" s="79">
        <v>4395000</v>
      </c>
      <c r="D175" s="79">
        <v>4395000</v>
      </c>
      <c r="E175" s="79">
        <v>4395000</v>
      </c>
      <c r="F175" s="79">
        <v>4395000</v>
      </c>
      <c r="G175" s="79">
        <v>4395000</v>
      </c>
      <c r="H175" s="79">
        <v>4395000</v>
      </c>
      <c r="I175" s="79">
        <v>4395000</v>
      </c>
      <c r="J175" s="79">
        <v>4395000</v>
      </c>
      <c r="K175" s="79">
        <v>4395000</v>
      </c>
      <c r="L175" s="79">
        <v>4395000</v>
      </c>
      <c r="M175" s="79">
        <v>4395000</v>
      </c>
      <c r="N175" s="79">
        <v>4395000</v>
      </c>
      <c r="O175" s="58">
        <f t="shared" si="0"/>
        <v>4395000</v>
      </c>
      <c r="P175" s="83">
        <v>0.04</v>
      </c>
      <c r="Q175" s="83"/>
      <c r="R175" s="56">
        <f t="shared" si="1"/>
        <v>175800</v>
      </c>
      <c r="S175" s="105">
        <f t="shared" si="4"/>
        <v>175800</v>
      </c>
    </row>
    <row r="176" spans="1:19">
      <c r="A176" s="1">
        <v>2019</v>
      </c>
      <c r="B176" s="79">
        <v>80620000</v>
      </c>
      <c r="C176" s="79">
        <v>80620000</v>
      </c>
      <c r="D176" s="79">
        <v>80620000</v>
      </c>
      <c r="E176" s="79">
        <v>80620000</v>
      </c>
      <c r="F176" s="79">
        <v>80620000</v>
      </c>
      <c r="G176" s="79">
        <v>80620000</v>
      </c>
      <c r="H176" s="79">
        <v>80620000</v>
      </c>
      <c r="I176" s="79">
        <v>80620000</v>
      </c>
      <c r="J176" s="79">
        <v>80620000</v>
      </c>
      <c r="K176" s="79">
        <v>80620000</v>
      </c>
      <c r="L176" s="79">
        <v>80620000</v>
      </c>
      <c r="M176" s="79">
        <v>80620000</v>
      </c>
      <c r="N176" s="79">
        <v>80620000</v>
      </c>
      <c r="O176" s="58">
        <f t="shared" si="0"/>
        <v>80620000</v>
      </c>
      <c r="P176" s="83">
        <v>0.05</v>
      </c>
      <c r="Q176" s="83"/>
      <c r="R176" s="56">
        <f t="shared" si="1"/>
        <v>4031000</v>
      </c>
      <c r="S176" s="105">
        <f t="shared" si="4"/>
        <v>4031000</v>
      </c>
    </row>
    <row r="177" spans="1:19">
      <c r="A177" s="1">
        <v>2020</v>
      </c>
      <c r="B177" s="79">
        <v>5905000</v>
      </c>
      <c r="C177" s="79">
        <v>5905000</v>
      </c>
      <c r="D177" s="79">
        <v>5905000</v>
      </c>
      <c r="E177" s="79">
        <v>5905000</v>
      </c>
      <c r="F177" s="79">
        <v>5905000</v>
      </c>
      <c r="G177" s="79">
        <v>5905000</v>
      </c>
      <c r="H177" s="79">
        <v>5905000</v>
      </c>
      <c r="I177" s="79">
        <v>5905000</v>
      </c>
      <c r="J177" s="79">
        <v>5905000</v>
      </c>
      <c r="K177" s="79">
        <v>5905000</v>
      </c>
      <c r="L177" s="79">
        <v>5905000</v>
      </c>
      <c r="M177" s="79">
        <v>5905000</v>
      </c>
      <c r="N177" s="79">
        <v>5905000</v>
      </c>
      <c r="O177" s="58">
        <f t="shared" si="0"/>
        <v>5905000</v>
      </c>
      <c r="P177" s="83">
        <v>0.04</v>
      </c>
      <c r="Q177" s="83"/>
      <c r="R177" s="56">
        <f t="shared" si="1"/>
        <v>236200</v>
      </c>
      <c r="S177" s="105">
        <f t="shared" si="4"/>
        <v>236200</v>
      </c>
    </row>
    <row r="178" spans="1:19">
      <c r="A178" s="1">
        <v>2020</v>
      </c>
      <c r="B178" s="79">
        <v>74725000</v>
      </c>
      <c r="C178" s="79">
        <v>74725000</v>
      </c>
      <c r="D178" s="79">
        <v>74725000</v>
      </c>
      <c r="E178" s="79">
        <v>74725000</v>
      </c>
      <c r="F178" s="79">
        <v>74725000</v>
      </c>
      <c r="G178" s="79">
        <v>74725000</v>
      </c>
      <c r="H178" s="79">
        <v>74725000</v>
      </c>
      <c r="I178" s="79">
        <v>74725000</v>
      </c>
      <c r="J178" s="79">
        <v>74725000</v>
      </c>
      <c r="K178" s="79">
        <v>74725000</v>
      </c>
      <c r="L178" s="79">
        <v>74725000</v>
      </c>
      <c r="M178" s="79">
        <v>74725000</v>
      </c>
      <c r="N178" s="79">
        <v>74725000</v>
      </c>
      <c r="O178" s="58">
        <f t="shared" si="0"/>
        <v>74725000</v>
      </c>
      <c r="P178" s="83">
        <v>0.05</v>
      </c>
      <c r="Q178" s="83"/>
      <c r="R178" s="56">
        <f t="shared" si="1"/>
        <v>3736250</v>
      </c>
      <c r="S178" s="105">
        <f t="shared" si="4"/>
        <v>3736250</v>
      </c>
    </row>
    <row r="179" spans="1:19">
      <c r="A179" s="1">
        <v>2021</v>
      </c>
      <c r="B179" s="79">
        <v>17745000</v>
      </c>
      <c r="C179" s="79">
        <v>17745000</v>
      </c>
      <c r="D179" s="79">
        <v>17745000</v>
      </c>
      <c r="E179" s="79">
        <v>17745000</v>
      </c>
      <c r="F179" s="79">
        <v>17745000</v>
      </c>
      <c r="G179" s="79">
        <v>17745000</v>
      </c>
      <c r="H179" s="79">
        <v>17745000</v>
      </c>
      <c r="I179" s="79">
        <v>17745000</v>
      </c>
      <c r="J179" s="79">
        <v>17745000</v>
      </c>
      <c r="K179" s="79">
        <v>17745000</v>
      </c>
      <c r="L179" s="79">
        <v>17745000</v>
      </c>
      <c r="M179" s="79">
        <v>17745000</v>
      </c>
      <c r="N179" s="79">
        <v>17745000</v>
      </c>
      <c r="O179" s="58">
        <f t="shared" si="0"/>
        <v>17745000</v>
      </c>
      <c r="P179" s="83">
        <v>0.04</v>
      </c>
      <c r="Q179" s="83"/>
      <c r="R179" s="56">
        <f t="shared" si="1"/>
        <v>709800</v>
      </c>
      <c r="S179" s="105">
        <f t="shared" si="4"/>
        <v>709800</v>
      </c>
    </row>
    <row r="180" spans="1:19">
      <c r="A180" s="1">
        <v>2021</v>
      </c>
      <c r="B180" s="79">
        <v>81800000</v>
      </c>
      <c r="C180" s="79">
        <v>81800000</v>
      </c>
      <c r="D180" s="79">
        <v>81800000</v>
      </c>
      <c r="E180" s="79">
        <v>81800000</v>
      </c>
      <c r="F180" s="79">
        <v>81800000</v>
      </c>
      <c r="G180" s="79">
        <v>81800000</v>
      </c>
      <c r="H180" s="79">
        <v>81800000</v>
      </c>
      <c r="I180" s="79">
        <v>81800000</v>
      </c>
      <c r="J180" s="79">
        <v>81800000</v>
      </c>
      <c r="K180" s="79">
        <v>81800000</v>
      </c>
      <c r="L180" s="79">
        <v>81800000</v>
      </c>
      <c r="M180" s="79">
        <v>81800000</v>
      </c>
      <c r="N180" s="79">
        <v>81800000</v>
      </c>
      <c r="O180" s="58">
        <f t="shared" si="0"/>
        <v>81800000</v>
      </c>
      <c r="P180" s="83">
        <v>0.05</v>
      </c>
      <c r="Q180" s="83"/>
      <c r="R180" s="56">
        <f t="shared" si="1"/>
        <v>4090000</v>
      </c>
      <c r="S180" s="105">
        <f t="shared" si="4"/>
        <v>4090000</v>
      </c>
    </row>
    <row r="181" spans="1:19">
      <c r="A181" s="1">
        <v>2022</v>
      </c>
      <c r="B181" s="79">
        <v>2330000</v>
      </c>
      <c r="C181" s="79">
        <v>2330000</v>
      </c>
      <c r="D181" s="79">
        <v>2330000</v>
      </c>
      <c r="E181" s="79">
        <v>2330000</v>
      </c>
      <c r="F181" s="79">
        <v>2330000</v>
      </c>
      <c r="G181" s="79">
        <v>2330000</v>
      </c>
      <c r="H181" s="79">
        <v>2330000</v>
      </c>
      <c r="I181" s="79">
        <v>2330000</v>
      </c>
      <c r="J181" s="79">
        <v>2330000</v>
      </c>
      <c r="K181" s="79">
        <v>2330000</v>
      </c>
      <c r="L181" s="79">
        <v>2330000</v>
      </c>
      <c r="M181" s="79">
        <v>2330000</v>
      </c>
      <c r="N181" s="79">
        <v>2330000</v>
      </c>
      <c r="O181" s="58">
        <f t="shared" si="0"/>
        <v>2330000</v>
      </c>
      <c r="P181" s="83">
        <v>0.04</v>
      </c>
      <c r="Q181" s="83"/>
      <c r="R181" s="56">
        <f t="shared" si="1"/>
        <v>93200</v>
      </c>
      <c r="S181" s="105">
        <f t="shared" si="4"/>
        <v>93200</v>
      </c>
    </row>
    <row r="182" spans="1:19">
      <c r="A182" s="78">
        <v>2022</v>
      </c>
      <c r="B182" s="80">
        <v>92340000</v>
      </c>
      <c r="C182" s="80">
        <v>92340000</v>
      </c>
      <c r="D182" s="80">
        <v>92340000</v>
      </c>
      <c r="E182" s="80">
        <v>92340000</v>
      </c>
      <c r="F182" s="80">
        <v>92340000</v>
      </c>
      <c r="G182" s="80">
        <v>92340000</v>
      </c>
      <c r="H182" s="80">
        <v>92340000</v>
      </c>
      <c r="I182" s="80">
        <v>92340000</v>
      </c>
      <c r="J182" s="80">
        <v>92340000</v>
      </c>
      <c r="K182" s="80">
        <v>92340000</v>
      </c>
      <c r="L182" s="80">
        <v>92340000</v>
      </c>
      <c r="M182" s="80">
        <v>92340000</v>
      </c>
      <c r="N182" s="80">
        <v>92340000</v>
      </c>
      <c r="O182" s="82">
        <f t="shared" si="0"/>
        <v>92340000</v>
      </c>
      <c r="P182" s="84">
        <v>0.05</v>
      </c>
      <c r="Q182" s="84"/>
      <c r="R182" s="81">
        <f t="shared" si="1"/>
        <v>4617000</v>
      </c>
      <c r="S182" s="81">
        <f t="shared" si="4"/>
        <v>4617000</v>
      </c>
    </row>
    <row r="183" spans="1:19">
      <c r="A183" t="s">
        <v>211</v>
      </c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8"/>
      <c r="P183" s="57"/>
      <c r="Q183" s="57">
        <v>2.9360000000000001E-2</v>
      </c>
      <c r="R183" s="56"/>
    </row>
    <row r="184" spans="1:19">
      <c r="A184" s="1">
        <v>2014</v>
      </c>
      <c r="B184" s="79">
        <v>3720000</v>
      </c>
      <c r="C184" s="56">
        <v>0</v>
      </c>
      <c r="D184" s="56">
        <v>0</v>
      </c>
      <c r="E184" s="56">
        <v>0</v>
      </c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56">
        <v>0</v>
      </c>
      <c r="L184" s="56">
        <v>0</v>
      </c>
      <c r="M184" s="56">
        <v>0</v>
      </c>
      <c r="N184" s="56">
        <v>0</v>
      </c>
      <c r="O184" s="58">
        <f t="shared" si="0"/>
        <v>286153.84615384613</v>
      </c>
      <c r="P184" s="85">
        <v>0.03</v>
      </c>
      <c r="Q184" s="85"/>
      <c r="R184" s="56">
        <f t="shared" si="1"/>
        <v>8584.6153846153829</v>
      </c>
      <c r="S184" s="105">
        <f t="shared" si="4"/>
        <v>0</v>
      </c>
    </row>
    <row r="185" spans="1:19">
      <c r="A185" s="1">
        <v>2023</v>
      </c>
      <c r="B185" s="79">
        <v>12700000</v>
      </c>
      <c r="C185" s="79">
        <v>12700000</v>
      </c>
      <c r="D185" s="79">
        <v>12700000</v>
      </c>
      <c r="E185" s="79">
        <v>12700000</v>
      </c>
      <c r="F185" s="79">
        <v>12700000</v>
      </c>
      <c r="G185" s="79">
        <v>12700000</v>
      </c>
      <c r="H185" s="79">
        <v>12700000</v>
      </c>
      <c r="I185" s="79">
        <v>12700000</v>
      </c>
      <c r="J185" s="79">
        <v>12700000</v>
      </c>
      <c r="K185" s="79">
        <v>12700000</v>
      </c>
      <c r="L185" s="79">
        <v>12700000</v>
      </c>
      <c r="M185" s="79">
        <v>12700000</v>
      </c>
      <c r="N185" s="79">
        <v>12700000</v>
      </c>
      <c r="O185" s="58">
        <f t="shared" si="0"/>
        <v>12700000</v>
      </c>
      <c r="P185" s="85">
        <v>0.05</v>
      </c>
      <c r="Q185" s="85"/>
      <c r="R185" s="56">
        <f t="shared" si="1"/>
        <v>635000</v>
      </c>
      <c r="S185" s="105">
        <f t="shared" si="4"/>
        <v>635000</v>
      </c>
    </row>
    <row r="186" spans="1:19">
      <c r="A186" s="1">
        <v>2024</v>
      </c>
      <c r="B186" s="79">
        <v>2025000</v>
      </c>
      <c r="C186" s="79">
        <v>2025000</v>
      </c>
      <c r="D186" s="79">
        <v>2025000</v>
      </c>
      <c r="E186" s="79">
        <v>2025000</v>
      </c>
      <c r="F186" s="79">
        <v>2025000</v>
      </c>
      <c r="G186" s="79">
        <v>2025000</v>
      </c>
      <c r="H186" s="79">
        <v>2025000</v>
      </c>
      <c r="I186" s="79">
        <v>2025000</v>
      </c>
      <c r="J186" s="79">
        <v>2025000</v>
      </c>
      <c r="K186" s="79">
        <v>2025000</v>
      </c>
      <c r="L186" s="79">
        <v>2025000</v>
      </c>
      <c r="M186" s="79">
        <v>2025000</v>
      </c>
      <c r="N186" s="79">
        <v>2025000</v>
      </c>
      <c r="O186" s="58">
        <f t="shared" si="0"/>
        <v>2025000</v>
      </c>
      <c r="P186" s="85">
        <v>0.03</v>
      </c>
      <c r="Q186" s="85"/>
      <c r="R186" s="56">
        <f t="shared" si="1"/>
        <v>60750</v>
      </c>
      <c r="S186" s="105">
        <f t="shared" si="4"/>
        <v>60750</v>
      </c>
    </row>
    <row r="187" spans="1:19">
      <c r="A187" s="1">
        <v>2024</v>
      </c>
      <c r="B187" s="79">
        <v>11320000</v>
      </c>
      <c r="C187" s="79">
        <v>11320000</v>
      </c>
      <c r="D187" s="79">
        <v>11320000</v>
      </c>
      <c r="E187" s="79">
        <v>11320000</v>
      </c>
      <c r="F187" s="79">
        <v>11320000</v>
      </c>
      <c r="G187" s="79">
        <v>11320000</v>
      </c>
      <c r="H187" s="79">
        <v>11320000</v>
      </c>
      <c r="I187" s="79">
        <v>11320000</v>
      </c>
      <c r="J187" s="79">
        <v>11320000</v>
      </c>
      <c r="K187" s="79">
        <v>11320000</v>
      </c>
      <c r="L187" s="79">
        <v>11320000</v>
      </c>
      <c r="M187" s="79">
        <v>11320000</v>
      </c>
      <c r="N187" s="79">
        <v>11320000</v>
      </c>
      <c r="O187" s="58">
        <f t="shared" si="0"/>
        <v>11320000</v>
      </c>
      <c r="P187" s="85">
        <v>0.05</v>
      </c>
      <c r="Q187" s="85"/>
      <c r="R187" s="56">
        <f t="shared" si="1"/>
        <v>566000</v>
      </c>
      <c r="S187" s="105">
        <f t="shared" si="4"/>
        <v>566000</v>
      </c>
    </row>
    <row r="188" spans="1:19">
      <c r="A188" s="1">
        <v>2025</v>
      </c>
      <c r="B188" s="79">
        <v>14030000</v>
      </c>
      <c r="C188" s="79">
        <v>14030000</v>
      </c>
      <c r="D188" s="79">
        <v>14030000</v>
      </c>
      <c r="E188" s="79">
        <v>14030000</v>
      </c>
      <c r="F188" s="79">
        <v>14030000</v>
      </c>
      <c r="G188" s="79">
        <v>14030000</v>
      </c>
      <c r="H188" s="79">
        <v>14030000</v>
      </c>
      <c r="I188" s="79">
        <v>14030000</v>
      </c>
      <c r="J188" s="79">
        <v>14030000</v>
      </c>
      <c r="K188" s="79">
        <v>14030000</v>
      </c>
      <c r="L188" s="79">
        <v>14030000</v>
      </c>
      <c r="M188" s="79">
        <v>14030000</v>
      </c>
      <c r="N188" s="79">
        <v>14030000</v>
      </c>
      <c r="O188" s="58">
        <f t="shared" si="0"/>
        <v>14030000</v>
      </c>
      <c r="P188" s="85">
        <v>0.05</v>
      </c>
      <c r="Q188" s="85"/>
      <c r="R188" s="56">
        <f t="shared" si="1"/>
        <v>701500</v>
      </c>
      <c r="S188" s="105">
        <f t="shared" si="4"/>
        <v>701500</v>
      </c>
    </row>
    <row r="189" spans="1:19">
      <c r="A189" s="1">
        <v>2026</v>
      </c>
      <c r="B189" s="79">
        <v>14775000</v>
      </c>
      <c r="C189" s="79">
        <v>14775000</v>
      </c>
      <c r="D189" s="79">
        <v>14775000</v>
      </c>
      <c r="E189" s="79">
        <v>14775000</v>
      </c>
      <c r="F189" s="79">
        <v>14775000</v>
      </c>
      <c r="G189" s="79">
        <v>14775000</v>
      </c>
      <c r="H189" s="79">
        <v>14775000</v>
      </c>
      <c r="I189" s="79">
        <v>14775000</v>
      </c>
      <c r="J189" s="79">
        <v>14775000</v>
      </c>
      <c r="K189" s="79">
        <v>14775000</v>
      </c>
      <c r="L189" s="79">
        <v>14775000</v>
      </c>
      <c r="M189" s="79">
        <v>14775000</v>
      </c>
      <c r="N189" s="79">
        <v>14775000</v>
      </c>
      <c r="O189" s="58">
        <f t="shared" si="0"/>
        <v>14775000</v>
      </c>
      <c r="P189" s="85">
        <v>0.05</v>
      </c>
      <c r="Q189" s="85"/>
      <c r="R189" s="56">
        <f t="shared" si="1"/>
        <v>738750</v>
      </c>
      <c r="S189" s="105">
        <f t="shared" si="4"/>
        <v>738750</v>
      </c>
    </row>
    <row r="190" spans="1:19">
      <c r="A190" s="1">
        <v>2027</v>
      </c>
      <c r="B190" s="79">
        <v>15550000</v>
      </c>
      <c r="C190" s="79">
        <v>15550000</v>
      </c>
      <c r="D190" s="79">
        <v>15550000</v>
      </c>
      <c r="E190" s="79">
        <v>15550000</v>
      </c>
      <c r="F190" s="79">
        <v>15550000</v>
      </c>
      <c r="G190" s="79">
        <v>15550000</v>
      </c>
      <c r="H190" s="79">
        <v>15550000</v>
      </c>
      <c r="I190" s="79">
        <v>15550000</v>
      </c>
      <c r="J190" s="79">
        <v>15550000</v>
      </c>
      <c r="K190" s="79">
        <v>15550000</v>
      </c>
      <c r="L190" s="79">
        <v>15550000</v>
      </c>
      <c r="M190" s="79">
        <v>15550000</v>
      </c>
      <c r="N190" s="79">
        <v>15550000</v>
      </c>
      <c r="O190" s="58">
        <f t="shared" si="0"/>
        <v>15550000</v>
      </c>
      <c r="P190" s="85">
        <v>0.05</v>
      </c>
      <c r="Q190" s="85"/>
      <c r="R190" s="56">
        <f t="shared" si="1"/>
        <v>777500</v>
      </c>
      <c r="S190" s="105">
        <f t="shared" si="4"/>
        <v>777500</v>
      </c>
    </row>
    <row r="191" spans="1:19">
      <c r="A191" s="1">
        <v>2028</v>
      </c>
      <c r="B191" s="79">
        <v>16370000</v>
      </c>
      <c r="C191" s="79">
        <v>16370000</v>
      </c>
      <c r="D191" s="79">
        <v>16370000</v>
      </c>
      <c r="E191" s="79">
        <v>16370000</v>
      </c>
      <c r="F191" s="79">
        <v>16370000</v>
      </c>
      <c r="G191" s="79">
        <v>16370000</v>
      </c>
      <c r="H191" s="79">
        <v>16370000</v>
      </c>
      <c r="I191" s="79">
        <v>16370000</v>
      </c>
      <c r="J191" s="79">
        <v>16370000</v>
      </c>
      <c r="K191" s="79">
        <v>16370000</v>
      </c>
      <c r="L191" s="79">
        <v>16370000</v>
      </c>
      <c r="M191" s="79">
        <v>16370000</v>
      </c>
      <c r="N191" s="79">
        <v>16370000</v>
      </c>
      <c r="O191" s="58">
        <f t="shared" si="0"/>
        <v>16370000</v>
      </c>
      <c r="P191" s="85">
        <v>0.05</v>
      </c>
      <c r="Q191" s="85"/>
      <c r="R191" s="56">
        <f t="shared" si="1"/>
        <v>818500</v>
      </c>
      <c r="S191" s="105">
        <f t="shared" si="4"/>
        <v>818500</v>
      </c>
    </row>
    <row r="192" spans="1:19">
      <c r="A192" s="1">
        <v>2029</v>
      </c>
      <c r="B192" s="79">
        <v>1745000</v>
      </c>
      <c r="C192" s="79">
        <v>1745000</v>
      </c>
      <c r="D192" s="79">
        <v>1745000</v>
      </c>
      <c r="E192" s="79">
        <v>1745000</v>
      </c>
      <c r="F192" s="79">
        <v>1745000</v>
      </c>
      <c r="G192" s="79">
        <v>1745000</v>
      </c>
      <c r="H192" s="79">
        <v>1745000</v>
      </c>
      <c r="I192" s="79">
        <v>1745000</v>
      </c>
      <c r="J192" s="79">
        <v>1745000</v>
      </c>
      <c r="K192" s="79">
        <v>1745000</v>
      </c>
      <c r="L192" s="79">
        <v>1745000</v>
      </c>
      <c r="M192" s="79">
        <v>1745000</v>
      </c>
      <c r="N192" s="79">
        <v>1745000</v>
      </c>
      <c r="O192" s="58">
        <f t="shared" si="0"/>
        <v>1745000</v>
      </c>
      <c r="P192" s="85">
        <v>0.05</v>
      </c>
      <c r="Q192" s="85"/>
      <c r="R192" s="56">
        <f t="shared" si="1"/>
        <v>87250</v>
      </c>
      <c r="S192" s="105">
        <f t="shared" si="4"/>
        <v>87250</v>
      </c>
    </row>
    <row r="193" spans="1:19">
      <c r="A193" s="1">
        <v>2030</v>
      </c>
      <c r="B193" s="79">
        <v>1820000</v>
      </c>
      <c r="C193" s="79">
        <v>1820000</v>
      </c>
      <c r="D193" s="79">
        <v>1820000</v>
      </c>
      <c r="E193" s="79">
        <v>1820000</v>
      </c>
      <c r="F193" s="79">
        <v>1820000</v>
      </c>
      <c r="G193" s="79">
        <v>1820000</v>
      </c>
      <c r="H193" s="79">
        <v>1820000</v>
      </c>
      <c r="I193" s="79">
        <v>1820000</v>
      </c>
      <c r="J193" s="79">
        <v>1820000</v>
      </c>
      <c r="K193" s="79">
        <v>1820000</v>
      </c>
      <c r="L193" s="79">
        <v>1820000</v>
      </c>
      <c r="M193" s="79">
        <v>1820000</v>
      </c>
      <c r="N193" s="79">
        <v>1820000</v>
      </c>
      <c r="O193" s="58">
        <f t="shared" si="0"/>
        <v>1820000</v>
      </c>
      <c r="P193" s="85">
        <v>0.03</v>
      </c>
      <c r="Q193" s="85"/>
      <c r="R193" s="56">
        <f t="shared" si="1"/>
        <v>54600</v>
      </c>
      <c r="S193" s="105">
        <f t="shared" si="4"/>
        <v>54600</v>
      </c>
    </row>
    <row r="194" spans="1:19">
      <c r="A194" s="1">
        <v>2031</v>
      </c>
      <c r="B194" s="79">
        <v>1880000</v>
      </c>
      <c r="C194" s="79">
        <v>1880000</v>
      </c>
      <c r="D194" s="79">
        <v>1880000</v>
      </c>
      <c r="E194" s="79">
        <v>1880000</v>
      </c>
      <c r="F194" s="79">
        <v>1880000</v>
      </c>
      <c r="G194" s="79">
        <v>1880000</v>
      </c>
      <c r="H194" s="79">
        <v>1880000</v>
      </c>
      <c r="I194" s="79">
        <v>1880000</v>
      </c>
      <c r="J194" s="79">
        <v>1880000</v>
      </c>
      <c r="K194" s="79">
        <v>1880000</v>
      </c>
      <c r="L194" s="79">
        <v>1880000</v>
      </c>
      <c r="M194" s="79">
        <v>1880000</v>
      </c>
      <c r="N194" s="79">
        <v>1880000</v>
      </c>
      <c r="O194" s="58">
        <f t="shared" si="0"/>
        <v>1880000</v>
      </c>
      <c r="P194" s="85">
        <v>0.03</v>
      </c>
      <c r="Q194" s="85"/>
      <c r="R194" s="56">
        <f t="shared" si="1"/>
        <v>56400</v>
      </c>
      <c r="S194" s="105">
        <f t="shared" si="4"/>
        <v>56400</v>
      </c>
    </row>
    <row r="195" spans="1:19">
      <c r="A195" s="1">
        <v>2032</v>
      </c>
      <c r="B195" s="79">
        <v>1940000</v>
      </c>
      <c r="C195" s="79">
        <v>1940000</v>
      </c>
      <c r="D195" s="79">
        <v>1940000</v>
      </c>
      <c r="E195" s="79">
        <v>1940000</v>
      </c>
      <c r="F195" s="79">
        <v>1940000</v>
      </c>
      <c r="G195" s="79">
        <v>1940000</v>
      </c>
      <c r="H195" s="79">
        <v>1940000</v>
      </c>
      <c r="I195" s="79">
        <v>1940000</v>
      </c>
      <c r="J195" s="79">
        <v>1940000</v>
      </c>
      <c r="K195" s="79">
        <v>1940000</v>
      </c>
      <c r="L195" s="79">
        <v>1940000</v>
      </c>
      <c r="M195" s="79">
        <v>1940000</v>
      </c>
      <c r="N195" s="79">
        <v>1940000</v>
      </c>
      <c r="O195" s="58">
        <f t="shared" si="0"/>
        <v>1940000</v>
      </c>
      <c r="P195" s="85">
        <v>0.03</v>
      </c>
      <c r="Q195" s="85"/>
      <c r="R195" s="56">
        <f t="shared" si="1"/>
        <v>58200</v>
      </c>
      <c r="S195" s="105">
        <f t="shared" si="4"/>
        <v>58200</v>
      </c>
    </row>
    <row r="196" spans="1:19">
      <c r="A196" s="1">
        <v>2033</v>
      </c>
      <c r="B196" s="79">
        <v>2005000</v>
      </c>
      <c r="C196" s="79">
        <v>2005000</v>
      </c>
      <c r="D196" s="79">
        <v>2005000</v>
      </c>
      <c r="E196" s="79">
        <v>2005000</v>
      </c>
      <c r="F196" s="79">
        <v>2005000</v>
      </c>
      <c r="G196" s="79">
        <v>2005000</v>
      </c>
      <c r="H196" s="79">
        <v>2005000</v>
      </c>
      <c r="I196" s="79">
        <v>2005000</v>
      </c>
      <c r="J196" s="79">
        <v>2005000</v>
      </c>
      <c r="K196" s="79">
        <v>2005000</v>
      </c>
      <c r="L196" s="79">
        <v>2005000</v>
      </c>
      <c r="M196" s="79">
        <v>2005000</v>
      </c>
      <c r="N196" s="79">
        <v>2005000</v>
      </c>
      <c r="O196" s="58">
        <f t="shared" si="0"/>
        <v>2005000</v>
      </c>
      <c r="P196" s="85">
        <v>0.03</v>
      </c>
      <c r="Q196" s="85"/>
      <c r="R196" s="56">
        <f t="shared" si="1"/>
        <v>60150</v>
      </c>
      <c r="S196" s="105">
        <f t="shared" si="4"/>
        <v>60150</v>
      </c>
    </row>
    <row r="197" spans="1:19">
      <c r="A197" s="1">
        <v>2034</v>
      </c>
      <c r="B197" s="79">
        <v>2065000</v>
      </c>
      <c r="C197" s="79">
        <v>2065000</v>
      </c>
      <c r="D197" s="79">
        <v>2065000</v>
      </c>
      <c r="E197" s="79">
        <v>2065000</v>
      </c>
      <c r="F197" s="79">
        <v>2065000</v>
      </c>
      <c r="G197" s="79">
        <v>2065000</v>
      </c>
      <c r="H197" s="79">
        <v>2065000</v>
      </c>
      <c r="I197" s="79">
        <v>2065000</v>
      </c>
      <c r="J197" s="79">
        <v>2065000</v>
      </c>
      <c r="K197" s="79">
        <v>2065000</v>
      </c>
      <c r="L197" s="79">
        <v>2065000</v>
      </c>
      <c r="M197" s="79">
        <v>2065000</v>
      </c>
      <c r="N197" s="79">
        <v>2065000</v>
      </c>
      <c r="O197" s="58">
        <f t="shared" si="0"/>
        <v>2065000</v>
      </c>
      <c r="P197" s="85">
        <v>0.03</v>
      </c>
      <c r="Q197" s="85"/>
      <c r="R197" s="56">
        <f t="shared" si="1"/>
        <v>61950</v>
      </c>
      <c r="S197" s="105">
        <f t="shared" si="4"/>
        <v>61950</v>
      </c>
    </row>
    <row r="198" spans="1:19">
      <c r="A198" s="78">
        <v>2035</v>
      </c>
      <c r="B198" s="80">
        <v>2130000</v>
      </c>
      <c r="C198" s="80">
        <v>2130000</v>
      </c>
      <c r="D198" s="80">
        <v>2130000</v>
      </c>
      <c r="E198" s="80">
        <v>2130000</v>
      </c>
      <c r="F198" s="80">
        <v>2130000</v>
      </c>
      <c r="G198" s="80">
        <v>2130000</v>
      </c>
      <c r="H198" s="80">
        <v>2130000</v>
      </c>
      <c r="I198" s="80">
        <v>2130000</v>
      </c>
      <c r="J198" s="80">
        <v>2130000</v>
      </c>
      <c r="K198" s="80">
        <v>2130000</v>
      </c>
      <c r="L198" s="80">
        <v>2130000</v>
      </c>
      <c r="M198" s="80">
        <v>2130000</v>
      </c>
      <c r="N198" s="80">
        <v>2130000</v>
      </c>
      <c r="O198" s="82">
        <f t="shared" si="0"/>
        <v>2130000</v>
      </c>
      <c r="P198" s="86">
        <v>0.03</v>
      </c>
      <c r="Q198" s="86"/>
      <c r="R198" s="81">
        <f t="shared" si="1"/>
        <v>63900</v>
      </c>
      <c r="S198" s="81">
        <f t="shared" si="4"/>
        <v>63900</v>
      </c>
    </row>
    <row r="199" spans="1:19">
      <c r="A199" s="101" t="s">
        <v>212</v>
      </c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8"/>
      <c r="P199" s="57"/>
      <c r="Q199" s="57">
        <v>4.1640000000000003E-2</v>
      </c>
      <c r="R199" s="56"/>
    </row>
    <row r="200" spans="1:19">
      <c r="A200" s="92">
        <v>2038</v>
      </c>
      <c r="B200" s="79">
        <v>35000000</v>
      </c>
      <c r="C200" s="79">
        <v>35000000</v>
      </c>
      <c r="D200" s="79">
        <v>35000000</v>
      </c>
      <c r="E200" s="79">
        <v>35000000</v>
      </c>
      <c r="F200" s="79">
        <v>35000000</v>
      </c>
      <c r="G200" s="79">
        <v>35000000</v>
      </c>
      <c r="H200" s="79">
        <v>35000000</v>
      </c>
      <c r="I200" s="79">
        <v>35000000</v>
      </c>
      <c r="J200" s="79">
        <v>35000000</v>
      </c>
      <c r="K200" s="79">
        <v>35000000</v>
      </c>
      <c r="L200" s="79">
        <v>35000000</v>
      </c>
      <c r="M200" s="79">
        <v>35000000</v>
      </c>
      <c r="N200" s="79">
        <v>35000000</v>
      </c>
      <c r="O200" s="58">
        <f t="shared" si="0"/>
        <v>35000000</v>
      </c>
      <c r="P200" s="93">
        <v>0.05</v>
      </c>
      <c r="Q200" s="93"/>
      <c r="R200" s="56">
        <f t="shared" si="1"/>
        <v>1750000</v>
      </c>
      <c r="S200" s="105">
        <f t="shared" si="4"/>
        <v>1750000</v>
      </c>
    </row>
    <row r="201" spans="1:19">
      <c r="A201" s="78">
        <v>2043</v>
      </c>
      <c r="B201" s="80">
        <v>315000000</v>
      </c>
      <c r="C201" s="80">
        <v>315000000</v>
      </c>
      <c r="D201" s="80">
        <v>315000000</v>
      </c>
      <c r="E201" s="80">
        <v>315000000</v>
      </c>
      <c r="F201" s="80">
        <v>315000000</v>
      </c>
      <c r="G201" s="80">
        <v>315000000</v>
      </c>
      <c r="H201" s="80">
        <v>315000000</v>
      </c>
      <c r="I201" s="80">
        <v>315000000</v>
      </c>
      <c r="J201" s="80">
        <v>315000000</v>
      </c>
      <c r="K201" s="80">
        <v>315000000</v>
      </c>
      <c r="L201" s="80">
        <v>315000000</v>
      </c>
      <c r="M201" s="80">
        <v>315000000</v>
      </c>
      <c r="N201" s="80">
        <v>315000000</v>
      </c>
      <c r="O201" s="82">
        <f t="shared" si="0"/>
        <v>315000000</v>
      </c>
      <c r="P201" s="86">
        <v>0.05</v>
      </c>
      <c r="Q201" s="86"/>
      <c r="R201" s="81">
        <f t="shared" si="1"/>
        <v>15750000</v>
      </c>
      <c r="S201" s="81">
        <f>P201*N201</f>
        <v>15750000</v>
      </c>
    </row>
    <row r="202" spans="1:19">
      <c r="A202" t="s">
        <v>213</v>
      </c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8"/>
      <c r="P202" s="57"/>
      <c r="Q202" s="57">
        <v>9.58E-3</v>
      </c>
      <c r="R202" s="56"/>
    </row>
    <row r="203" spans="1:19">
      <c r="A203" s="1">
        <v>2016</v>
      </c>
      <c r="B203" s="79">
        <v>7835000</v>
      </c>
      <c r="C203" s="79">
        <v>7835000</v>
      </c>
      <c r="D203" s="79">
        <v>7835000</v>
      </c>
      <c r="E203" s="79">
        <v>7835000</v>
      </c>
      <c r="F203" s="79">
        <v>7835000</v>
      </c>
      <c r="G203" s="79">
        <v>7835000</v>
      </c>
      <c r="H203" s="79">
        <v>7835000</v>
      </c>
      <c r="I203" s="79">
        <v>7835000</v>
      </c>
      <c r="J203" s="79">
        <v>7835000</v>
      </c>
      <c r="K203" s="79">
        <v>7835000</v>
      </c>
      <c r="L203" s="79">
        <v>7835000</v>
      </c>
      <c r="M203" s="79">
        <v>7835000</v>
      </c>
      <c r="N203" s="79">
        <v>7835000</v>
      </c>
      <c r="O203" s="58">
        <f t="shared" si="0"/>
        <v>7835000</v>
      </c>
      <c r="P203" s="83">
        <v>0.03</v>
      </c>
      <c r="Q203" s="83"/>
      <c r="R203" s="56">
        <f t="shared" si="1"/>
        <v>235050</v>
      </c>
      <c r="S203" s="105">
        <f t="shared" ref="S203:S266" si="5">P203*N203</f>
        <v>235050</v>
      </c>
    </row>
    <row r="204" spans="1:19">
      <c r="A204" s="1">
        <v>2016</v>
      </c>
      <c r="B204" s="79">
        <v>88700000</v>
      </c>
      <c r="C204" s="79">
        <v>88700000</v>
      </c>
      <c r="D204" s="79">
        <v>88700000</v>
      </c>
      <c r="E204" s="79">
        <v>88700000</v>
      </c>
      <c r="F204" s="79">
        <v>88700000</v>
      </c>
      <c r="G204" s="79">
        <v>88700000</v>
      </c>
      <c r="H204" s="79">
        <v>88700000</v>
      </c>
      <c r="I204" s="79">
        <v>88700000</v>
      </c>
      <c r="J204" s="79">
        <v>88700000</v>
      </c>
      <c r="K204" s="79">
        <v>88700000</v>
      </c>
      <c r="L204" s="79">
        <v>88700000</v>
      </c>
      <c r="M204" s="79">
        <v>88700000</v>
      </c>
      <c r="N204" s="79">
        <v>88700000</v>
      </c>
      <c r="O204" s="58">
        <f t="shared" si="0"/>
        <v>88700000</v>
      </c>
      <c r="P204" s="83">
        <v>0.04</v>
      </c>
      <c r="Q204" s="83"/>
      <c r="R204" s="56">
        <f t="shared" si="1"/>
        <v>3548000</v>
      </c>
      <c r="S204" s="105">
        <f t="shared" si="5"/>
        <v>3548000</v>
      </c>
    </row>
    <row r="205" spans="1:19">
      <c r="A205" s="78">
        <v>2016</v>
      </c>
      <c r="B205" s="80">
        <v>203465000</v>
      </c>
      <c r="C205" s="80">
        <v>203465000</v>
      </c>
      <c r="D205" s="80">
        <v>203465000</v>
      </c>
      <c r="E205" s="80">
        <v>203465000</v>
      </c>
      <c r="F205" s="80">
        <v>203465000</v>
      </c>
      <c r="G205" s="80">
        <v>203465000</v>
      </c>
      <c r="H205" s="80">
        <v>203465000</v>
      </c>
      <c r="I205" s="80">
        <v>203465000</v>
      </c>
      <c r="J205" s="80">
        <v>203465000</v>
      </c>
      <c r="K205" s="80">
        <v>203465000</v>
      </c>
      <c r="L205" s="80">
        <v>203465000</v>
      </c>
      <c r="M205" s="80">
        <v>203465000</v>
      </c>
      <c r="N205" s="80">
        <v>203465000</v>
      </c>
      <c r="O205" s="82">
        <f t="shared" si="0"/>
        <v>203465000</v>
      </c>
      <c r="P205" s="84">
        <v>0.05</v>
      </c>
      <c r="Q205" s="84"/>
      <c r="R205" s="81">
        <f t="shared" si="1"/>
        <v>10173250</v>
      </c>
      <c r="S205" s="81">
        <f t="shared" si="5"/>
        <v>10173250</v>
      </c>
    </row>
    <row r="206" spans="1:19">
      <c r="A206" t="s">
        <v>214</v>
      </c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8"/>
      <c r="P206" s="57"/>
      <c r="Q206" s="57">
        <v>2.504E-2</v>
      </c>
      <c r="R206" s="56"/>
    </row>
    <row r="207" spans="1:19">
      <c r="A207" s="1">
        <v>2014</v>
      </c>
      <c r="B207" s="79">
        <v>10645000</v>
      </c>
      <c r="C207" s="56">
        <v>0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>
        <v>0</v>
      </c>
      <c r="K207" s="56">
        <v>0</v>
      </c>
      <c r="L207" s="56">
        <v>0</v>
      </c>
      <c r="M207" s="56">
        <v>0</v>
      </c>
      <c r="N207" s="56">
        <v>0</v>
      </c>
      <c r="O207" s="58">
        <f t="shared" si="0"/>
        <v>818846.15384615387</v>
      </c>
      <c r="P207" s="83">
        <v>0.02</v>
      </c>
      <c r="Q207" s="83"/>
      <c r="R207" s="56">
        <f t="shared" si="1"/>
        <v>16376.923076923078</v>
      </c>
      <c r="S207" s="105">
        <f t="shared" si="5"/>
        <v>0</v>
      </c>
    </row>
    <row r="208" spans="1:19">
      <c r="A208" s="1">
        <v>2015</v>
      </c>
      <c r="B208" s="79">
        <v>8720000</v>
      </c>
      <c r="C208" s="79">
        <v>8720000</v>
      </c>
      <c r="D208" s="79">
        <v>8720000</v>
      </c>
      <c r="E208" s="79">
        <v>8720000</v>
      </c>
      <c r="F208" s="79">
        <v>8720000</v>
      </c>
      <c r="G208" s="79">
        <v>8720000</v>
      </c>
      <c r="H208" s="79">
        <v>8720000</v>
      </c>
      <c r="I208" s="79">
        <v>8720000</v>
      </c>
      <c r="J208" s="79">
        <v>8720000</v>
      </c>
      <c r="K208" s="79">
        <v>8720000</v>
      </c>
      <c r="L208" s="79">
        <v>8720000</v>
      </c>
      <c r="M208" s="79">
        <v>8720000</v>
      </c>
      <c r="N208" s="79">
        <v>8720000</v>
      </c>
      <c r="O208" s="58">
        <f t="shared" si="0"/>
        <v>8720000</v>
      </c>
      <c r="P208" s="83">
        <v>0.01</v>
      </c>
      <c r="Q208" s="83"/>
      <c r="R208" s="56">
        <f t="shared" si="1"/>
        <v>87200</v>
      </c>
      <c r="S208" s="105">
        <f t="shared" si="5"/>
        <v>87200</v>
      </c>
    </row>
    <row r="209" spans="1:19">
      <c r="A209" s="1">
        <v>2016</v>
      </c>
      <c r="B209" s="79">
        <v>6880000</v>
      </c>
      <c r="C209" s="79">
        <v>6880000</v>
      </c>
      <c r="D209" s="79">
        <v>6880000</v>
      </c>
      <c r="E209" s="79">
        <v>6880000</v>
      </c>
      <c r="F209" s="79">
        <v>6880000</v>
      </c>
      <c r="G209" s="79">
        <v>6880000</v>
      </c>
      <c r="H209" s="79">
        <v>6880000</v>
      </c>
      <c r="I209" s="79">
        <v>6880000</v>
      </c>
      <c r="J209" s="79">
        <v>6880000</v>
      </c>
      <c r="K209" s="79">
        <v>6880000</v>
      </c>
      <c r="L209" s="79">
        <v>6880000</v>
      </c>
      <c r="M209" s="79">
        <v>6880000</v>
      </c>
      <c r="N209" s="79">
        <v>6880000</v>
      </c>
      <c r="O209" s="58">
        <f t="shared" si="0"/>
        <v>6880000</v>
      </c>
      <c r="P209" s="83">
        <v>0.02</v>
      </c>
      <c r="Q209" s="83"/>
      <c r="R209" s="56">
        <f t="shared" si="1"/>
        <v>137600</v>
      </c>
      <c r="S209" s="105">
        <f t="shared" si="5"/>
        <v>137600</v>
      </c>
    </row>
    <row r="210" spans="1:19">
      <c r="A210" s="1">
        <v>2017</v>
      </c>
      <c r="B210" s="79">
        <v>2155000</v>
      </c>
      <c r="C210" s="79">
        <v>2155000</v>
      </c>
      <c r="D210" s="79">
        <v>2155000</v>
      </c>
      <c r="E210" s="79">
        <v>2155000</v>
      </c>
      <c r="F210" s="79">
        <v>2155000</v>
      </c>
      <c r="G210" s="79">
        <v>2155000</v>
      </c>
      <c r="H210" s="79">
        <v>2155000</v>
      </c>
      <c r="I210" s="79">
        <v>2155000</v>
      </c>
      <c r="J210" s="79">
        <v>2155000</v>
      </c>
      <c r="K210" s="79">
        <v>2155000</v>
      </c>
      <c r="L210" s="79">
        <v>2155000</v>
      </c>
      <c r="M210" s="79">
        <v>2155000</v>
      </c>
      <c r="N210" s="79">
        <v>2155000</v>
      </c>
      <c r="O210" s="58">
        <f t="shared" si="0"/>
        <v>2155000</v>
      </c>
      <c r="P210" s="83">
        <v>0.02</v>
      </c>
      <c r="Q210" s="83"/>
      <c r="R210" s="56">
        <f t="shared" si="1"/>
        <v>43100</v>
      </c>
      <c r="S210" s="105">
        <f t="shared" si="5"/>
        <v>43100</v>
      </c>
    </row>
    <row r="211" spans="1:19">
      <c r="A211" s="1">
        <v>2017</v>
      </c>
      <c r="B211" s="79">
        <v>18000000</v>
      </c>
      <c r="C211" s="79">
        <v>18000000</v>
      </c>
      <c r="D211" s="79">
        <v>18000000</v>
      </c>
      <c r="E211" s="79">
        <v>18000000</v>
      </c>
      <c r="F211" s="79">
        <v>18000000</v>
      </c>
      <c r="G211" s="79">
        <v>18000000</v>
      </c>
      <c r="H211" s="79">
        <v>18000000</v>
      </c>
      <c r="I211" s="79">
        <v>18000000</v>
      </c>
      <c r="J211" s="79">
        <v>18000000</v>
      </c>
      <c r="K211" s="79">
        <v>18000000</v>
      </c>
      <c r="L211" s="79">
        <v>18000000</v>
      </c>
      <c r="M211" s="79">
        <v>18000000</v>
      </c>
      <c r="N211" s="79">
        <v>18000000</v>
      </c>
      <c r="O211" s="58">
        <f t="shared" si="0"/>
        <v>18000000</v>
      </c>
      <c r="P211" s="83">
        <v>0.04</v>
      </c>
      <c r="Q211" s="83"/>
      <c r="R211" s="56">
        <f t="shared" si="1"/>
        <v>720000</v>
      </c>
      <c r="S211" s="105">
        <f t="shared" si="5"/>
        <v>720000</v>
      </c>
    </row>
    <row r="212" spans="1:19">
      <c r="A212" s="1">
        <v>2017</v>
      </c>
      <c r="B212" s="79">
        <v>21655000</v>
      </c>
      <c r="C212" s="79">
        <v>21655000</v>
      </c>
      <c r="D212" s="79">
        <v>21655000</v>
      </c>
      <c r="E212" s="79">
        <v>21655000</v>
      </c>
      <c r="F212" s="79">
        <v>21655000</v>
      </c>
      <c r="G212" s="79">
        <v>21655000</v>
      </c>
      <c r="H212" s="79">
        <v>21655000</v>
      </c>
      <c r="I212" s="79">
        <v>21655000</v>
      </c>
      <c r="J212" s="79">
        <v>21655000</v>
      </c>
      <c r="K212" s="79">
        <v>21655000</v>
      </c>
      <c r="L212" s="79">
        <v>21655000</v>
      </c>
      <c r="M212" s="79">
        <v>21655000</v>
      </c>
      <c r="N212" s="79">
        <v>21655000</v>
      </c>
      <c r="O212" s="58">
        <f t="shared" si="0"/>
        <v>21655000</v>
      </c>
      <c r="P212" s="83">
        <v>0.05</v>
      </c>
      <c r="Q212" s="83"/>
      <c r="R212" s="56">
        <f t="shared" si="1"/>
        <v>1082750</v>
      </c>
      <c r="S212" s="105">
        <f t="shared" si="5"/>
        <v>1082750</v>
      </c>
    </row>
    <row r="213" spans="1:19">
      <c r="A213" s="1">
        <v>2018</v>
      </c>
      <c r="B213" s="79">
        <v>8690000</v>
      </c>
      <c r="C213" s="79">
        <v>8690000</v>
      </c>
      <c r="D213" s="79">
        <v>8690000</v>
      </c>
      <c r="E213" s="79">
        <v>8690000</v>
      </c>
      <c r="F213" s="79">
        <v>8690000</v>
      </c>
      <c r="G213" s="79">
        <v>8690000</v>
      </c>
      <c r="H213" s="79">
        <v>8690000</v>
      </c>
      <c r="I213" s="79">
        <v>8690000</v>
      </c>
      <c r="J213" s="79">
        <v>8690000</v>
      </c>
      <c r="K213" s="79">
        <v>8690000</v>
      </c>
      <c r="L213" s="79">
        <v>8690000</v>
      </c>
      <c r="M213" s="79">
        <v>8690000</v>
      </c>
      <c r="N213" s="79">
        <v>8690000</v>
      </c>
      <c r="O213" s="58">
        <f t="shared" si="0"/>
        <v>8690000</v>
      </c>
      <c r="P213" s="83">
        <v>0.03</v>
      </c>
      <c r="Q213" s="83"/>
      <c r="R213" s="56">
        <f t="shared" si="1"/>
        <v>260700</v>
      </c>
      <c r="S213" s="105">
        <f t="shared" si="5"/>
        <v>260700</v>
      </c>
    </row>
    <row r="214" spans="1:19">
      <c r="A214" s="1">
        <v>2018</v>
      </c>
      <c r="B214" s="79">
        <v>33040000</v>
      </c>
      <c r="C214" s="79">
        <v>33040000</v>
      </c>
      <c r="D214" s="79">
        <v>33040000</v>
      </c>
      <c r="E214" s="79">
        <v>33040000</v>
      </c>
      <c r="F214" s="79">
        <v>33040000</v>
      </c>
      <c r="G214" s="79">
        <v>33040000</v>
      </c>
      <c r="H214" s="79">
        <v>33040000</v>
      </c>
      <c r="I214" s="79">
        <v>33040000</v>
      </c>
      <c r="J214" s="79">
        <v>33040000</v>
      </c>
      <c r="K214" s="79">
        <v>33040000</v>
      </c>
      <c r="L214" s="79">
        <v>33040000</v>
      </c>
      <c r="M214" s="79">
        <v>33040000</v>
      </c>
      <c r="N214" s="79">
        <v>33040000</v>
      </c>
      <c r="O214" s="58">
        <f t="shared" si="0"/>
        <v>33040000</v>
      </c>
      <c r="P214" s="83">
        <v>0.05</v>
      </c>
      <c r="Q214" s="83"/>
      <c r="R214" s="56">
        <f t="shared" si="1"/>
        <v>1652000</v>
      </c>
      <c r="S214" s="105">
        <f t="shared" si="5"/>
        <v>1652000</v>
      </c>
    </row>
    <row r="215" spans="1:19">
      <c r="A215" s="1">
        <v>2019</v>
      </c>
      <c r="B215" s="79">
        <v>430000</v>
      </c>
      <c r="C215" s="79">
        <v>430000</v>
      </c>
      <c r="D215" s="79">
        <v>430000</v>
      </c>
      <c r="E215" s="79">
        <v>430000</v>
      </c>
      <c r="F215" s="79">
        <v>430000</v>
      </c>
      <c r="G215" s="79">
        <v>430000</v>
      </c>
      <c r="H215" s="79">
        <v>430000</v>
      </c>
      <c r="I215" s="79">
        <v>430000</v>
      </c>
      <c r="J215" s="79">
        <v>430000</v>
      </c>
      <c r="K215" s="79">
        <v>430000</v>
      </c>
      <c r="L215" s="79">
        <v>430000</v>
      </c>
      <c r="M215" s="79">
        <v>430000</v>
      </c>
      <c r="N215" s="79">
        <v>430000</v>
      </c>
      <c r="O215" s="58">
        <f t="shared" si="0"/>
        <v>430000</v>
      </c>
      <c r="P215" s="83">
        <v>0.02</v>
      </c>
      <c r="Q215" s="83"/>
      <c r="R215" s="56">
        <f t="shared" si="1"/>
        <v>8600</v>
      </c>
      <c r="S215" s="105">
        <f t="shared" si="5"/>
        <v>8600</v>
      </c>
    </row>
    <row r="216" spans="1:19">
      <c r="A216" s="1">
        <v>2019</v>
      </c>
      <c r="B216" s="79">
        <v>41410000</v>
      </c>
      <c r="C216" s="79">
        <v>41410000</v>
      </c>
      <c r="D216" s="79">
        <v>41410000</v>
      </c>
      <c r="E216" s="79">
        <v>41410000</v>
      </c>
      <c r="F216" s="79">
        <v>41410000</v>
      </c>
      <c r="G216" s="79">
        <v>41410000</v>
      </c>
      <c r="H216" s="79">
        <v>41410000</v>
      </c>
      <c r="I216" s="79">
        <v>41410000</v>
      </c>
      <c r="J216" s="79">
        <v>41410000</v>
      </c>
      <c r="K216" s="79">
        <v>41410000</v>
      </c>
      <c r="L216" s="79">
        <v>41410000</v>
      </c>
      <c r="M216" s="79">
        <v>41410000</v>
      </c>
      <c r="N216" s="79">
        <v>41410000</v>
      </c>
      <c r="O216" s="58">
        <f t="shared" si="0"/>
        <v>41410000</v>
      </c>
      <c r="P216" s="83">
        <v>0.05</v>
      </c>
      <c r="Q216" s="83"/>
      <c r="R216" s="56">
        <f t="shared" si="1"/>
        <v>2070500</v>
      </c>
      <c r="S216" s="105">
        <f t="shared" si="5"/>
        <v>2070500</v>
      </c>
    </row>
    <row r="217" spans="1:19">
      <c r="A217" s="1">
        <v>2020</v>
      </c>
      <c r="B217" s="79">
        <v>6200000</v>
      </c>
      <c r="C217" s="79">
        <v>6200000</v>
      </c>
      <c r="D217" s="79">
        <v>6200000</v>
      </c>
      <c r="E217" s="79">
        <v>6200000</v>
      </c>
      <c r="F217" s="79">
        <v>6200000</v>
      </c>
      <c r="G217" s="79">
        <v>6200000</v>
      </c>
      <c r="H217" s="79">
        <v>6200000</v>
      </c>
      <c r="I217" s="79">
        <v>6200000</v>
      </c>
      <c r="J217" s="79">
        <v>6200000</v>
      </c>
      <c r="K217" s="79">
        <v>6200000</v>
      </c>
      <c r="L217" s="79">
        <v>6200000</v>
      </c>
      <c r="M217" s="79">
        <v>6200000</v>
      </c>
      <c r="N217" s="79">
        <v>6200000</v>
      </c>
      <c r="O217" s="58">
        <f t="shared" si="0"/>
        <v>6200000</v>
      </c>
      <c r="P217" s="83">
        <v>0.03</v>
      </c>
      <c r="Q217" s="83"/>
      <c r="R217" s="56">
        <f t="shared" si="1"/>
        <v>186000</v>
      </c>
      <c r="S217" s="105">
        <f t="shared" si="5"/>
        <v>186000</v>
      </c>
    </row>
    <row r="218" spans="1:19">
      <c r="A218" s="1">
        <v>2020</v>
      </c>
      <c r="B218" s="79">
        <v>33450000</v>
      </c>
      <c r="C218" s="79">
        <v>33450000</v>
      </c>
      <c r="D218" s="79">
        <v>33450000</v>
      </c>
      <c r="E218" s="79">
        <v>33450000</v>
      </c>
      <c r="F218" s="79">
        <v>33450000</v>
      </c>
      <c r="G218" s="79">
        <v>33450000</v>
      </c>
      <c r="H218" s="79">
        <v>33450000</v>
      </c>
      <c r="I218" s="79">
        <v>33450000</v>
      </c>
      <c r="J218" s="79">
        <v>33450000</v>
      </c>
      <c r="K218" s="79">
        <v>33450000</v>
      </c>
      <c r="L218" s="79">
        <v>33450000</v>
      </c>
      <c r="M218" s="79">
        <v>33450000</v>
      </c>
      <c r="N218" s="79">
        <v>33450000</v>
      </c>
      <c r="O218" s="58">
        <f t="shared" si="0"/>
        <v>33450000</v>
      </c>
      <c r="P218" s="83">
        <v>0.05</v>
      </c>
      <c r="Q218" s="83"/>
      <c r="R218" s="56">
        <f t="shared" si="1"/>
        <v>1672500</v>
      </c>
      <c r="S218" s="105">
        <f t="shared" si="5"/>
        <v>1672500</v>
      </c>
    </row>
    <row r="219" spans="1:19">
      <c r="A219" s="1">
        <v>2021</v>
      </c>
      <c r="B219" s="79">
        <v>4035000</v>
      </c>
      <c r="C219" s="79">
        <v>4035000</v>
      </c>
      <c r="D219" s="79">
        <v>4035000</v>
      </c>
      <c r="E219" s="79">
        <v>4035000</v>
      </c>
      <c r="F219" s="79">
        <v>4035000</v>
      </c>
      <c r="G219" s="79">
        <v>4035000</v>
      </c>
      <c r="H219" s="79">
        <v>4035000</v>
      </c>
      <c r="I219" s="79">
        <v>4035000</v>
      </c>
      <c r="J219" s="79">
        <v>4035000</v>
      </c>
      <c r="K219" s="79">
        <v>4035000</v>
      </c>
      <c r="L219" s="79">
        <v>4035000</v>
      </c>
      <c r="M219" s="79">
        <v>4035000</v>
      </c>
      <c r="N219" s="79">
        <v>4035000</v>
      </c>
      <c r="O219" s="58">
        <f t="shared" si="0"/>
        <v>4035000</v>
      </c>
      <c r="P219" s="83">
        <v>0.04</v>
      </c>
      <c r="Q219" s="83"/>
      <c r="R219" s="56">
        <f t="shared" si="1"/>
        <v>161400</v>
      </c>
      <c r="S219" s="105">
        <f t="shared" si="5"/>
        <v>161400</v>
      </c>
    </row>
    <row r="220" spans="1:19">
      <c r="A220" s="1">
        <v>2021</v>
      </c>
      <c r="B220" s="79">
        <v>34485000</v>
      </c>
      <c r="C220" s="79">
        <v>34485000</v>
      </c>
      <c r="D220" s="79">
        <v>34485000</v>
      </c>
      <c r="E220" s="79">
        <v>34485000</v>
      </c>
      <c r="F220" s="79">
        <v>34485000</v>
      </c>
      <c r="G220" s="79">
        <v>34485000</v>
      </c>
      <c r="H220" s="79">
        <v>34485000</v>
      </c>
      <c r="I220" s="79">
        <v>34485000</v>
      </c>
      <c r="J220" s="79">
        <v>34485000</v>
      </c>
      <c r="K220" s="79">
        <v>34485000</v>
      </c>
      <c r="L220" s="79">
        <v>34485000</v>
      </c>
      <c r="M220" s="79">
        <v>34485000</v>
      </c>
      <c r="N220" s="79">
        <v>34485000</v>
      </c>
      <c r="O220" s="58">
        <f t="shared" si="0"/>
        <v>34485000</v>
      </c>
      <c r="P220" s="83">
        <v>0.05</v>
      </c>
      <c r="Q220" s="83"/>
      <c r="R220" s="56">
        <f t="shared" si="1"/>
        <v>1724250</v>
      </c>
      <c r="S220" s="105">
        <f t="shared" si="5"/>
        <v>1724250</v>
      </c>
    </row>
    <row r="221" spans="1:19">
      <c r="A221" s="1">
        <v>2022</v>
      </c>
      <c r="B221" s="79">
        <v>1485000</v>
      </c>
      <c r="C221" s="79">
        <v>1485000</v>
      </c>
      <c r="D221" s="79">
        <v>1485000</v>
      </c>
      <c r="E221" s="79">
        <v>1485000</v>
      </c>
      <c r="F221" s="79">
        <v>1485000</v>
      </c>
      <c r="G221" s="79">
        <v>1485000</v>
      </c>
      <c r="H221" s="79">
        <v>1485000</v>
      </c>
      <c r="I221" s="79">
        <v>1485000</v>
      </c>
      <c r="J221" s="79">
        <v>1485000</v>
      </c>
      <c r="K221" s="79">
        <v>1485000</v>
      </c>
      <c r="L221" s="79">
        <v>1485000</v>
      </c>
      <c r="M221" s="79">
        <v>1485000</v>
      </c>
      <c r="N221" s="79">
        <v>1485000</v>
      </c>
      <c r="O221" s="58">
        <f t="shared" si="0"/>
        <v>1485000</v>
      </c>
      <c r="P221" s="83">
        <v>0.02</v>
      </c>
      <c r="Q221" s="83"/>
      <c r="R221" s="56">
        <f t="shared" si="1"/>
        <v>29700</v>
      </c>
      <c r="S221" s="105">
        <f t="shared" si="5"/>
        <v>29700</v>
      </c>
    </row>
    <row r="222" spans="1:19">
      <c r="A222" s="1">
        <v>2022</v>
      </c>
      <c r="B222" s="79">
        <v>37025000</v>
      </c>
      <c r="C222" s="79">
        <v>37025000</v>
      </c>
      <c r="D222" s="79">
        <v>37025000</v>
      </c>
      <c r="E222" s="79">
        <v>37025000</v>
      </c>
      <c r="F222" s="79">
        <v>37025000</v>
      </c>
      <c r="G222" s="79">
        <v>37025000</v>
      </c>
      <c r="H222" s="79">
        <v>37025000</v>
      </c>
      <c r="I222" s="79">
        <v>37025000</v>
      </c>
      <c r="J222" s="79">
        <v>37025000</v>
      </c>
      <c r="K222" s="79">
        <v>37025000</v>
      </c>
      <c r="L222" s="79">
        <v>37025000</v>
      </c>
      <c r="M222" s="79">
        <v>37025000</v>
      </c>
      <c r="N222" s="79">
        <v>37025000</v>
      </c>
      <c r="O222" s="58">
        <f t="shared" si="0"/>
        <v>37025000</v>
      </c>
      <c r="P222" s="83">
        <v>0.05</v>
      </c>
      <c r="Q222" s="83"/>
      <c r="R222" s="56">
        <f t="shared" si="1"/>
        <v>1851250</v>
      </c>
      <c r="S222" s="105">
        <f t="shared" si="5"/>
        <v>1851250</v>
      </c>
    </row>
    <row r="223" spans="1:19">
      <c r="A223" s="1">
        <v>2023</v>
      </c>
      <c r="B223" s="79">
        <v>1550000</v>
      </c>
      <c r="C223" s="79">
        <v>1550000</v>
      </c>
      <c r="D223" s="79">
        <v>1550000</v>
      </c>
      <c r="E223" s="79">
        <v>1550000</v>
      </c>
      <c r="F223" s="79">
        <v>1550000</v>
      </c>
      <c r="G223" s="79">
        <v>1550000</v>
      </c>
      <c r="H223" s="79">
        <v>1550000</v>
      </c>
      <c r="I223" s="79">
        <v>1550000</v>
      </c>
      <c r="J223" s="79">
        <v>1550000</v>
      </c>
      <c r="K223" s="79">
        <v>1550000</v>
      </c>
      <c r="L223" s="79">
        <v>1550000</v>
      </c>
      <c r="M223" s="79">
        <v>1550000</v>
      </c>
      <c r="N223" s="79">
        <v>1550000</v>
      </c>
      <c r="O223" s="58">
        <f t="shared" si="0"/>
        <v>1550000</v>
      </c>
      <c r="P223" s="83">
        <v>0.03</v>
      </c>
      <c r="Q223" s="83"/>
      <c r="R223" s="56">
        <f t="shared" si="1"/>
        <v>46500</v>
      </c>
      <c r="S223" s="105">
        <f t="shared" si="5"/>
        <v>46500</v>
      </c>
    </row>
    <row r="224" spans="1:19">
      <c r="A224" s="1">
        <v>2023</v>
      </c>
      <c r="B224" s="79">
        <v>36325000</v>
      </c>
      <c r="C224" s="79">
        <v>36325000</v>
      </c>
      <c r="D224" s="79">
        <v>36325000</v>
      </c>
      <c r="E224" s="79">
        <v>36325000</v>
      </c>
      <c r="F224" s="79">
        <v>36325000</v>
      </c>
      <c r="G224" s="79">
        <v>36325000</v>
      </c>
      <c r="H224" s="79">
        <v>36325000</v>
      </c>
      <c r="I224" s="79">
        <v>36325000</v>
      </c>
      <c r="J224" s="79">
        <v>36325000</v>
      </c>
      <c r="K224" s="79">
        <v>36325000</v>
      </c>
      <c r="L224" s="79">
        <v>36325000</v>
      </c>
      <c r="M224" s="79">
        <v>36325000</v>
      </c>
      <c r="N224" s="79">
        <v>36325000</v>
      </c>
      <c r="O224" s="58">
        <f t="shared" si="0"/>
        <v>36325000</v>
      </c>
      <c r="P224" s="83">
        <v>0.05</v>
      </c>
      <c r="Q224" s="83"/>
      <c r="R224" s="56">
        <f t="shared" si="1"/>
        <v>1816250</v>
      </c>
      <c r="S224" s="105">
        <f t="shared" si="5"/>
        <v>1816250</v>
      </c>
    </row>
    <row r="225" spans="1:19">
      <c r="A225" s="1">
        <v>2024</v>
      </c>
      <c r="B225" s="79">
        <v>205000</v>
      </c>
      <c r="C225" s="79">
        <v>205000</v>
      </c>
      <c r="D225" s="79">
        <v>205000</v>
      </c>
      <c r="E225" s="79">
        <v>205000</v>
      </c>
      <c r="F225" s="79">
        <v>205000</v>
      </c>
      <c r="G225" s="79">
        <v>205000</v>
      </c>
      <c r="H225" s="79">
        <v>205000</v>
      </c>
      <c r="I225" s="79">
        <v>205000</v>
      </c>
      <c r="J225" s="79">
        <v>205000</v>
      </c>
      <c r="K225" s="79">
        <v>205000</v>
      </c>
      <c r="L225" s="79">
        <v>205000</v>
      </c>
      <c r="M225" s="79">
        <v>205000</v>
      </c>
      <c r="N225" s="79">
        <v>205000</v>
      </c>
      <c r="O225" s="58">
        <f t="shared" si="0"/>
        <v>205000</v>
      </c>
      <c r="P225" s="83">
        <v>2.2499999999999999E-2</v>
      </c>
      <c r="Q225" s="83"/>
      <c r="R225" s="56">
        <f t="shared" si="1"/>
        <v>4612.5</v>
      </c>
      <c r="S225" s="105">
        <f t="shared" si="5"/>
        <v>4612.5</v>
      </c>
    </row>
    <row r="226" spans="1:19">
      <c r="A226" s="1">
        <v>2024</v>
      </c>
      <c r="B226" s="79">
        <v>36420000</v>
      </c>
      <c r="C226" s="79">
        <v>36420000</v>
      </c>
      <c r="D226" s="79">
        <v>36420000</v>
      </c>
      <c r="E226" s="79">
        <v>36420000</v>
      </c>
      <c r="F226" s="79">
        <v>36420000</v>
      </c>
      <c r="G226" s="79">
        <v>36420000</v>
      </c>
      <c r="H226" s="79">
        <v>36420000</v>
      </c>
      <c r="I226" s="79">
        <v>36420000</v>
      </c>
      <c r="J226" s="79">
        <v>36420000</v>
      </c>
      <c r="K226" s="79">
        <v>36420000</v>
      </c>
      <c r="L226" s="79">
        <v>36420000</v>
      </c>
      <c r="M226" s="79">
        <v>36420000</v>
      </c>
      <c r="N226" s="79">
        <v>36420000</v>
      </c>
      <c r="O226" s="58">
        <f t="shared" si="0"/>
        <v>36420000</v>
      </c>
      <c r="P226" s="83">
        <v>0.05</v>
      </c>
      <c r="Q226" s="83"/>
      <c r="R226" s="56">
        <f t="shared" si="1"/>
        <v>1821000</v>
      </c>
      <c r="S226" s="105">
        <f t="shared" si="5"/>
        <v>1821000</v>
      </c>
    </row>
    <row r="227" spans="1:19">
      <c r="A227" s="1">
        <v>2025</v>
      </c>
      <c r="B227" s="79">
        <v>36580000</v>
      </c>
      <c r="C227" s="79">
        <v>36580000</v>
      </c>
      <c r="D227" s="79">
        <v>36580000</v>
      </c>
      <c r="E227" s="79">
        <v>36580000</v>
      </c>
      <c r="F227" s="79">
        <v>36580000</v>
      </c>
      <c r="G227" s="79">
        <v>36580000</v>
      </c>
      <c r="H227" s="79">
        <v>36580000</v>
      </c>
      <c r="I227" s="79">
        <v>36580000</v>
      </c>
      <c r="J227" s="79">
        <v>36580000</v>
      </c>
      <c r="K227" s="79">
        <v>36580000</v>
      </c>
      <c r="L227" s="79">
        <v>36580000</v>
      </c>
      <c r="M227" s="79">
        <v>36580000</v>
      </c>
      <c r="N227" s="79">
        <v>36580000</v>
      </c>
      <c r="O227" s="58">
        <f t="shared" si="0"/>
        <v>36580000</v>
      </c>
      <c r="P227" s="83">
        <v>0.05</v>
      </c>
      <c r="Q227" s="83"/>
      <c r="R227" s="56">
        <f t="shared" si="1"/>
        <v>1829000</v>
      </c>
      <c r="S227" s="105">
        <f t="shared" si="5"/>
        <v>1829000</v>
      </c>
    </row>
    <row r="228" spans="1:19">
      <c r="A228" s="1">
        <v>2026</v>
      </c>
      <c r="B228" s="79">
        <v>35025000</v>
      </c>
      <c r="C228" s="79">
        <v>35025000</v>
      </c>
      <c r="D228" s="79">
        <v>35025000</v>
      </c>
      <c r="E228" s="79">
        <v>35025000</v>
      </c>
      <c r="F228" s="79">
        <v>35025000</v>
      </c>
      <c r="G228" s="79">
        <v>35025000</v>
      </c>
      <c r="H228" s="79">
        <v>35025000</v>
      </c>
      <c r="I228" s="79">
        <v>35025000</v>
      </c>
      <c r="J228" s="79">
        <v>35025000</v>
      </c>
      <c r="K228" s="79">
        <v>35025000</v>
      </c>
      <c r="L228" s="79">
        <v>35025000</v>
      </c>
      <c r="M228" s="79">
        <v>35025000</v>
      </c>
      <c r="N228" s="79">
        <v>35025000</v>
      </c>
      <c r="O228" s="58">
        <f t="shared" si="0"/>
        <v>35025000</v>
      </c>
      <c r="P228" s="83">
        <v>0.05</v>
      </c>
      <c r="Q228" s="83"/>
      <c r="R228" s="56">
        <f t="shared" si="1"/>
        <v>1751250</v>
      </c>
      <c r="S228" s="105">
        <f t="shared" si="5"/>
        <v>1751250</v>
      </c>
    </row>
    <row r="229" spans="1:19">
      <c r="A229" s="1">
        <v>2027</v>
      </c>
      <c r="B229" s="79">
        <v>32145000</v>
      </c>
      <c r="C229" s="79">
        <v>32145000</v>
      </c>
      <c r="D229" s="79">
        <v>32145000</v>
      </c>
      <c r="E229" s="79">
        <v>32145000</v>
      </c>
      <c r="F229" s="79">
        <v>32145000</v>
      </c>
      <c r="G229" s="79">
        <v>32145000</v>
      </c>
      <c r="H229" s="79">
        <v>32145000</v>
      </c>
      <c r="I229" s="79">
        <v>32145000</v>
      </c>
      <c r="J229" s="79">
        <v>32145000</v>
      </c>
      <c r="K229" s="79">
        <v>32145000</v>
      </c>
      <c r="L229" s="79">
        <v>32145000</v>
      </c>
      <c r="M229" s="79">
        <v>32145000</v>
      </c>
      <c r="N229" s="79">
        <v>32145000</v>
      </c>
      <c r="O229" s="58">
        <f t="shared" si="0"/>
        <v>32145000</v>
      </c>
      <c r="P229" s="83">
        <v>0.05</v>
      </c>
      <c r="Q229" s="83"/>
      <c r="R229" s="56">
        <f t="shared" si="1"/>
        <v>1607250</v>
      </c>
      <c r="S229" s="105">
        <f t="shared" si="5"/>
        <v>1607250</v>
      </c>
    </row>
    <row r="230" spans="1:19">
      <c r="A230" s="1">
        <v>2028</v>
      </c>
      <c r="B230" s="79">
        <v>32105000</v>
      </c>
      <c r="C230" s="79">
        <v>32105000</v>
      </c>
      <c r="D230" s="79">
        <v>32105000</v>
      </c>
      <c r="E230" s="79">
        <v>32105000</v>
      </c>
      <c r="F230" s="79">
        <v>32105000</v>
      </c>
      <c r="G230" s="79">
        <v>32105000</v>
      </c>
      <c r="H230" s="79">
        <v>32105000</v>
      </c>
      <c r="I230" s="79">
        <v>32105000</v>
      </c>
      <c r="J230" s="79">
        <v>32105000</v>
      </c>
      <c r="K230" s="79">
        <v>32105000</v>
      </c>
      <c r="L230" s="79">
        <v>32105000</v>
      </c>
      <c r="M230" s="79">
        <v>32105000</v>
      </c>
      <c r="N230" s="79">
        <v>32105000</v>
      </c>
      <c r="O230" s="58">
        <f t="shared" si="0"/>
        <v>32105000</v>
      </c>
      <c r="P230" s="83">
        <v>0.05</v>
      </c>
      <c r="Q230" s="83"/>
      <c r="R230" s="56">
        <f t="shared" si="1"/>
        <v>1605250</v>
      </c>
      <c r="S230" s="105">
        <f t="shared" si="5"/>
        <v>1605250</v>
      </c>
    </row>
    <row r="231" spans="1:19">
      <c r="A231" s="1">
        <v>2029</v>
      </c>
      <c r="B231" s="79">
        <v>29270000</v>
      </c>
      <c r="C231" s="79">
        <v>29270000</v>
      </c>
      <c r="D231" s="79">
        <v>29270000</v>
      </c>
      <c r="E231" s="79">
        <v>29270000</v>
      </c>
      <c r="F231" s="79">
        <v>29270000</v>
      </c>
      <c r="G231" s="79">
        <v>29270000</v>
      </c>
      <c r="H231" s="79">
        <v>29270000</v>
      </c>
      <c r="I231" s="79">
        <v>29270000</v>
      </c>
      <c r="J231" s="79">
        <v>29270000</v>
      </c>
      <c r="K231" s="79">
        <v>29270000</v>
      </c>
      <c r="L231" s="79">
        <v>29270000</v>
      </c>
      <c r="M231" s="79">
        <v>29270000</v>
      </c>
      <c r="N231" s="79">
        <v>29270000</v>
      </c>
      <c r="O231" s="58">
        <f t="shared" si="0"/>
        <v>29270000</v>
      </c>
      <c r="P231" s="83">
        <v>0.05</v>
      </c>
      <c r="Q231" s="83"/>
      <c r="R231" s="56">
        <f t="shared" si="1"/>
        <v>1463500</v>
      </c>
      <c r="S231" s="105">
        <f t="shared" si="5"/>
        <v>1463500</v>
      </c>
    </row>
    <row r="232" spans="1:19">
      <c r="A232" s="1">
        <v>2030</v>
      </c>
      <c r="B232" s="79">
        <v>625000</v>
      </c>
      <c r="C232" s="79">
        <v>625000</v>
      </c>
      <c r="D232" s="79">
        <v>625000</v>
      </c>
      <c r="E232" s="79">
        <v>625000</v>
      </c>
      <c r="F232" s="79">
        <v>625000</v>
      </c>
      <c r="G232" s="79">
        <v>625000</v>
      </c>
      <c r="H232" s="79">
        <v>625000</v>
      </c>
      <c r="I232" s="79">
        <v>625000</v>
      </c>
      <c r="J232" s="79">
        <v>625000</v>
      </c>
      <c r="K232" s="79">
        <v>625000</v>
      </c>
      <c r="L232" s="79">
        <v>625000</v>
      </c>
      <c r="M232" s="79">
        <v>625000</v>
      </c>
      <c r="N232" s="79">
        <v>625000</v>
      </c>
      <c r="O232" s="58">
        <f t="shared" si="0"/>
        <v>625000</v>
      </c>
      <c r="P232" s="83">
        <v>0.03</v>
      </c>
      <c r="Q232" s="83"/>
      <c r="R232" s="56">
        <f t="shared" si="1"/>
        <v>18750</v>
      </c>
      <c r="S232" s="105">
        <f t="shared" si="5"/>
        <v>18750</v>
      </c>
    </row>
    <row r="233" spans="1:19">
      <c r="A233" s="1">
        <v>2030</v>
      </c>
      <c r="B233" s="79">
        <v>16125000</v>
      </c>
      <c r="C233" s="79">
        <v>16125000</v>
      </c>
      <c r="D233" s="79">
        <v>16125000</v>
      </c>
      <c r="E233" s="79">
        <v>16125000</v>
      </c>
      <c r="F233" s="79">
        <v>16125000</v>
      </c>
      <c r="G233" s="79">
        <v>16125000</v>
      </c>
      <c r="H233" s="79">
        <v>16125000</v>
      </c>
      <c r="I233" s="79">
        <v>16125000</v>
      </c>
      <c r="J233" s="79">
        <v>16125000</v>
      </c>
      <c r="K233" s="79">
        <v>16125000</v>
      </c>
      <c r="L233" s="79">
        <v>16125000</v>
      </c>
      <c r="M233" s="79">
        <v>16125000</v>
      </c>
      <c r="N233" s="79">
        <v>16125000</v>
      </c>
      <c r="O233" s="58">
        <f t="shared" si="0"/>
        <v>16125000</v>
      </c>
      <c r="P233" s="83">
        <v>0.05</v>
      </c>
      <c r="Q233" s="83"/>
      <c r="R233" s="56">
        <f t="shared" si="1"/>
        <v>806250</v>
      </c>
      <c r="S233" s="105">
        <f t="shared" si="5"/>
        <v>806250</v>
      </c>
    </row>
    <row r="234" spans="1:19">
      <c r="A234" s="78">
        <v>2031</v>
      </c>
      <c r="B234" s="80">
        <v>1890000</v>
      </c>
      <c r="C234" s="80">
        <v>1890000</v>
      </c>
      <c r="D234" s="80">
        <v>1890000</v>
      </c>
      <c r="E234" s="80">
        <v>1890000</v>
      </c>
      <c r="F234" s="80">
        <v>1890000</v>
      </c>
      <c r="G234" s="80">
        <v>1890000</v>
      </c>
      <c r="H234" s="80">
        <v>1890000</v>
      </c>
      <c r="I234" s="80">
        <v>1890000</v>
      </c>
      <c r="J234" s="80">
        <v>1890000</v>
      </c>
      <c r="K234" s="80">
        <v>1890000</v>
      </c>
      <c r="L234" s="80">
        <v>1890000</v>
      </c>
      <c r="M234" s="80">
        <v>1890000</v>
      </c>
      <c r="N234" s="80">
        <v>1890000</v>
      </c>
      <c r="O234" s="82">
        <f t="shared" si="0"/>
        <v>1890000</v>
      </c>
      <c r="P234" s="84">
        <v>0.03</v>
      </c>
      <c r="Q234" s="84"/>
      <c r="R234" s="81">
        <f t="shared" si="1"/>
        <v>56700</v>
      </c>
      <c r="S234" s="81">
        <f t="shared" si="5"/>
        <v>56700</v>
      </c>
    </row>
    <row r="235" spans="1:19">
      <c r="A235" t="s">
        <v>215</v>
      </c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8"/>
      <c r="P235" s="57"/>
      <c r="Q235" s="57">
        <v>3.347E-2</v>
      </c>
      <c r="R235" s="56"/>
    </row>
    <row r="236" spans="1:19">
      <c r="A236" s="1">
        <v>2017</v>
      </c>
      <c r="B236" s="79">
        <v>5000000</v>
      </c>
      <c r="C236" s="79">
        <v>5000000</v>
      </c>
      <c r="D236" s="79">
        <v>5000000</v>
      </c>
      <c r="E236" s="79">
        <v>5000000</v>
      </c>
      <c r="F236" s="79">
        <v>5000000</v>
      </c>
      <c r="G236" s="79">
        <v>5000000</v>
      </c>
      <c r="H236" s="79">
        <v>5000000</v>
      </c>
      <c r="I236" s="79">
        <v>5000000</v>
      </c>
      <c r="J236" s="79">
        <v>5000000</v>
      </c>
      <c r="K236" s="79">
        <v>5000000</v>
      </c>
      <c r="L236" s="79">
        <v>5000000</v>
      </c>
      <c r="M236" s="79">
        <v>5000000</v>
      </c>
      <c r="N236" s="79">
        <v>5000000</v>
      </c>
      <c r="O236" s="58">
        <f t="shared" si="0"/>
        <v>5000000</v>
      </c>
      <c r="P236" s="85">
        <v>0.03</v>
      </c>
      <c r="Q236" s="85"/>
      <c r="R236" s="56">
        <f t="shared" si="1"/>
        <v>150000</v>
      </c>
      <c r="S236" s="105">
        <f t="shared" si="5"/>
        <v>150000</v>
      </c>
    </row>
    <row r="237" spans="1:19">
      <c r="A237" s="1">
        <v>2017</v>
      </c>
      <c r="B237" s="79">
        <v>7530000</v>
      </c>
      <c r="C237" s="79">
        <v>7530000</v>
      </c>
      <c r="D237" s="79">
        <v>7530000</v>
      </c>
      <c r="E237" s="79">
        <v>7530000</v>
      </c>
      <c r="F237" s="79">
        <v>7530000</v>
      </c>
      <c r="G237" s="79">
        <v>7530000</v>
      </c>
      <c r="H237" s="79">
        <v>7530000</v>
      </c>
      <c r="I237" s="79">
        <v>7530000</v>
      </c>
      <c r="J237" s="79">
        <v>7530000</v>
      </c>
      <c r="K237" s="79">
        <v>7530000</v>
      </c>
      <c r="L237" s="79">
        <v>7530000</v>
      </c>
      <c r="M237" s="79">
        <v>7530000</v>
      </c>
      <c r="N237" s="79">
        <v>7530000</v>
      </c>
      <c r="O237" s="58">
        <f t="shared" si="0"/>
        <v>7530000</v>
      </c>
      <c r="P237" s="85">
        <v>0.04</v>
      </c>
      <c r="Q237" s="85"/>
      <c r="R237" s="56">
        <f t="shared" si="1"/>
        <v>301200</v>
      </c>
      <c r="S237" s="105">
        <f t="shared" si="5"/>
        <v>301200</v>
      </c>
    </row>
    <row r="238" spans="1:19">
      <c r="A238" s="1">
        <v>2017</v>
      </c>
      <c r="B238" s="79">
        <v>12535000</v>
      </c>
      <c r="C238" s="79">
        <v>12535000</v>
      </c>
      <c r="D238" s="79">
        <v>12535000</v>
      </c>
      <c r="E238" s="79">
        <v>12535000</v>
      </c>
      <c r="F238" s="79">
        <v>12535000</v>
      </c>
      <c r="G238" s="79">
        <v>12535000</v>
      </c>
      <c r="H238" s="79">
        <v>12535000</v>
      </c>
      <c r="I238" s="79">
        <v>12535000</v>
      </c>
      <c r="J238" s="79">
        <v>12535000</v>
      </c>
      <c r="K238" s="79">
        <v>12535000</v>
      </c>
      <c r="L238" s="79">
        <v>12535000</v>
      </c>
      <c r="M238" s="79">
        <v>12535000</v>
      </c>
      <c r="N238" s="79">
        <v>12535000</v>
      </c>
      <c r="O238" s="58">
        <f t="shared" si="0"/>
        <v>12535000</v>
      </c>
      <c r="P238" s="85">
        <v>0.05</v>
      </c>
      <c r="Q238" s="85"/>
      <c r="R238" s="56">
        <f t="shared" si="1"/>
        <v>626750</v>
      </c>
      <c r="S238" s="105">
        <f t="shared" si="5"/>
        <v>626750</v>
      </c>
    </row>
    <row r="239" spans="1:19">
      <c r="A239" s="1">
        <v>2018</v>
      </c>
      <c r="B239" s="79">
        <v>7700000</v>
      </c>
      <c r="C239" s="79">
        <v>7700000</v>
      </c>
      <c r="D239" s="79">
        <v>7700000</v>
      </c>
      <c r="E239" s="79">
        <v>7700000</v>
      </c>
      <c r="F239" s="79">
        <v>7700000</v>
      </c>
      <c r="G239" s="79">
        <v>7700000</v>
      </c>
      <c r="H239" s="79">
        <v>7700000</v>
      </c>
      <c r="I239" s="79">
        <v>7700000</v>
      </c>
      <c r="J239" s="79">
        <v>7700000</v>
      </c>
      <c r="K239" s="79">
        <v>7700000</v>
      </c>
      <c r="L239" s="79">
        <v>7700000</v>
      </c>
      <c r="M239" s="79">
        <v>7700000</v>
      </c>
      <c r="N239" s="79">
        <v>7700000</v>
      </c>
      <c r="O239" s="58">
        <f t="shared" si="0"/>
        <v>7700000</v>
      </c>
      <c r="P239" s="85">
        <v>0.05</v>
      </c>
      <c r="Q239" s="85"/>
      <c r="R239" s="56">
        <f t="shared" si="1"/>
        <v>385000</v>
      </c>
      <c r="S239" s="105">
        <f t="shared" si="5"/>
        <v>385000</v>
      </c>
    </row>
    <row r="240" spans="1:19">
      <c r="A240" s="1">
        <v>2019</v>
      </c>
      <c r="B240" s="79">
        <v>3905000</v>
      </c>
      <c r="C240" s="79">
        <v>3905000</v>
      </c>
      <c r="D240" s="79">
        <v>3905000</v>
      </c>
      <c r="E240" s="79">
        <v>3905000</v>
      </c>
      <c r="F240" s="79">
        <v>3905000</v>
      </c>
      <c r="G240" s="79">
        <v>3905000</v>
      </c>
      <c r="H240" s="79">
        <v>3905000</v>
      </c>
      <c r="I240" s="79">
        <v>3905000</v>
      </c>
      <c r="J240" s="79">
        <v>3905000</v>
      </c>
      <c r="K240" s="79">
        <v>3905000</v>
      </c>
      <c r="L240" s="79">
        <v>3905000</v>
      </c>
      <c r="M240" s="79">
        <v>3905000</v>
      </c>
      <c r="N240" s="79">
        <v>3905000</v>
      </c>
      <c r="O240" s="58">
        <f t="shared" si="0"/>
        <v>3905000</v>
      </c>
      <c r="P240" s="85">
        <v>0.05</v>
      </c>
      <c r="Q240" s="85"/>
      <c r="R240" s="56">
        <f t="shared" si="1"/>
        <v>195250</v>
      </c>
      <c r="S240" s="105">
        <f t="shared" si="5"/>
        <v>195250</v>
      </c>
    </row>
    <row r="241" spans="1:19">
      <c r="A241" s="1">
        <v>2020</v>
      </c>
      <c r="B241" s="79">
        <v>9460000</v>
      </c>
      <c r="C241" s="79">
        <v>9460000</v>
      </c>
      <c r="D241" s="79">
        <v>9460000</v>
      </c>
      <c r="E241" s="79">
        <v>9460000</v>
      </c>
      <c r="F241" s="79">
        <v>9460000</v>
      </c>
      <c r="G241" s="79">
        <v>9460000</v>
      </c>
      <c r="H241" s="79">
        <v>9460000</v>
      </c>
      <c r="I241" s="79">
        <v>9460000</v>
      </c>
      <c r="J241" s="79">
        <v>9460000</v>
      </c>
      <c r="K241" s="79">
        <v>9460000</v>
      </c>
      <c r="L241" s="79">
        <v>9460000</v>
      </c>
      <c r="M241" s="79">
        <v>9460000</v>
      </c>
      <c r="N241" s="79">
        <v>9460000</v>
      </c>
      <c r="O241" s="58">
        <f t="shared" si="0"/>
        <v>9460000</v>
      </c>
      <c r="P241" s="85">
        <v>0.05</v>
      </c>
      <c r="Q241" s="85"/>
      <c r="R241" s="56">
        <f t="shared" si="1"/>
        <v>473000</v>
      </c>
      <c r="S241" s="105">
        <f t="shared" si="5"/>
        <v>473000</v>
      </c>
    </row>
    <row r="242" spans="1:19">
      <c r="A242" s="1">
        <v>2021</v>
      </c>
      <c r="B242" s="79">
        <v>5985000</v>
      </c>
      <c r="C242" s="79">
        <v>5985000</v>
      </c>
      <c r="D242" s="79">
        <v>5985000</v>
      </c>
      <c r="E242" s="79">
        <v>5985000</v>
      </c>
      <c r="F242" s="79">
        <v>5985000</v>
      </c>
      <c r="G242" s="79">
        <v>5985000</v>
      </c>
      <c r="H242" s="79">
        <v>5985000</v>
      </c>
      <c r="I242" s="79">
        <v>5985000</v>
      </c>
      <c r="J242" s="79">
        <v>5985000</v>
      </c>
      <c r="K242" s="79">
        <v>5985000</v>
      </c>
      <c r="L242" s="79">
        <v>5985000</v>
      </c>
      <c r="M242" s="79">
        <v>5985000</v>
      </c>
      <c r="N242" s="79">
        <v>5985000</v>
      </c>
      <c r="O242" s="58">
        <f t="shared" si="0"/>
        <v>5985000</v>
      </c>
      <c r="P242" s="85">
        <v>0.04</v>
      </c>
      <c r="Q242" s="85"/>
      <c r="R242" s="56">
        <f t="shared" si="1"/>
        <v>239400</v>
      </c>
      <c r="S242" s="105">
        <f t="shared" si="5"/>
        <v>239400</v>
      </c>
    </row>
    <row r="243" spans="1:19">
      <c r="A243" s="1">
        <v>2021</v>
      </c>
      <c r="B243" s="79">
        <v>900000</v>
      </c>
      <c r="C243" s="79">
        <v>900000</v>
      </c>
      <c r="D243" s="79">
        <v>900000</v>
      </c>
      <c r="E243" s="79">
        <v>900000</v>
      </c>
      <c r="F243" s="79">
        <v>900000</v>
      </c>
      <c r="G243" s="79">
        <v>900000</v>
      </c>
      <c r="H243" s="79">
        <v>900000</v>
      </c>
      <c r="I243" s="79">
        <v>900000</v>
      </c>
      <c r="J243" s="79">
        <v>900000</v>
      </c>
      <c r="K243" s="79">
        <v>900000</v>
      </c>
      <c r="L243" s="79">
        <v>900000</v>
      </c>
      <c r="M243" s="79">
        <v>900000</v>
      </c>
      <c r="N243" s="79">
        <v>900000</v>
      </c>
      <c r="O243" s="58">
        <f t="shared" si="0"/>
        <v>900000</v>
      </c>
      <c r="P243" s="85">
        <v>0.05</v>
      </c>
      <c r="Q243" s="85"/>
      <c r="R243" s="56">
        <f t="shared" si="1"/>
        <v>45000</v>
      </c>
      <c r="S243" s="105">
        <f t="shared" si="5"/>
        <v>45000</v>
      </c>
    </row>
    <row r="244" spans="1:19">
      <c r="A244" s="1">
        <v>2022</v>
      </c>
      <c r="B244" s="79">
        <v>11660000</v>
      </c>
      <c r="C244" s="79">
        <v>11660000</v>
      </c>
      <c r="D244" s="79">
        <v>11660000</v>
      </c>
      <c r="E244" s="79">
        <v>11660000</v>
      </c>
      <c r="F244" s="79">
        <v>11660000</v>
      </c>
      <c r="G244" s="79">
        <v>11660000</v>
      </c>
      <c r="H244" s="79">
        <v>11660000</v>
      </c>
      <c r="I244" s="79">
        <v>11660000</v>
      </c>
      <c r="J244" s="79">
        <v>11660000</v>
      </c>
      <c r="K244" s="79">
        <v>11660000</v>
      </c>
      <c r="L244" s="79">
        <v>11660000</v>
      </c>
      <c r="M244" s="79">
        <v>11660000</v>
      </c>
      <c r="N244" s="79">
        <v>11660000</v>
      </c>
      <c r="O244" s="58">
        <f t="shared" si="0"/>
        <v>11660000</v>
      </c>
      <c r="P244" s="85">
        <v>0.05</v>
      </c>
      <c r="Q244" s="85"/>
      <c r="R244" s="56">
        <f t="shared" si="1"/>
        <v>583000</v>
      </c>
      <c r="S244" s="105">
        <f t="shared" si="5"/>
        <v>583000</v>
      </c>
    </row>
    <row r="245" spans="1:19">
      <c r="A245" s="1">
        <v>2023</v>
      </c>
      <c r="B245" s="79">
        <v>17335000</v>
      </c>
      <c r="C245" s="79">
        <v>17335000</v>
      </c>
      <c r="D245" s="79">
        <v>17335000</v>
      </c>
      <c r="E245" s="79">
        <v>17335000</v>
      </c>
      <c r="F245" s="79">
        <v>17335000</v>
      </c>
      <c r="G245" s="79">
        <v>17335000</v>
      </c>
      <c r="H245" s="79">
        <v>17335000</v>
      </c>
      <c r="I245" s="79">
        <v>17335000</v>
      </c>
      <c r="J245" s="79">
        <v>17335000</v>
      </c>
      <c r="K245" s="79">
        <v>17335000</v>
      </c>
      <c r="L245" s="79">
        <v>17335000</v>
      </c>
      <c r="M245" s="79">
        <v>17335000</v>
      </c>
      <c r="N245" s="79">
        <v>17335000</v>
      </c>
      <c r="O245" s="58">
        <f t="shared" si="0"/>
        <v>17335000</v>
      </c>
      <c r="P245" s="85">
        <v>0.05</v>
      </c>
      <c r="Q245" s="85"/>
      <c r="R245" s="56">
        <f t="shared" si="1"/>
        <v>866750</v>
      </c>
      <c r="S245" s="105">
        <f t="shared" si="5"/>
        <v>866750</v>
      </c>
    </row>
    <row r="246" spans="1:19">
      <c r="A246" s="1">
        <v>2024</v>
      </c>
      <c r="B246" s="79">
        <v>18565000</v>
      </c>
      <c r="C246" s="79">
        <v>18565000</v>
      </c>
      <c r="D246" s="79">
        <v>18565000</v>
      </c>
      <c r="E246" s="79">
        <v>18565000</v>
      </c>
      <c r="F246" s="79">
        <v>18565000</v>
      </c>
      <c r="G246" s="79">
        <v>18565000</v>
      </c>
      <c r="H246" s="79">
        <v>18565000</v>
      </c>
      <c r="I246" s="79">
        <v>18565000</v>
      </c>
      <c r="J246" s="79">
        <v>18565000</v>
      </c>
      <c r="K246" s="79">
        <v>18565000</v>
      </c>
      <c r="L246" s="79">
        <v>18565000</v>
      </c>
      <c r="M246" s="79">
        <v>18565000</v>
      </c>
      <c r="N246" s="79">
        <v>18565000</v>
      </c>
      <c r="O246" s="58">
        <f t="shared" si="0"/>
        <v>18565000</v>
      </c>
      <c r="P246" s="85">
        <v>0.05</v>
      </c>
      <c r="Q246" s="85"/>
      <c r="R246" s="56">
        <f t="shared" si="1"/>
        <v>928250</v>
      </c>
      <c r="S246" s="105">
        <f t="shared" si="5"/>
        <v>928250</v>
      </c>
    </row>
    <row r="247" spans="1:19">
      <c r="A247" s="1">
        <v>2025</v>
      </c>
      <c r="B247" s="79">
        <v>26820000</v>
      </c>
      <c r="C247" s="79">
        <v>26820000</v>
      </c>
      <c r="D247" s="79">
        <v>26820000</v>
      </c>
      <c r="E247" s="79">
        <v>26820000</v>
      </c>
      <c r="F247" s="79">
        <v>26820000</v>
      </c>
      <c r="G247" s="79">
        <v>26820000</v>
      </c>
      <c r="H247" s="79">
        <v>26820000</v>
      </c>
      <c r="I247" s="79">
        <v>26820000</v>
      </c>
      <c r="J247" s="79">
        <v>26820000</v>
      </c>
      <c r="K247" s="79">
        <v>26820000</v>
      </c>
      <c r="L247" s="79">
        <v>26820000</v>
      </c>
      <c r="M247" s="79">
        <v>26820000</v>
      </c>
      <c r="N247" s="79">
        <v>26820000</v>
      </c>
      <c r="O247" s="58">
        <f t="shared" si="0"/>
        <v>26820000</v>
      </c>
      <c r="P247" s="85">
        <v>0.05</v>
      </c>
      <c r="Q247" s="85"/>
      <c r="R247" s="56">
        <f t="shared" si="1"/>
        <v>1341000</v>
      </c>
      <c r="S247" s="105">
        <f t="shared" si="5"/>
        <v>1341000</v>
      </c>
    </row>
    <row r="248" spans="1:19">
      <c r="A248" s="1">
        <v>2025</v>
      </c>
      <c r="B248" s="79">
        <v>505000</v>
      </c>
      <c r="C248" s="79">
        <v>505000</v>
      </c>
      <c r="D248" s="79">
        <v>505000</v>
      </c>
      <c r="E248" s="79">
        <v>505000</v>
      </c>
      <c r="F248" s="79">
        <v>505000</v>
      </c>
      <c r="G248" s="79">
        <v>505000</v>
      </c>
      <c r="H248" s="79">
        <v>505000</v>
      </c>
      <c r="I248" s="79">
        <v>505000</v>
      </c>
      <c r="J248" s="79">
        <v>505000</v>
      </c>
      <c r="K248" s="79">
        <v>505000</v>
      </c>
      <c r="L248" s="79">
        <v>505000</v>
      </c>
      <c r="M248" s="79">
        <v>505000</v>
      </c>
      <c r="N248" s="79">
        <v>505000</v>
      </c>
      <c r="O248" s="58">
        <f t="shared" si="0"/>
        <v>505000</v>
      </c>
      <c r="P248" s="85">
        <v>0.05</v>
      </c>
      <c r="Q248" s="85"/>
      <c r="R248" s="56">
        <f t="shared" si="1"/>
        <v>25250</v>
      </c>
      <c r="S248" s="105">
        <f t="shared" si="5"/>
        <v>25250</v>
      </c>
    </row>
    <row r="249" spans="1:19">
      <c r="A249" s="1">
        <v>2026</v>
      </c>
      <c r="B249" s="79">
        <v>16315000</v>
      </c>
      <c r="C249" s="79">
        <v>16315000</v>
      </c>
      <c r="D249" s="79">
        <v>16315000</v>
      </c>
      <c r="E249" s="79">
        <v>16315000</v>
      </c>
      <c r="F249" s="79">
        <v>16315000</v>
      </c>
      <c r="G249" s="79">
        <v>16315000</v>
      </c>
      <c r="H249" s="79">
        <v>16315000</v>
      </c>
      <c r="I249" s="79">
        <v>16315000</v>
      </c>
      <c r="J249" s="79">
        <v>16315000</v>
      </c>
      <c r="K249" s="79">
        <v>16315000</v>
      </c>
      <c r="L249" s="79">
        <v>16315000</v>
      </c>
      <c r="M249" s="79">
        <v>16315000</v>
      </c>
      <c r="N249" s="79">
        <v>16315000</v>
      </c>
      <c r="O249" s="58">
        <f t="shared" si="0"/>
        <v>16315000</v>
      </c>
      <c r="P249" s="85">
        <v>0.05</v>
      </c>
      <c r="Q249" s="85"/>
      <c r="R249" s="56">
        <f t="shared" si="1"/>
        <v>815750</v>
      </c>
      <c r="S249" s="105">
        <f t="shared" si="5"/>
        <v>815750</v>
      </c>
    </row>
    <row r="250" spans="1:19">
      <c r="A250" s="1">
        <v>2026</v>
      </c>
      <c r="B250" s="79">
        <v>13970000</v>
      </c>
      <c r="C250" s="79">
        <v>13970000</v>
      </c>
      <c r="D250" s="79">
        <v>13970000</v>
      </c>
      <c r="E250" s="79">
        <v>13970000</v>
      </c>
      <c r="F250" s="79">
        <v>13970000</v>
      </c>
      <c r="G250" s="79">
        <v>13970000</v>
      </c>
      <c r="H250" s="79">
        <v>13970000</v>
      </c>
      <c r="I250" s="79">
        <v>13970000</v>
      </c>
      <c r="J250" s="79">
        <v>13970000</v>
      </c>
      <c r="K250" s="79">
        <v>13970000</v>
      </c>
      <c r="L250" s="79">
        <v>13970000</v>
      </c>
      <c r="M250" s="79">
        <v>13970000</v>
      </c>
      <c r="N250" s="79">
        <v>13970000</v>
      </c>
      <c r="O250" s="58">
        <f t="shared" si="0"/>
        <v>13970000</v>
      </c>
      <c r="P250" s="85">
        <v>0.05</v>
      </c>
      <c r="Q250" s="85"/>
      <c r="R250" s="56">
        <f t="shared" si="1"/>
        <v>698500</v>
      </c>
      <c r="S250" s="105">
        <f t="shared" si="5"/>
        <v>698500</v>
      </c>
    </row>
    <row r="251" spans="1:19">
      <c r="A251" s="1">
        <v>2027</v>
      </c>
      <c r="B251" s="79">
        <v>21520000</v>
      </c>
      <c r="C251" s="79">
        <v>21520000</v>
      </c>
      <c r="D251" s="79">
        <v>21520000</v>
      </c>
      <c r="E251" s="79">
        <v>21520000</v>
      </c>
      <c r="F251" s="79">
        <v>21520000</v>
      </c>
      <c r="G251" s="79">
        <v>21520000</v>
      </c>
      <c r="H251" s="79">
        <v>21520000</v>
      </c>
      <c r="I251" s="79">
        <v>21520000</v>
      </c>
      <c r="J251" s="79">
        <v>21520000</v>
      </c>
      <c r="K251" s="79">
        <v>21520000</v>
      </c>
      <c r="L251" s="79">
        <v>21520000</v>
      </c>
      <c r="M251" s="79">
        <v>21520000</v>
      </c>
      <c r="N251" s="79">
        <v>21520000</v>
      </c>
      <c r="O251" s="58">
        <f t="shared" si="0"/>
        <v>21520000</v>
      </c>
      <c r="P251" s="85">
        <v>0.05</v>
      </c>
      <c r="Q251" s="85"/>
      <c r="R251" s="56">
        <f t="shared" si="1"/>
        <v>1076000</v>
      </c>
      <c r="S251" s="105">
        <f t="shared" si="5"/>
        <v>1076000</v>
      </c>
    </row>
    <row r="252" spans="1:19">
      <c r="A252" s="1">
        <v>2028</v>
      </c>
      <c r="B252" s="79">
        <v>955000</v>
      </c>
      <c r="C252" s="79">
        <v>955000</v>
      </c>
      <c r="D252" s="79">
        <v>955000</v>
      </c>
      <c r="E252" s="79">
        <v>955000</v>
      </c>
      <c r="F252" s="79">
        <v>955000</v>
      </c>
      <c r="G252" s="79">
        <v>955000</v>
      </c>
      <c r="H252" s="79">
        <v>955000</v>
      </c>
      <c r="I252" s="79">
        <v>955000</v>
      </c>
      <c r="J252" s="79">
        <v>955000</v>
      </c>
      <c r="K252" s="79">
        <v>955000</v>
      </c>
      <c r="L252" s="79">
        <v>955000</v>
      </c>
      <c r="M252" s="79">
        <v>955000</v>
      </c>
      <c r="N252" s="79">
        <v>955000</v>
      </c>
      <c r="O252" s="58">
        <f t="shared" si="0"/>
        <v>955000</v>
      </c>
      <c r="P252" s="85">
        <v>0.03</v>
      </c>
      <c r="Q252" s="85"/>
      <c r="R252" s="56">
        <f t="shared" si="1"/>
        <v>28650</v>
      </c>
      <c r="S252" s="105">
        <f t="shared" si="5"/>
        <v>28650</v>
      </c>
    </row>
    <row r="253" spans="1:19">
      <c r="A253" s="1">
        <v>2028</v>
      </c>
      <c r="B253" s="79">
        <v>53080000</v>
      </c>
      <c r="C253" s="79">
        <v>53080000</v>
      </c>
      <c r="D253" s="79">
        <v>53080000</v>
      </c>
      <c r="E253" s="79">
        <v>53080000</v>
      </c>
      <c r="F253" s="79">
        <v>53080000</v>
      </c>
      <c r="G253" s="79">
        <v>53080000</v>
      </c>
      <c r="H253" s="79">
        <v>53080000</v>
      </c>
      <c r="I253" s="79">
        <v>53080000</v>
      </c>
      <c r="J253" s="79">
        <v>53080000</v>
      </c>
      <c r="K253" s="79">
        <v>53080000</v>
      </c>
      <c r="L253" s="79">
        <v>53080000</v>
      </c>
      <c r="M253" s="79">
        <v>53080000</v>
      </c>
      <c r="N253" s="79">
        <v>53080000</v>
      </c>
      <c r="O253" s="58">
        <f t="shared" si="0"/>
        <v>53080000</v>
      </c>
      <c r="P253" s="85">
        <v>0.05</v>
      </c>
      <c r="Q253" s="85"/>
      <c r="R253" s="56">
        <f t="shared" si="1"/>
        <v>2654000</v>
      </c>
      <c r="S253" s="105">
        <f t="shared" si="5"/>
        <v>2654000</v>
      </c>
    </row>
    <row r="254" spans="1:19">
      <c r="A254" s="1">
        <v>2029</v>
      </c>
      <c r="B254" s="79">
        <v>57765000</v>
      </c>
      <c r="C254" s="79">
        <v>57765000</v>
      </c>
      <c r="D254" s="79">
        <v>57765000</v>
      </c>
      <c r="E254" s="79">
        <v>57765000</v>
      </c>
      <c r="F254" s="79">
        <v>57765000</v>
      </c>
      <c r="G254" s="79">
        <v>57765000</v>
      </c>
      <c r="H254" s="79">
        <v>57765000</v>
      </c>
      <c r="I254" s="79">
        <v>57765000</v>
      </c>
      <c r="J254" s="79">
        <v>57765000</v>
      </c>
      <c r="K254" s="79">
        <v>57765000</v>
      </c>
      <c r="L254" s="79">
        <v>57765000</v>
      </c>
      <c r="M254" s="79">
        <v>57765000</v>
      </c>
      <c r="N254" s="79">
        <v>57765000</v>
      </c>
      <c r="O254" s="58">
        <f t="shared" si="0"/>
        <v>57765000</v>
      </c>
      <c r="P254" s="85">
        <v>0.05</v>
      </c>
      <c r="Q254" s="85"/>
      <c r="R254" s="56">
        <f t="shared" si="1"/>
        <v>2888250</v>
      </c>
      <c r="S254" s="105">
        <f t="shared" si="5"/>
        <v>2888250</v>
      </c>
    </row>
    <row r="255" spans="1:19">
      <c r="A255" s="1">
        <v>2030</v>
      </c>
      <c r="B255" s="79">
        <v>61635000</v>
      </c>
      <c r="C255" s="79">
        <v>61635000</v>
      </c>
      <c r="D255" s="79">
        <v>61635000</v>
      </c>
      <c r="E255" s="79">
        <v>61635000</v>
      </c>
      <c r="F255" s="79">
        <v>61635000</v>
      </c>
      <c r="G255" s="79">
        <v>61635000</v>
      </c>
      <c r="H255" s="79">
        <v>61635000</v>
      </c>
      <c r="I255" s="79">
        <v>61635000</v>
      </c>
      <c r="J255" s="79">
        <v>61635000</v>
      </c>
      <c r="K255" s="79">
        <v>61635000</v>
      </c>
      <c r="L255" s="79">
        <v>61635000</v>
      </c>
      <c r="M255" s="79">
        <v>61635000</v>
      </c>
      <c r="N255" s="79">
        <v>61635000</v>
      </c>
      <c r="O255" s="58">
        <f t="shared" si="0"/>
        <v>61635000</v>
      </c>
      <c r="P255" s="85">
        <v>0.05</v>
      </c>
      <c r="Q255" s="85"/>
      <c r="R255" s="56">
        <f t="shared" si="1"/>
        <v>3081750</v>
      </c>
      <c r="S255" s="105">
        <f t="shared" si="5"/>
        <v>3081750</v>
      </c>
    </row>
    <row r="256" spans="1:19">
      <c r="A256" s="1">
        <v>2031</v>
      </c>
      <c r="B256" s="79">
        <v>1165000</v>
      </c>
      <c r="C256" s="79">
        <v>1165000</v>
      </c>
      <c r="D256" s="79">
        <v>1165000</v>
      </c>
      <c r="E256" s="79">
        <v>1165000</v>
      </c>
      <c r="F256" s="79">
        <v>1165000</v>
      </c>
      <c r="G256" s="79">
        <v>1165000</v>
      </c>
      <c r="H256" s="79">
        <v>1165000</v>
      </c>
      <c r="I256" s="79">
        <v>1165000</v>
      </c>
      <c r="J256" s="79">
        <v>1165000</v>
      </c>
      <c r="K256" s="79">
        <v>1165000</v>
      </c>
      <c r="L256" s="79">
        <v>1165000</v>
      </c>
      <c r="M256" s="79">
        <v>1165000</v>
      </c>
      <c r="N256" s="79">
        <v>1165000</v>
      </c>
      <c r="O256" s="58">
        <f t="shared" si="0"/>
        <v>1165000</v>
      </c>
      <c r="P256" s="85">
        <v>3.5000000000000003E-2</v>
      </c>
      <c r="Q256" s="85"/>
      <c r="R256" s="56">
        <f t="shared" si="1"/>
        <v>40775.000000000007</v>
      </c>
      <c r="S256" s="105">
        <f t="shared" si="5"/>
        <v>40775.000000000007</v>
      </c>
    </row>
    <row r="257" spans="1:19">
      <c r="A257" s="1">
        <v>2031</v>
      </c>
      <c r="B257" s="79">
        <v>64440000</v>
      </c>
      <c r="C257" s="79">
        <v>64440000</v>
      </c>
      <c r="D257" s="79">
        <v>64440000</v>
      </c>
      <c r="E257" s="79">
        <v>64440000</v>
      </c>
      <c r="F257" s="79">
        <v>64440000</v>
      </c>
      <c r="G257" s="79">
        <v>64440000</v>
      </c>
      <c r="H257" s="79">
        <v>64440000</v>
      </c>
      <c r="I257" s="79">
        <v>64440000</v>
      </c>
      <c r="J257" s="79">
        <v>64440000</v>
      </c>
      <c r="K257" s="79">
        <v>64440000</v>
      </c>
      <c r="L257" s="79">
        <v>64440000</v>
      </c>
      <c r="M257" s="79">
        <v>64440000</v>
      </c>
      <c r="N257" s="79">
        <v>64440000</v>
      </c>
      <c r="O257" s="58">
        <f t="shared" si="0"/>
        <v>64440000</v>
      </c>
      <c r="P257" s="85">
        <v>0.05</v>
      </c>
      <c r="Q257" s="85"/>
      <c r="R257" s="56">
        <f t="shared" si="1"/>
        <v>3222000</v>
      </c>
      <c r="S257" s="105">
        <f t="shared" si="5"/>
        <v>3222000</v>
      </c>
    </row>
    <row r="258" spans="1:19">
      <c r="A258" s="78">
        <v>2032</v>
      </c>
      <c r="B258" s="80">
        <v>33400000</v>
      </c>
      <c r="C258" s="80">
        <v>33400000</v>
      </c>
      <c r="D258" s="80">
        <v>33400000</v>
      </c>
      <c r="E258" s="80">
        <v>33400000</v>
      </c>
      <c r="F258" s="80">
        <v>33400000</v>
      </c>
      <c r="G258" s="80">
        <v>33400000</v>
      </c>
      <c r="H258" s="80">
        <v>33400000</v>
      </c>
      <c r="I258" s="80">
        <v>33400000</v>
      </c>
      <c r="J258" s="80">
        <v>33400000</v>
      </c>
      <c r="K258" s="80">
        <v>33400000</v>
      </c>
      <c r="L258" s="80">
        <v>33400000</v>
      </c>
      <c r="M258" s="80">
        <v>33400000</v>
      </c>
      <c r="N258" s="80">
        <v>33400000</v>
      </c>
      <c r="O258" s="82">
        <f t="shared" si="0"/>
        <v>33400000</v>
      </c>
      <c r="P258" s="86">
        <v>0.05</v>
      </c>
      <c r="Q258" s="86"/>
      <c r="R258" s="81">
        <f t="shared" si="1"/>
        <v>1670000</v>
      </c>
      <c r="S258" s="81">
        <f t="shared" si="5"/>
        <v>1670000</v>
      </c>
    </row>
    <row r="259" spans="1:19">
      <c r="A259" s="102" t="s">
        <v>216</v>
      </c>
      <c r="B259" s="103">
        <v>27855000</v>
      </c>
      <c r="C259" s="103">
        <v>27855000</v>
      </c>
      <c r="D259" s="103">
        <v>27855000</v>
      </c>
      <c r="E259" s="103">
        <v>27855000</v>
      </c>
      <c r="F259" s="103">
        <v>27855000</v>
      </c>
      <c r="G259" s="103">
        <v>27855000</v>
      </c>
      <c r="H259" s="103">
        <v>27855000</v>
      </c>
      <c r="I259" s="103">
        <v>27855000</v>
      </c>
      <c r="J259" s="103">
        <v>27855000</v>
      </c>
      <c r="K259" s="103">
        <v>27855000</v>
      </c>
      <c r="L259" s="103">
        <v>27855000</v>
      </c>
      <c r="M259" s="103">
        <v>27855000</v>
      </c>
      <c r="N259" s="103">
        <v>27855000</v>
      </c>
      <c r="O259" s="104">
        <f t="shared" si="0"/>
        <v>27855000</v>
      </c>
      <c r="P259" s="91">
        <v>4.1300000000000003E-2</v>
      </c>
      <c r="Q259" s="91">
        <v>4.4409999999999998E-2</v>
      </c>
      <c r="R259" s="103">
        <f t="shared" si="1"/>
        <v>1150411.5</v>
      </c>
      <c r="S259" s="81">
        <f t="shared" si="5"/>
        <v>1150411.5</v>
      </c>
    </row>
    <row r="260" spans="1:19">
      <c r="A260" s="88" t="s">
        <v>217</v>
      </c>
      <c r="B260" s="89">
        <v>200000000</v>
      </c>
      <c r="C260" s="89">
        <v>200000000</v>
      </c>
      <c r="D260" s="89">
        <v>200000000</v>
      </c>
      <c r="E260" s="89">
        <v>200000000</v>
      </c>
      <c r="F260" s="89">
        <v>200000000</v>
      </c>
      <c r="G260" s="89">
        <v>200000000</v>
      </c>
      <c r="H260" s="89">
        <v>200000000</v>
      </c>
      <c r="I260" s="89">
        <v>200000000</v>
      </c>
      <c r="J260" s="89">
        <v>200000000</v>
      </c>
      <c r="K260" s="89">
        <v>200000000</v>
      </c>
      <c r="L260" s="89">
        <v>200000000</v>
      </c>
      <c r="M260" s="89">
        <v>200000000</v>
      </c>
      <c r="N260" s="89">
        <v>200000000</v>
      </c>
      <c r="O260" s="90">
        <f t="shared" si="0"/>
        <v>200000000</v>
      </c>
      <c r="P260" s="91"/>
      <c r="Q260" s="91"/>
      <c r="R260" s="89">
        <v>492658</v>
      </c>
      <c r="S260" s="81">
        <f>R260</f>
        <v>492658</v>
      </c>
    </row>
    <row r="261" spans="1:19">
      <c r="A261" t="s">
        <v>218</v>
      </c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8"/>
      <c r="P261" s="57"/>
      <c r="Q261" s="57">
        <v>4.0079999999999998E-2</v>
      </c>
      <c r="R261" s="56"/>
    </row>
    <row r="262" spans="1:19">
      <c r="A262" s="1">
        <v>2019</v>
      </c>
      <c r="B262" s="79">
        <v>3390000</v>
      </c>
      <c r="C262" s="79">
        <v>3390000</v>
      </c>
      <c r="D262" s="79">
        <v>3390000</v>
      </c>
      <c r="E262" s="79">
        <v>3390000</v>
      </c>
      <c r="F262" s="79">
        <v>3390000</v>
      </c>
      <c r="G262" s="79">
        <v>3390000</v>
      </c>
      <c r="H262" s="79">
        <v>3390000</v>
      </c>
      <c r="I262" s="79">
        <v>3390000</v>
      </c>
      <c r="J262" s="79">
        <v>3390000</v>
      </c>
      <c r="K262" s="79">
        <v>3390000</v>
      </c>
      <c r="L262" s="79">
        <v>3390000</v>
      </c>
      <c r="M262" s="79">
        <v>3390000</v>
      </c>
      <c r="N262" s="79">
        <v>3390000</v>
      </c>
      <c r="O262" s="58">
        <f t="shared" si="0"/>
        <v>3390000</v>
      </c>
      <c r="P262" s="85">
        <v>0.05</v>
      </c>
      <c r="Q262" s="85"/>
      <c r="R262" s="56">
        <f t="shared" ref="R262:R330" si="6">O262*P262</f>
        <v>169500</v>
      </c>
      <c r="S262" s="105">
        <f t="shared" si="5"/>
        <v>169500</v>
      </c>
    </row>
    <row r="263" spans="1:19">
      <c r="A263" s="1">
        <v>2020</v>
      </c>
      <c r="B263" s="79">
        <v>3560000</v>
      </c>
      <c r="C263" s="79">
        <v>3560000</v>
      </c>
      <c r="D263" s="79">
        <v>3560000</v>
      </c>
      <c r="E263" s="79">
        <v>3560000</v>
      </c>
      <c r="F263" s="79">
        <v>3560000</v>
      </c>
      <c r="G263" s="79">
        <v>3560000</v>
      </c>
      <c r="H263" s="79">
        <v>3560000</v>
      </c>
      <c r="I263" s="79">
        <v>3560000</v>
      </c>
      <c r="J263" s="79">
        <v>3560000</v>
      </c>
      <c r="K263" s="79">
        <v>3560000</v>
      </c>
      <c r="L263" s="79">
        <v>3560000</v>
      </c>
      <c r="M263" s="79">
        <v>3560000</v>
      </c>
      <c r="N263" s="79">
        <v>3560000</v>
      </c>
      <c r="O263" s="58">
        <f t="shared" si="0"/>
        <v>3560000</v>
      </c>
      <c r="P263" s="85">
        <v>0.05</v>
      </c>
      <c r="Q263" s="85"/>
      <c r="R263" s="56">
        <f t="shared" si="6"/>
        <v>178000</v>
      </c>
      <c r="S263" s="105">
        <f t="shared" si="5"/>
        <v>178000</v>
      </c>
    </row>
    <row r="264" spans="1:19">
      <c r="A264" s="1">
        <v>2021</v>
      </c>
      <c r="B264" s="79">
        <v>3780000</v>
      </c>
      <c r="C264" s="79">
        <v>3780000</v>
      </c>
      <c r="D264" s="79">
        <v>3780000</v>
      </c>
      <c r="E264" s="79">
        <v>3780000</v>
      </c>
      <c r="F264" s="79">
        <v>3780000</v>
      </c>
      <c r="G264" s="79">
        <v>3780000</v>
      </c>
      <c r="H264" s="79">
        <v>3780000</v>
      </c>
      <c r="I264" s="79">
        <v>3780000</v>
      </c>
      <c r="J264" s="79">
        <v>3780000</v>
      </c>
      <c r="K264" s="79">
        <v>3780000</v>
      </c>
      <c r="L264" s="79">
        <v>3780000</v>
      </c>
      <c r="M264" s="79">
        <v>3780000</v>
      </c>
      <c r="N264" s="79">
        <v>3780000</v>
      </c>
      <c r="O264" s="58">
        <f t="shared" si="0"/>
        <v>3780000</v>
      </c>
      <c r="P264" s="85">
        <v>0.05</v>
      </c>
      <c r="Q264" s="85"/>
      <c r="R264" s="56">
        <f t="shared" si="6"/>
        <v>189000</v>
      </c>
      <c r="S264" s="105">
        <f t="shared" si="5"/>
        <v>189000</v>
      </c>
    </row>
    <row r="265" spans="1:19">
      <c r="A265" s="1">
        <v>2022</v>
      </c>
      <c r="B265" s="79">
        <v>3950000</v>
      </c>
      <c r="C265" s="79">
        <v>3950000</v>
      </c>
      <c r="D265" s="79">
        <v>3950000</v>
      </c>
      <c r="E265" s="79">
        <v>3950000</v>
      </c>
      <c r="F265" s="79">
        <v>3950000</v>
      </c>
      <c r="G265" s="79">
        <v>3950000</v>
      </c>
      <c r="H265" s="79">
        <v>3950000</v>
      </c>
      <c r="I265" s="79">
        <v>3950000</v>
      </c>
      <c r="J265" s="79">
        <v>3950000</v>
      </c>
      <c r="K265" s="79">
        <v>3950000</v>
      </c>
      <c r="L265" s="79">
        <v>3950000</v>
      </c>
      <c r="M265" s="79">
        <v>3950000</v>
      </c>
      <c r="N265" s="79">
        <v>3950000</v>
      </c>
      <c r="O265" s="58">
        <f t="shared" si="0"/>
        <v>3950000</v>
      </c>
      <c r="P265" s="85">
        <v>0.05</v>
      </c>
      <c r="Q265" s="85"/>
      <c r="R265" s="56">
        <f t="shared" si="6"/>
        <v>197500</v>
      </c>
      <c r="S265" s="105">
        <f t="shared" si="5"/>
        <v>197500</v>
      </c>
    </row>
    <row r="266" spans="1:19">
      <c r="A266" s="1">
        <v>2023</v>
      </c>
      <c r="B266" s="79">
        <v>4160000</v>
      </c>
      <c r="C266" s="79">
        <v>4160000</v>
      </c>
      <c r="D266" s="79">
        <v>4160000</v>
      </c>
      <c r="E266" s="79">
        <v>4160000</v>
      </c>
      <c r="F266" s="79">
        <v>4160000</v>
      </c>
      <c r="G266" s="79">
        <v>4160000</v>
      </c>
      <c r="H266" s="79">
        <v>4160000</v>
      </c>
      <c r="I266" s="79">
        <v>4160000</v>
      </c>
      <c r="J266" s="79">
        <v>4160000</v>
      </c>
      <c r="K266" s="79">
        <v>4160000</v>
      </c>
      <c r="L266" s="79">
        <v>4160000</v>
      </c>
      <c r="M266" s="79">
        <v>4160000</v>
      </c>
      <c r="N266" s="79">
        <v>4160000</v>
      </c>
      <c r="O266" s="58">
        <f t="shared" si="0"/>
        <v>4160000</v>
      </c>
      <c r="P266" s="85">
        <v>0.05</v>
      </c>
      <c r="Q266" s="85"/>
      <c r="R266" s="56">
        <f t="shared" si="6"/>
        <v>208000</v>
      </c>
      <c r="S266" s="105">
        <f t="shared" si="5"/>
        <v>208000</v>
      </c>
    </row>
    <row r="267" spans="1:19">
      <c r="A267" s="1">
        <v>2024</v>
      </c>
      <c r="B267" s="79">
        <v>4575000</v>
      </c>
      <c r="C267" s="79">
        <v>4575000</v>
      </c>
      <c r="D267" s="79">
        <v>4575000</v>
      </c>
      <c r="E267" s="79">
        <v>4575000</v>
      </c>
      <c r="F267" s="79">
        <v>4575000</v>
      </c>
      <c r="G267" s="79">
        <v>4575000</v>
      </c>
      <c r="H267" s="79">
        <v>4575000</v>
      </c>
      <c r="I267" s="79">
        <v>4575000</v>
      </c>
      <c r="J267" s="79">
        <v>4575000</v>
      </c>
      <c r="K267" s="79">
        <v>4575000</v>
      </c>
      <c r="L267" s="79">
        <v>4575000</v>
      </c>
      <c r="M267" s="79">
        <v>4575000</v>
      </c>
      <c r="N267" s="79">
        <v>4575000</v>
      </c>
      <c r="O267" s="58">
        <f t="shared" si="0"/>
        <v>4575000</v>
      </c>
      <c r="P267" s="85">
        <v>0.05</v>
      </c>
      <c r="Q267" s="85"/>
      <c r="R267" s="56">
        <f t="shared" si="6"/>
        <v>228750</v>
      </c>
      <c r="S267" s="105">
        <f t="shared" ref="S267:S330" si="7">P267*N267</f>
        <v>228750</v>
      </c>
    </row>
    <row r="268" spans="1:19">
      <c r="A268" s="1">
        <v>2025</v>
      </c>
      <c r="B268" s="79">
        <v>6010000</v>
      </c>
      <c r="C268" s="79">
        <v>6010000</v>
      </c>
      <c r="D268" s="79">
        <v>6010000</v>
      </c>
      <c r="E268" s="79">
        <v>6010000</v>
      </c>
      <c r="F268" s="79">
        <v>6010000</v>
      </c>
      <c r="G268" s="79">
        <v>6010000</v>
      </c>
      <c r="H268" s="79">
        <v>6010000</v>
      </c>
      <c r="I268" s="79">
        <v>6010000</v>
      </c>
      <c r="J268" s="79">
        <v>6010000</v>
      </c>
      <c r="K268" s="79">
        <v>6010000</v>
      </c>
      <c r="L268" s="79">
        <v>6010000</v>
      </c>
      <c r="M268" s="79">
        <v>6010000</v>
      </c>
      <c r="N268" s="79">
        <v>6010000</v>
      </c>
      <c r="O268" s="58">
        <f t="shared" si="0"/>
        <v>6010000</v>
      </c>
      <c r="P268" s="85">
        <v>0.05</v>
      </c>
      <c r="Q268" s="85"/>
      <c r="R268" s="56">
        <f t="shared" si="6"/>
        <v>300500</v>
      </c>
      <c r="S268" s="105">
        <f t="shared" si="7"/>
        <v>300500</v>
      </c>
    </row>
    <row r="269" spans="1:19">
      <c r="A269" s="1">
        <v>2026</v>
      </c>
      <c r="B269" s="79">
        <v>7635000</v>
      </c>
      <c r="C269" s="79">
        <v>7635000</v>
      </c>
      <c r="D269" s="79">
        <v>7635000</v>
      </c>
      <c r="E269" s="79">
        <v>7635000</v>
      </c>
      <c r="F269" s="79">
        <v>7635000</v>
      </c>
      <c r="G269" s="79">
        <v>7635000</v>
      </c>
      <c r="H269" s="79">
        <v>7635000</v>
      </c>
      <c r="I269" s="79">
        <v>7635000</v>
      </c>
      <c r="J269" s="79">
        <v>7635000</v>
      </c>
      <c r="K269" s="79">
        <v>7635000</v>
      </c>
      <c r="L269" s="79">
        <v>7635000</v>
      </c>
      <c r="M269" s="79">
        <v>7635000</v>
      </c>
      <c r="N269" s="79">
        <v>7635000</v>
      </c>
      <c r="O269" s="58">
        <f t="shared" si="0"/>
        <v>7635000</v>
      </c>
      <c r="P269" s="85">
        <v>0.05</v>
      </c>
      <c r="Q269" s="85"/>
      <c r="R269" s="56">
        <f t="shared" si="6"/>
        <v>381750</v>
      </c>
      <c r="S269" s="105">
        <f t="shared" si="7"/>
        <v>381750</v>
      </c>
    </row>
    <row r="270" spans="1:19">
      <c r="A270" s="1">
        <v>2027</v>
      </c>
      <c r="B270" s="79">
        <v>9420000</v>
      </c>
      <c r="C270" s="79">
        <v>9420000</v>
      </c>
      <c r="D270" s="79">
        <v>9420000</v>
      </c>
      <c r="E270" s="79">
        <v>9420000</v>
      </c>
      <c r="F270" s="79">
        <v>9420000</v>
      </c>
      <c r="G270" s="79">
        <v>9420000</v>
      </c>
      <c r="H270" s="79">
        <v>9420000</v>
      </c>
      <c r="I270" s="79">
        <v>9420000</v>
      </c>
      <c r="J270" s="79">
        <v>9420000</v>
      </c>
      <c r="K270" s="79">
        <v>9420000</v>
      </c>
      <c r="L270" s="79">
        <v>9420000</v>
      </c>
      <c r="M270" s="79">
        <v>9420000</v>
      </c>
      <c r="N270" s="79">
        <v>9420000</v>
      </c>
      <c r="O270" s="58">
        <f t="shared" si="0"/>
        <v>9420000</v>
      </c>
      <c r="P270" s="85">
        <v>0.05</v>
      </c>
      <c r="Q270" s="85"/>
      <c r="R270" s="56">
        <f t="shared" si="6"/>
        <v>471000</v>
      </c>
      <c r="S270" s="105">
        <f t="shared" si="7"/>
        <v>471000</v>
      </c>
    </row>
    <row r="271" spans="1:19">
      <c r="A271" s="1">
        <v>2028</v>
      </c>
      <c r="B271" s="79">
        <v>11310000</v>
      </c>
      <c r="C271" s="79">
        <v>11310000</v>
      </c>
      <c r="D271" s="79">
        <v>11310000</v>
      </c>
      <c r="E271" s="79">
        <v>11310000</v>
      </c>
      <c r="F271" s="79">
        <v>11310000</v>
      </c>
      <c r="G271" s="79">
        <v>11310000</v>
      </c>
      <c r="H271" s="79">
        <v>11310000</v>
      </c>
      <c r="I271" s="79">
        <v>11310000</v>
      </c>
      <c r="J271" s="79">
        <v>11310000</v>
      </c>
      <c r="K271" s="79">
        <v>11310000</v>
      </c>
      <c r="L271" s="79">
        <v>11310000</v>
      </c>
      <c r="M271" s="79">
        <v>11310000</v>
      </c>
      <c r="N271" s="79">
        <v>11310000</v>
      </c>
      <c r="O271" s="58">
        <f t="shared" si="0"/>
        <v>11310000</v>
      </c>
      <c r="P271" s="85">
        <v>0.05</v>
      </c>
      <c r="Q271" s="85"/>
      <c r="R271" s="56">
        <f t="shared" si="6"/>
        <v>565500</v>
      </c>
      <c r="S271" s="105">
        <f t="shared" si="7"/>
        <v>565500</v>
      </c>
    </row>
    <row r="272" spans="1:19">
      <c r="A272" s="1">
        <v>2029</v>
      </c>
      <c r="B272" s="79">
        <v>350000</v>
      </c>
      <c r="C272" s="79">
        <v>350000</v>
      </c>
      <c r="D272" s="79">
        <v>350000</v>
      </c>
      <c r="E272" s="79">
        <v>350000</v>
      </c>
      <c r="F272" s="79">
        <v>350000</v>
      </c>
      <c r="G272" s="79">
        <v>350000</v>
      </c>
      <c r="H272" s="79">
        <v>350000</v>
      </c>
      <c r="I272" s="79">
        <v>350000</v>
      </c>
      <c r="J272" s="79">
        <v>350000</v>
      </c>
      <c r="K272" s="79">
        <v>350000</v>
      </c>
      <c r="L272" s="79">
        <v>350000</v>
      </c>
      <c r="M272" s="79">
        <v>350000</v>
      </c>
      <c r="N272" s="79">
        <v>350000</v>
      </c>
      <c r="O272" s="58">
        <f t="shared" si="0"/>
        <v>350000</v>
      </c>
      <c r="P272" s="85">
        <v>3.125E-2</v>
      </c>
      <c r="Q272" s="85"/>
      <c r="R272" s="56">
        <f t="shared" si="6"/>
        <v>10937.5</v>
      </c>
      <c r="S272" s="105">
        <f t="shared" si="7"/>
        <v>10937.5</v>
      </c>
    </row>
    <row r="273" spans="1:19">
      <c r="A273" s="1">
        <v>2029</v>
      </c>
      <c r="B273" s="79">
        <v>13165000</v>
      </c>
      <c r="C273" s="79">
        <v>13165000</v>
      </c>
      <c r="D273" s="79">
        <v>13165000</v>
      </c>
      <c r="E273" s="79">
        <v>13165000</v>
      </c>
      <c r="F273" s="79">
        <v>13165000</v>
      </c>
      <c r="G273" s="79">
        <v>13165000</v>
      </c>
      <c r="H273" s="79">
        <v>13165000</v>
      </c>
      <c r="I273" s="79">
        <v>13165000</v>
      </c>
      <c r="J273" s="79">
        <v>13165000</v>
      </c>
      <c r="K273" s="79">
        <v>13165000</v>
      </c>
      <c r="L273" s="79">
        <v>13165000</v>
      </c>
      <c r="M273" s="79">
        <v>13165000</v>
      </c>
      <c r="N273" s="79">
        <v>13165000</v>
      </c>
      <c r="O273" s="58">
        <f t="shared" si="0"/>
        <v>13165000</v>
      </c>
      <c r="P273" s="85">
        <v>0.05</v>
      </c>
      <c r="Q273" s="85"/>
      <c r="R273" s="56">
        <f t="shared" si="6"/>
        <v>658250</v>
      </c>
      <c r="S273" s="105">
        <f t="shared" si="7"/>
        <v>658250</v>
      </c>
    </row>
    <row r="274" spans="1:19">
      <c r="A274" s="1">
        <v>2030</v>
      </c>
      <c r="B274" s="79">
        <v>15855000</v>
      </c>
      <c r="C274" s="79">
        <v>15855000</v>
      </c>
      <c r="D274" s="79">
        <v>15855000</v>
      </c>
      <c r="E274" s="79">
        <v>15855000</v>
      </c>
      <c r="F274" s="79">
        <v>15855000</v>
      </c>
      <c r="G274" s="79">
        <v>15855000</v>
      </c>
      <c r="H274" s="79">
        <v>15855000</v>
      </c>
      <c r="I274" s="79">
        <v>15855000</v>
      </c>
      <c r="J274" s="79">
        <v>15855000</v>
      </c>
      <c r="K274" s="79">
        <v>15855000</v>
      </c>
      <c r="L274" s="79">
        <v>15855000</v>
      </c>
      <c r="M274" s="79">
        <v>15855000</v>
      </c>
      <c r="N274" s="79">
        <v>15855000</v>
      </c>
      <c r="O274" s="58">
        <f t="shared" si="0"/>
        <v>15855000</v>
      </c>
      <c r="P274" s="85">
        <v>0.05</v>
      </c>
      <c r="Q274" s="85"/>
      <c r="R274" s="56">
        <f t="shared" si="6"/>
        <v>792750</v>
      </c>
      <c r="S274" s="105">
        <f t="shared" si="7"/>
        <v>792750</v>
      </c>
    </row>
    <row r="275" spans="1:19">
      <c r="A275" s="1">
        <v>2031</v>
      </c>
      <c r="B275" s="79">
        <v>18500000</v>
      </c>
      <c r="C275" s="79">
        <v>18500000</v>
      </c>
      <c r="D275" s="79">
        <v>18500000</v>
      </c>
      <c r="E275" s="79">
        <v>18500000</v>
      </c>
      <c r="F275" s="79">
        <v>18500000</v>
      </c>
      <c r="G275" s="79">
        <v>18500000</v>
      </c>
      <c r="H275" s="79">
        <v>18500000</v>
      </c>
      <c r="I275" s="79">
        <v>18500000</v>
      </c>
      <c r="J275" s="79">
        <v>18500000</v>
      </c>
      <c r="K275" s="79">
        <v>18500000</v>
      </c>
      <c r="L275" s="79">
        <v>18500000</v>
      </c>
      <c r="M275" s="79">
        <v>18500000</v>
      </c>
      <c r="N275" s="79">
        <v>18500000</v>
      </c>
      <c r="O275" s="58">
        <f t="shared" si="0"/>
        <v>18500000</v>
      </c>
      <c r="P275" s="85">
        <v>0.05</v>
      </c>
      <c r="Q275" s="85"/>
      <c r="R275" s="56">
        <f t="shared" si="6"/>
        <v>925000</v>
      </c>
      <c r="S275" s="105">
        <f t="shared" si="7"/>
        <v>925000</v>
      </c>
    </row>
    <row r="276" spans="1:19">
      <c r="A276" s="1">
        <v>2032</v>
      </c>
      <c r="B276" s="79">
        <v>34150000</v>
      </c>
      <c r="C276" s="79">
        <v>34150000</v>
      </c>
      <c r="D276" s="79">
        <v>34150000</v>
      </c>
      <c r="E276" s="79">
        <v>34150000</v>
      </c>
      <c r="F276" s="79">
        <v>34150000</v>
      </c>
      <c r="G276" s="79">
        <v>34150000</v>
      </c>
      <c r="H276" s="79">
        <v>34150000</v>
      </c>
      <c r="I276" s="79">
        <v>34150000</v>
      </c>
      <c r="J276" s="79">
        <v>34150000</v>
      </c>
      <c r="K276" s="79">
        <v>34150000</v>
      </c>
      <c r="L276" s="79">
        <v>34150000</v>
      </c>
      <c r="M276" s="79">
        <v>34150000</v>
      </c>
      <c r="N276" s="79">
        <v>34150000</v>
      </c>
      <c r="O276" s="58">
        <f t="shared" si="0"/>
        <v>34150000</v>
      </c>
      <c r="P276" s="85">
        <v>0.05</v>
      </c>
      <c r="Q276" s="85"/>
      <c r="R276" s="56">
        <f t="shared" si="6"/>
        <v>1707500</v>
      </c>
      <c r="S276" s="105">
        <f t="shared" si="7"/>
        <v>1707500</v>
      </c>
    </row>
    <row r="277" spans="1:19">
      <c r="A277" s="1">
        <v>2041</v>
      </c>
      <c r="B277" s="79">
        <v>2925000</v>
      </c>
      <c r="C277" s="79">
        <v>2925000</v>
      </c>
      <c r="D277" s="79">
        <v>2925000</v>
      </c>
      <c r="E277" s="79">
        <v>2925000</v>
      </c>
      <c r="F277" s="79">
        <v>2925000</v>
      </c>
      <c r="G277" s="79">
        <v>2925000</v>
      </c>
      <c r="H277" s="79">
        <v>2925000</v>
      </c>
      <c r="I277" s="79">
        <v>2925000</v>
      </c>
      <c r="J277" s="79">
        <v>2925000</v>
      </c>
      <c r="K277" s="79">
        <v>2925000</v>
      </c>
      <c r="L277" s="79">
        <v>2925000</v>
      </c>
      <c r="M277" s="79">
        <v>2925000</v>
      </c>
      <c r="N277" s="79">
        <v>2925000</v>
      </c>
      <c r="O277" s="58">
        <f t="shared" si="0"/>
        <v>2925000</v>
      </c>
      <c r="P277" s="85">
        <v>3.875E-2</v>
      </c>
      <c r="Q277" s="85"/>
      <c r="R277" s="56">
        <f t="shared" si="6"/>
        <v>113343.75</v>
      </c>
      <c r="S277" s="105">
        <f t="shared" si="7"/>
        <v>113343.75</v>
      </c>
    </row>
    <row r="278" spans="1:19">
      <c r="A278" s="78">
        <v>2043</v>
      </c>
      <c r="B278" s="80">
        <v>179265000</v>
      </c>
      <c r="C278" s="80">
        <v>179265000</v>
      </c>
      <c r="D278" s="80">
        <v>179265000</v>
      </c>
      <c r="E278" s="80">
        <v>179265000</v>
      </c>
      <c r="F278" s="80">
        <v>179265000</v>
      </c>
      <c r="G278" s="80">
        <v>179265000</v>
      </c>
      <c r="H278" s="80">
        <v>179265000</v>
      </c>
      <c r="I278" s="80">
        <v>179265000</v>
      </c>
      <c r="J278" s="80">
        <v>179265000</v>
      </c>
      <c r="K278" s="80">
        <v>179265000</v>
      </c>
      <c r="L278" s="80">
        <v>179265000</v>
      </c>
      <c r="M278" s="80">
        <v>179265000</v>
      </c>
      <c r="N278" s="80">
        <v>179265000</v>
      </c>
      <c r="O278" s="82">
        <f t="shared" si="0"/>
        <v>179265000</v>
      </c>
      <c r="P278" s="86">
        <v>0.05</v>
      </c>
      <c r="Q278" s="86"/>
      <c r="R278" s="81">
        <f t="shared" si="6"/>
        <v>8963250</v>
      </c>
      <c r="S278" s="81">
        <f t="shared" si="7"/>
        <v>8963250</v>
      </c>
    </row>
    <row r="279" spans="1:19">
      <c r="A279" t="s">
        <v>219</v>
      </c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8"/>
      <c r="P279" s="57"/>
      <c r="Q279" s="57">
        <v>2.912E-2</v>
      </c>
      <c r="R279" s="56"/>
    </row>
    <row r="280" spans="1:19">
      <c r="A280" s="1">
        <v>2017</v>
      </c>
      <c r="B280" s="56">
        <v>0</v>
      </c>
      <c r="C280" s="56">
        <v>0</v>
      </c>
      <c r="D280" s="79">
        <v>1795000</v>
      </c>
      <c r="E280" s="79">
        <v>1795000</v>
      </c>
      <c r="F280" s="79">
        <v>1795000</v>
      </c>
      <c r="G280" s="79">
        <v>1795000</v>
      </c>
      <c r="H280" s="79">
        <v>1795000</v>
      </c>
      <c r="I280" s="79">
        <v>1795000</v>
      </c>
      <c r="J280" s="79">
        <v>1795000</v>
      </c>
      <c r="K280" s="79">
        <v>1795000</v>
      </c>
      <c r="L280" s="79">
        <v>1795000</v>
      </c>
      <c r="M280" s="79">
        <v>1795000</v>
      </c>
      <c r="N280" s="79">
        <v>1795000</v>
      </c>
      <c r="O280" s="58">
        <f t="shared" si="0"/>
        <v>1518846.1538461538</v>
      </c>
      <c r="P280" s="85">
        <v>0.04</v>
      </c>
      <c r="Q280" s="85"/>
      <c r="R280" s="56">
        <f t="shared" si="6"/>
        <v>60753.846153846149</v>
      </c>
      <c r="S280" s="105">
        <f t="shared" si="7"/>
        <v>71800</v>
      </c>
    </row>
    <row r="281" spans="1:19">
      <c r="A281" s="1">
        <v>2020</v>
      </c>
      <c r="B281" s="56">
        <v>0</v>
      </c>
      <c r="C281" s="56">
        <v>0</v>
      </c>
      <c r="D281" s="79">
        <v>12335000</v>
      </c>
      <c r="E281" s="79">
        <v>12335000</v>
      </c>
      <c r="F281" s="79">
        <v>12335000</v>
      </c>
      <c r="G281" s="79">
        <v>12335000</v>
      </c>
      <c r="H281" s="79">
        <v>12335000</v>
      </c>
      <c r="I281" s="79">
        <v>12335000</v>
      </c>
      <c r="J281" s="79">
        <v>12335000</v>
      </c>
      <c r="K281" s="79">
        <v>12335000</v>
      </c>
      <c r="L281" s="79">
        <v>12335000</v>
      </c>
      <c r="M281" s="79">
        <v>12335000</v>
      </c>
      <c r="N281" s="79">
        <v>12335000</v>
      </c>
      <c r="O281" s="58">
        <f t="shared" si="0"/>
        <v>10437307.692307692</v>
      </c>
      <c r="P281" s="85">
        <v>0.04</v>
      </c>
      <c r="Q281" s="85"/>
      <c r="R281" s="56">
        <f t="shared" si="6"/>
        <v>417492.30769230769</v>
      </c>
      <c r="S281" s="105">
        <f t="shared" si="7"/>
        <v>493400</v>
      </c>
    </row>
    <row r="282" spans="1:19">
      <c r="A282" s="1">
        <v>2022</v>
      </c>
      <c r="B282" s="56">
        <v>0</v>
      </c>
      <c r="C282" s="56">
        <v>0</v>
      </c>
      <c r="D282" s="79">
        <v>13390000</v>
      </c>
      <c r="E282" s="79">
        <v>13390000</v>
      </c>
      <c r="F282" s="79">
        <v>13390000</v>
      </c>
      <c r="G282" s="79">
        <v>13390000</v>
      </c>
      <c r="H282" s="79">
        <v>13390000</v>
      </c>
      <c r="I282" s="79">
        <v>13390000</v>
      </c>
      <c r="J282" s="79">
        <v>13390000</v>
      </c>
      <c r="K282" s="79">
        <v>13390000</v>
      </c>
      <c r="L282" s="79">
        <v>13390000</v>
      </c>
      <c r="M282" s="79">
        <v>13390000</v>
      </c>
      <c r="N282" s="79">
        <v>13390000</v>
      </c>
      <c r="O282" s="58">
        <f t="shared" si="0"/>
        <v>11330000</v>
      </c>
      <c r="P282" s="85">
        <v>0.04</v>
      </c>
      <c r="Q282" s="85"/>
      <c r="R282" s="56">
        <f t="shared" si="6"/>
        <v>453200</v>
      </c>
      <c r="S282" s="105">
        <f t="shared" si="7"/>
        <v>535600</v>
      </c>
    </row>
    <row r="283" spans="1:19">
      <c r="A283" s="1">
        <v>2023</v>
      </c>
      <c r="B283" s="56">
        <v>0</v>
      </c>
      <c r="C283" s="56">
        <v>0</v>
      </c>
      <c r="D283" s="79">
        <v>20455000</v>
      </c>
      <c r="E283" s="79">
        <v>20455000</v>
      </c>
      <c r="F283" s="79">
        <v>20455000</v>
      </c>
      <c r="G283" s="79">
        <v>20455000</v>
      </c>
      <c r="H283" s="79">
        <v>20455000</v>
      </c>
      <c r="I283" s="79">
        <v>20455000</v>
      </c>
      <c r="J283" s="79">
        <v>20455000</v>
      </c>
      <c r="K283" s="79">
        <v>20455000</v>
      </c>
      <c r="L283" s="79">
        <v>20455000</v>
      </c>
      <c r="M283" s="79">
        <v>20455000</v>
      </c>
      <c r="N283" s="79">
        <v>20455000</v>
      </c>
      <c r="O283" s="58">
        <f t="shared" si="0"/>
        <v>17308076.923076924</v>
      </c>
      <c r="P283" s="85">
        <v>0.05</v>
      </c>
      <c r="Q283" s="85"/>
      <c r="R283" s="56">
        <f t="shared" si="6"/>
        <v>865403.84615384624</v>
      </c>
      <c r="S283" s="105">
        <f t="shared" si="7"/>
        <v>1022750</v>
      </c>
    </row>
    <row r="284" spans="1:19">
      <c r="A284" s="1">
        <v>2024</v>
      </c>
      <c r="B284" s="56">
        <v>0</v>
      </c>
      <c r="C284" s="56">
        <v>0</v>
      </c>
      <c r="D284" s="79">
        <v>11020000</v>
      </c>
      <c r="E284" s="79">
        <v>11020000</v>
      </c>
      <c r="F284" s="79">
        <v>11020000</v>
      </c>
      <c r="G284" s="79">
        <v>11020000</v>
      </c>
      <c r="H284" s="79">
        <v>11020000</v>
      </c>
      <c r="I284" s="79">
        <v>11020000</v>
      </c>
      <c r="J284" s="79">
        <v>11020000</v>
      </c>
      <c r="K284" s="79">
        <v>11020000</v>
      </c>
      <c r="L284" s="79">
        <v>11020000</v>
      </c>
      <c r="M284" s="79">
        <v>11020000</v>
      </c>
      <c r="N284" s="79">
        <v>11020000</v>
      </c>
      <c r="O284" s="58">
        <f t="shared" si="0"/>
        <v>9324615.384615384</v>
      </c>
      <c r="P284" s="85">
        <v>0.05</v>
      </c>
      <c r="Q284" s="85"/>
      <c r="R284" s="56">
        <f t="shared" si="6"/>
        <v>466230.76923076925</v>
      </c>
      <c r="S284" s="105">
        <f t="shared" si="7"/>
        <v>551000</v>
      </c>
    </row>
    <row r="285" spans="1:19">
      <c r="A285" s="1">
        <v>2025</v>
      </c>
      <c r="B285" s="56">
        <v>0</v>
      </c>
      <c r="C285" s="56">
        <v>0</v>
      </c>
      <c r="D285" s="79">
        <v>44365000</v>
      </c>
      <c r="E285" s="79">
        <v>44365000</v>
      </c>
      <c r="F285" s="79">
        <v>44365000</v>
      </c>
      <c r="G285" s="79">
        <v>44365000</v>
      </c>
      <c r="H285" s="79">
        <v>44365000</v>
      </c>
      <c r="I285" s="79">
        <v>44365000</v>
      </c>
      <c r="J285" s="79">
        <v>44365000</v>
      </c>
      <c r="K285" s="79">
        <v>44365000</v>
      </c>
      <c r="L285" s="79">
        <v>44365000</v>
      </c>
      <c r="M285" s="79">
        <v>44365000</v>
      </c>
      <c r="N285" s="79">
        <v>44365000</v>
      </c>
      <c r="O285" s="58">
        <f t="shared" si="0"/>
        <v>37539615.384615384</v>
      </c>
      <c r="P285" s="85">
        <v>0.05</v>
      </c>
      <c r="Q285" s="85"/>
      <c r="R285" s="56">
        <f t="shared" si="6"/>
        <v>1876980.7692307692</v>
      </c>
      <c r="S285" s="105">
        <f t="shared" si="7"/>
        <v>2218250</v>
      </c>
    </row>
    <row r="286" spans="1:19">
      <c r="A286" s="1">
        <v>2026</v>
      </c>
      <c r="B286" s="56">
        <v>0</v>
      </c>
      <c r="C286" s="56">
        <v>0</v>
      </c>
      <c r="D286" s="79">
        <v>36995000</v>
      </c>
      <c r="E286" s="79">
        <v>36995000</v>
      </c>
      <c r="F286" s="79">
        <v>36995000</v>
      </c>
      <c r="G286" s="79">
        <v>36995000</v>
      </c>
      <c r="H286" s="79">
        <v>36995000</v>
      </c>
      <c r="I286" s="79">
        <v>36995000</v>
      </c>
      <c r="J286" s="79">
        <v>36995000</v>
      </c>
      <c r="K286" s="79">
        <v>36995000</v>
      </c>
      <c r="L286" s="79">
        <v>36995000</v>
      </c>
      <c r="M286" s="79">
        <v>36995000</v>
      </c>
      <c r="N286" s="79">
        <v>36995000</v>
      </c>
      <c r="O286" s="58">
        <f t="shared" si="0"/>
        <v>31303461.53846154</v>
      </c>
      <c r="P286" s="85">
        <v>0.05</v>
      </c>
      <c r="Q286" s="85"/>
      <c r="R286" s="56">
        <f t="shared" si="6"/>
        <v>1565173.076923077</v>
      </c>
      <c r="S286" s="105">
        <f t="shared" si="7"/>
        <v>1849750</v>
      </c>
    </row>
    <row r="287" spans="1:19">
      <c r="A287" s="1">
        <v>2027</v>
      </c>
      <c r="B287" s="56">
        <v>0</v>
      </c>
      <c r="C287" s="56">
        <v>0</v>
      </c>
      <c r="D287" s="79">
        <v>33450000</v>
      </c>
      <c r="E287" s="79">
        <v>33450000</v>
      </c>
      <c r="F287" s="79">
        <v>33450000</v>
      </c>
      <c r="G287" s="79">
        <v>33450000</v>
      </c>
      <c r="H287" s="79">
        <v>33450000</v>
      </c>
      <c r="I287" s="79">
        <v>33450000</v>
      </c>
      <c r="J287" s="79">
        <v>33450000</v>
      </c>
      <c r="K287" s="79">
        <v>33450000</v>
      </c>
      <c r="L287" s="79">
        <v>33450000</v>
      </c>
      <c r="M287" s="79">
        <v>33450000</v>
      </c>
      <c r="N287" s="79">
        <v>33450000</v>
      </c>
      <c r="O287" s="58">
        <f t="shared" si="0"/>
        <v>28303846.153846152</v>
      </c>
      <c r="P287" s="85">
        <v>0.05</v>
      </c>
      <c r="Q287" s="85"/>
      <c r="R287" s="56">
        <f t="shared" si="6"/>
        <v>1415192.3076923077</v>
      </c>
      <c r="S287" s="105">
        <f t="shared" si="7"/>
        <v>1672500</v>
      </c>
    </row>
    <row r="288" spans="1:19">
      <c r="A288" s="78">
        <v>2029</v>
      </c>
      <c r="B288" s="81">
        <v>0</v>
      </c>
      <c r="C288" s="81">
        <v>0</v>
      </c>
      <c r="D288" s="80">
        <v>24945000</v>
      </c>
      <c r="E288" s="80">
        <v>24945000</v>
      </c>
      <c r="F288" s="80">
        <v>24945000</v>
      </c>
      <c r="G288" s="80">
        <v>24945000</v>
      </c>
      <c r="H288" s="80">
        <v>24945000</v>
      </c>
      <c r="I288" s="80">
        <v>24945000</v>
      </c>
      <c r="J288" s="80">
        <v>24945000</v>
      </c>
      <c r="K288" s="80">
        <v>24945000</v>
      </c>
      <c r="L288" s="80">
        <v>24945000</v>
      </c>
      <c r="M288" s="80">
        <v>24945000</v>
      </c>
      <c r="N288" s="80">
        <v>24945000</v>
      </c>
      <c r="O288" s="82">
        <f t="shared" si="0"/>
        <v>21107307.692307692</v>
      </c>
      <c r="P288" s="86">
        <v>0.05</v>
      </c>
      <c r="Q288" s="86"/>
      <c r="R288" s="81">
        <f t="shared" si="6"/>
        <v>1055365.3846153847</v>
      </c>
      <c r="S288" s="81">
        <f t="shared" si="7"/>
        <v>1247250</v>
      </c>
    </row>
    <row r="289" spans="1:19">
      <c r="A289" t="s">
        <v>220</v>
      </c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8"/>
      <c r="P289" s="57"/>
      <c r="Q289" s="57">
        <v>3.7850000000000002E-2</v>
      </c>
      <c r="R289" s="56"/>
    </row>
    <row r="290" spans="1:19">
      <c r="A290" s="1">
        <v>2019</v>
      </c>
      <c r="B290" s="105">
        <v>0</v>
      </c>
      <c r="C290" s="105">
        <v>0</v>
      </c>
      <c r="D290" s="105">
        <v>0</v>
      </c>
      <c r="E290" s="105">
        <v>0</v>
      </c>
      <c r="F290" s="79">
        <v>6285000</v>
      </c>
      <c r="G290" s="79">
        <v>6285000</v>
      </c>
      <c r="H290" s="79">
        <v>6285000</v>
      </c>
      <c r="I290" s="79">
        <v>6285000</v>
      </c>
      <c r="J290" s="79">
        <v>6285000</v>
      </c>
      <c r="K290" s="79">
        <v>6285000</v>
      </c>
      <c r="L290" s="79">
        <v>6285000</v>
      </c>
      <c r="M290" s="79">
        <v>6285000</v>
      </c>
      <c r="N290" s="79">
        <v>6285000</v>
      </c>
      <c r="O290" s="58">
        <f t="shared" si="0"/>
        <v>4351153.846153846</v>
      </c>
      <c r="P290" s="85">
        <v>0.04</v>
      </c>
      <c r="Q290" s="85"/>
      <c r="R290" s="56">
        <f t="shared" si="6"/>
        <v>174046.15384615384</v>
      </c>
      <c r="S290" s="105">
        <f t="shared" si="7"/>
        <v>251400</v>
      </c>
    </row>
    <row r="291" spans="1:19">
      <c r="A291" s="1">
        <v>2020</v>
      </c>
      <c r="B291" s="105">
        <v>0</v>
      </c>
      <c r="C291" s="105">
        <v>0</v>
      </c>
      <c r="D291" s="105">
        <v>0</v>
      </c>
      <c r="E291" s="105">
        <v>0</v>
      </c>
      <c r="F291" s="79">
        <v>6545000</v>
      </c>
      <c r="G291" s="79">
        <v>6545000</v>
      </c>
      <c r="H291" s="79">
        <v>6545000</v>
      </c>
      <c r="I291" s="79">
        <v>6545000</v>
      </c>
      <c r="J291" s="79">
        <v>6545000</v>
      </c>
      <c r="K291" s="79">
        <v>6545000</v>
      </c>
      <c r="L291" s="79">
        <v>6545000</v>
      </c>
      <c r="M291" s="79">
        <v>6545000</v>
      </c>
      <c r="N291" s="79">
        <v>6545000</v>
      </c>
      <c r="O291" s="58">
        <f t="shared" si="0"/>
        <v>4531153.846153846</v>
      </c>
      <c r="P291" s="85">
        <v>0.05</v>
      </c>
      <c r="Q291" s="85"/>
      <c r="R291" s="56">
        <f t="shared" si="6"/>
        <v>226557.69230769231</v>
      </c>
      <c r="S291" s="105">
        <f t="shared" si="7"/>
        <v>327250</v>
      </c>
    </row>
    <row r="292" spans="1:19">
      <c r="A292" s="1">
        <v>2021</v>
      </c>
      <c r="B292" s="105">
        <v>0</v>
      </c>
      <c r="C292" s="105">
        <v>0</v>
      </c>
      <c r="D292" s="105">
        <v>0</v>
      </c>
      <c r="E292" s="105">
        <v>0</v>
      </c>
      <c r="F292" s="79">
        <v>6820000</v>
      </c>
      <c r="G292" s="79">
        <v>6820000</v>
      </c>
      <c r="H292" s="79">
        <v>6820000</v>
      </c>
      <c r="I292" s="79">
        <v>6820000</v>
      </c>
      <c r="J292" s="79">
        <v>6820000</v>
      </c>
      <c r="K292" s="79">
        <v>6820000</v>
      </c>
      <c r="L292" s="79">
        <v>6820000</v>
      </c>
      <c r="M292" s="79">
        <v>6820000</v>
      </c>
      <c r="N292" s="79">
        <v>6820000</v>
      </c>
      <c r="O292" s="58">
        <f t="shared" ref="O292:O308" si="8">AVERAGE(B292:N292)</f>
        <v>4721538.461538462</v>
      </c>
      <c r="P292" s="85">
        <v>0.05</v>
      </c>
      <c r="Q292" s="85"/>
      <c r="R292" s="56">
        <f t="shared" si="6"/>
        <v>236076.92307692312</v>
      </c>
      <c r="S292" s="105">
        <f t="shared" si="7"/>
        <v>341000</v>
      </c>
    </row>
    <row r="293" spans="1:19">
      <c r="A293" s="1">
        <v>2022</v>
      </c>
      <c r="B293" s="105">
        <v>0</v>
      </c>
      <c r="C293" s="105">
        <v>0</v>
      </c>
      <c r="D293" s="105">
        <v>0</v>
      </c>
      <c r="E293" s="105">
        <v>0</v>
      </c>
      <c r="F293" s="79">
        <v>7105000</v>
      </c>
      <c r="G293" s="79">
        <v>7105000</v>
      </c>
      <c r="H293" s="79">
        <v>7105000</v>
      </c>
      <c r="I293" s="79">
        <v>7105000</v>
      </c>
      <c r="J293" s="79">
        <v>7105000</v>
      </c>
      <c r="K293" s="79">
        <v>7105000</v>
      </c>
      <c r="L293" s="79">
        <v>7105000</v>
      </c>
      <c r="M293" s="79">
        <v>7105000</v>
      </c>
      <c r="N293" s="79">
        <v>7105000</v>
      </c>
      <c r="O293" s="58">
        <f t="shared" si="8"/>
        <v>4918846.153846154</v>
      </c>
      <c r="P293" s="85">
        <v>0.05</v>
      </c>
      <c r="Q293" s="85"/>
      <c r="R293" s="56">
        <f t="shared" si="6"/>
        <v>245942.30769230772</v>
      </c>
      <c r="S293" s="105">
        <f t="shared" si="7"/>
        <v>355250</v>
      </c>
    </row>
    <row r="294" spans="1:19">
      <c r="A294" s="1">
        <v>2023</v>
      </c>
      <c r="B294" s="105">
        <v>0</v>
      </c>
      <c r="C294" s="105">
        <v>0</v>
      </c>
      <c r="D294" s="105">
        <v>0</v>
      </c>
      <c r="E294" s="105">
        <v>0</v>
      </c>
      <c r="F294" s="79">
        <v>7480000</v>
      </c>
      <c r="G294" s="79">
        <v>7480000</v>
      </c>
      <c r="H294" s="79">
        <v>7480000</v>
      </c>
      <c r="I294" s="79">
        <v>7480000</v>
      </c>
      <c r="J294" s="79">
        <v>7480000</v>
      </c>
      <c r="K294" s="79">
        <v>7480000</v>
      </c>
      <c r="L294" s="79">
        <v>7480000</v>
      </c>
      <c r="M294" s="79">
        <v>7480000</v>
      </c>
      <c r="N294" s="79">
        <v>7480000</v>
      </c>
      <c r="O294" s="58">
        <f t="shared" si="8"/>
        <v>5178461.538461538</v>
      </c>
      <c r="P294" s="85">
        <v>0.04</v>
      </c>
      <c r="Q294" s="85"/>
      <c r="R294" s="56">
        <f t="shared" si="6"/>
        <v>207138.46153846153</v>
      </c>
      <c r="S294" s="105">
        <f t="shared" si="7"/>
        <v>299200</v>
      </c>
    </row>
    <row r="295" spans="1:19">
      <c r="A295" s="1">
        <v>2024</v>
      </c>
      <c r="B295" s="105">
        <v>0</v>
      </c>
      <c r="C295" s="105">
        <v>0</v>
      </c>
      <c r="D295" s="105">
        <v>0</v>
      </c>
      <c r="E295" s="105">
        <v>0</v>
      </c>
      <c r="F295" s="79">
        <v>7870000</v>
      </c>
      <c r="G295" s="79">
        <v>7870000</v>
      </c>
      <c r="H295" s="79">
        <v>7870000</v>
      </c>
      <c r="I295" s="79">
        <v>7870000</v>
      </c>
      <c r="J295" s="79">
        <v>7870000</v>
      </c>
      <c r="K295" s="79">
        <v>7870000</v>
      </c>
      <c r="L295" s="79">
        <v>7870000</v>
      </c>
      <c r="M295" s="79">
        <v>7870000</v>
      </c>
      <c r="N295" s="79">
        <v>7870000</v>
      </c>
      <c r="O295" s="58">
        <f t="shared" si="8"/>
        <v>5448461.538461538</v>
      </c>
      <c r="P295" s="85">
        <v>0.05</v>
      </c>
      <c r="Q295" s="85"/>
      <c r="R295" s="56">
        <f t="shared" si="6"/>
        <v>272423.07692307694</v>
      </c>
      <c r="S295" s="105">
        <f t="shared" si="7"/>
        <v>393500</v>
      </c>
    </row>
    <row r="296" spans="1:19">
      <c r="A296" s="1">
        <v>2025</v>
      </c>
      <c r="B296" s="105">
        <v>0</v>
      </c>
      <c r="C296" s="105">
        <v>0</v>
      </c>
      <c r="D296" s="105">
        <v>0</v>
      </c>
      <c r="E296" s="105">
        <v>0</v>
      </c>
      <c r="F296" s="79">
        <v>8285000</v>
      </c>
      <c r="G296" s="79">
        <v>8285000</v>
      </c>
      <c r="H296" s="79">
        <v>8285000</v>
      </c>
      <c r="I296" s="79">
        <v>8285000</v>
      </c>
      <c r="J296" s="79">
        <v>8285000</v>
      </c>
      <c r="K296" s="79">
        <v>8285000</v>
      </c>
      <c r="L296" s="79">
        <v>8285000</v>
      </c>
      <c r="M296" s="79">
        <v>8285000</v>
      </c>
      <c r="N296" s="79">
        <v>8285000</v>
      </c>
      <c r="O296" s="58">
        <f t="shared" si="8"/>
        <v>5735769.230769231</v>
      </c>
      <c r="P296" s="85">
        <v>0.05</v>
      </c>
      <c r="Q296" s="85"/>
      <c r="R296" s="56">
        <f t="shared" si="6"/>
        <v>286788.46153846156</v>
      </c>
      <c r="S296" s="105">
        <f t="shared" si="7"/>
        <v>414250</v>
      </c>
    </row>
    <row r="297" spans="1:19">
      <c r="A297" s="1">
        <v>2026</v>
      </c>
      <c r="B297" s="105">
        <v>0</v>
      </c>
      <c r="C297" s="105">
        <v>0</v>
      </c>
      <c r="D297" s="105">
        <v>0</v>
      </c>
      <c r="E297" s="105">
        <v>0</v>
      </c>
      <c r="F297" s="79">
        <v>8720000</v>
      </c>
      <c r="G297" s="79">
        <v>8720000</v>
      </c>
      <c r="H297" s="79">
        <v>8720000</v>
      </c>
      <c r="I297" s="79">
        <v>8720000</v>
      </c>
      <c r="J297" s="79">
        <v>8720000</v>
      </c>
      <c r="K297" s="79">
        <v>8720000</v>
      </c>
      <c r="L297" s="79">
        <v>8720000</v>
      </c>
      <c r="M297" s="79">
        <v>8720000</v>
      </c>
      <c r="N297" s="79">
        <v>8720000</v>
      </c>
      <c r="O297" s="58">
        <f t="shared" si="8"/>
        <v>6036923.076923077</v>
      </c>
      <c r="P297" s="85">
        <v>0.05</v>
      </c>
      <c r="Q297" s="85"/>
      <c r="R297" s="56">
        <f t="shared" si="6"/>
        <v>301846.15384615387</v>
      </c>
      <c r="S297" s="105">
        <f t="shared" si="7"/>
        <v>436000</v>
      </c>
    </row>
    <row r="298" spans="1:19">
      <c r="A298" s="1">
        <v>2027</v>
      </c>
      <c r="B298" s="105">
        <v>0</v>
      </c>
      <c r="C298" s="105">
        <v>0</v>
      </c>
      <c r="D298" s="105">
        <v>0</v>
      </c>
      <c r="E298" s="105">
        <v>0</v>
      </c>
      <c r="F298" s="79">
        <v>9180000</v>
      </c>
      <c r="G298" s="79">
        <v>9180000</v>
      </c>
      <c r="H298" s="79">
        <v>9180000</v>
      </c>
      <c r="I298" s="79">
        <v>9180000</v>
      </c>
      <c r="J298" s="79">
        <v>9180000</v>
      </c>
      <c r="K298" s="79">
        <v>9180000</v>
      </c>
      <c r="L298" s="79">
        <v>9180000</v>
      </c>
      <c r="M298" s="79">
        <v>9180000</v>
      </c>
      <c r="N298" s="79">
        <v>9180000</v>
      </c>
      <c r="O298" s="58">
        <f t="shared" si="8"/>
        <v>6355384.615384615</v>
      </c>
      <c r="P298" s="85">
        <v>0.05</v>
      </c>
      <c r="Q298" s="85"/>
      <c r="R298" s="56">
        <f t="shared" si="6"/>
        <v>317769.23076923075</v>
      </c>
      <c r="S298" s="105">
        <f t="shared" si="7"/>
        <v>459000</v>
      </c>
    </row>
    <row r="299" spans="1:19">
      <c r="A299" s="1">
        <v>2028</v>
      </c>
      <c r="B299" s="105">
        <v>0</v>
      </c>
      <c r="C299" s="105">
        <v>0</v>
      </c>
      <c r="D299" s="105">
        <v>0</v>
      </c>
      <c r="E299" s="105">
        <v>0</v>
      </c>
      <c r="F299" s="79">
        <v>9665000</v>
      </c>
      <c r="G299" s="79">
        <v>9665000</v>
      </c>
      <c r="H299" s="79">
        <v>9665000</v>
      </c>
      <c r="I299" s="79">
        <v>9665000</v>
      </c>
      <c r="J299" s="79">
        <v>9665000</v>
      </c>
      <c r="K299" s="79">
        <v>9665000</v>
      </c>
      <c r="L299" s="79">
        <v>9665000</v>
      </c>
      <c r="M299" s="79">
        <v>9665000</v>
      </c>
      <c r="N299" s="79">
        <v>9665000</v>
      </c>
      <c r="O299" s="58">
        <f t="shared" si="8"/>
        <v>6691153.846153846</v>
      </c>
      <c r="P299" s="85">
        <v>0.05</v>
      </c>
      <c r="Q299" s="85"/>
      <c r="R299" s="56">
        <f t="shared" si="6"/>
        <v>334557.69230769231</v>
      </c>
      <c r="S299" s="105">
        <f t="shared" si="7"/>
        <v>483250</v>
      </c>
    </row>
    <row r="300" spans="1:19">
      <c r="A300" s="1">
        <v>2029</v>
      </c>
      <c r="B300" s="105">
        <v>0</v>
      </c>
      <c r="C300" s="105">
        <v>0</v>
      </c>
      <c r="D300" s="105">
        <v>0</v>
      </c>
      <c r="E300" s="105">
        <v>0</v>
      </c>
      <c r="F300" s="79">
        <v>10170000</v>
      </c>
      <c r="G300" s="79">
        <v>10170000</v>
      </c>
      <c r="H300" s="79">
        <v>10170000</v>
      </c>
      <c r="I300" s="79">
        <v>10170000</v>
      </c>
      <c r="J300" s="79">
        <v>10170000</v>
      </c>
      <c r="K300" s="79">
        <v>10170000</v>
      </c>
      <c r="L300" s="79">
        <v>10170000</v>
      </c>
      <c r="M300" s="79">
        <v>10170000</v>
      </c>
      <c r="N300" s="79">
        <v>10170000</v>
      </c>
      <c r="O300" s="58">
        <f t="shared" si="8"/>
        <v>7040769.230769231</v>
      </c>
      <c r="P300" s="85">
        <v>0.05</v>
      </c>
      <c r="Q300" s="85"/>
      <c r="R300" s="56">
        <f t="shared" si="6"/>
        <v>352038.46153846156</v>
      </c>
      <c r="S300" s="105">
        <f t="shared" si="7"/>
        <v>508500</v>
      </c>
    </row>
    <row r="301" spans="1:19">
      <c r="A301" s="1">
        <v>2030</v>
      </c>
      <c r="B301" s="105">
        <v>0</v>
      </c>
      <c r="C301" s="105">
        <v>0</v>
      </c>
      <c r="D301" s="105">
        <v>0</v>
      </c>
      <c r="E301" s="105">
        <v>0</v>
      </c>
      <c r="F301" s="79">
        <v>10710000</v>
      </c>
      <c r="G301" s="79">
        <v>10710000</v>
      </c>
      <c r="H301" s="79">
        <v>10710000</v>
      </c>
      <c r="I301" s="79">
        <v>10710000</v>
      </c>
      <c r="J301" s="79">
        <v>10710000</v>
      </c>
      <c r="K301" s="79">
        <v>10710000</v>
      </c>
      <c r="L301" s="79">
        <v>10710000</v>
      </c>
      <c r="M301" s="79">
        <v>10710000</v>
      </c>
      <c r="N301" s="79">
        <v>10710000</v>
      </c>
      <c r="O301" s="58">
        <f t="shared" si="8"/>
        <v>7414615.384615385</v>
      </c>
      <c r="P301" s="85">
        <v>0.05</v>
      </c>
      <c r="Q301" s="85"/>
      <c r="R301" s="56">
        <f t="shared" si="6"/>
        <v>370730.76923076925</v>
      </c>
      <c r="S301" s="105">
        <f t="shared" si="7"/>
        <v>535500</v>
      </c>
    </row>
    <row r="302" spans="1:19">
      <c r="A302" s="1">
        <v>2031</v>
      </c>
      <c r="B302" s="105">
        <v>0</v>
      </c>
      <c r="C302" s="105">
        <v>0</v>
      </c>
      <c r="D302" s="105">
        <v>0</v>
      </c>
      <c r="E302" s="105">
        <v>0</v>
      </c>
      <c r="F302" s="79">
        <v>11270000</v>
      </c>
      <c r="G302" s="79">
        <v>11270000</v>
      </c>
      <c r="H302" s="79">
        <v>11270000</v>
      </c>
      <c r="I302" s="79">
        <v>11270000</v>
      </c>
      <c r="J302" s="79">
        <v>11270000</v>
      </c>
      <c r="K302" s="79">
        <v>11270000</v>
      </c>
      <c r="L302" s="79">
        <v>11270000</v>
      </c>
      <c r="M302" s="79">
        <v>11270000</v>
      </c>
      <c r="N302" s="79">
        <v>11270000</v>
      </c>
      <c r="O302" s="58">
        <f t="shared" si="8"/>
        <v>7802307.692307692</v>
      </c>
      <c r="P302" s="85">
        <v>0.05</v>
      </c>
      <c r="Q302" s="85"/>
      <c r="R302" s="56">
        <f t="shared" si="6"/>
        <v>390115.38461538462</v>
      </c>
      <c r="S302" s="105">
        <f t="shared" si="7"/>
        <v>563500</v>
      </c>
    </row>
    <row r="303" spans="1:19">
      <c r="A303" s="1">
        <v>2032</v>
      </c>
      <c r="B303" s="105">
        <v>0</v>
      </c>
      <c r="C303" s="105">
        <v>0</v>
      </c>
      <c r="D303" s="105">
        <v>0</v>
      </c>
      <c r="E303" s="105">
        <v>0</v>
      </c>
      <c r="F303" s="79">
        <v>11865000</v>
      </c>
      <c r="G303" s="79">
        <v>11865000</v>
      </c>
      <c r="H303" s="79">
        <v>11865000</v>
      </c>
      <c r="I303" s="79">
        <v>11865000</v>
      </c>
      <c r="J303" s="79">
        <v>11865000</v>
      </c>
      <c r="K303" s="79">
        <v>11865000</v>
      </c>
      <c r="L303" s="79">
        <v>11865000</v>
      </c>
      <c r="M303" s="79">
        <v>11865000</v>
      </c>
      <c r="N303" s="79">
        <v>11865000</v>
      </c>
      <c r="O303" s="58">
        <f t="shared" si="8"/>
        <v>8214230.769230769</v>
      </c>
      <c r="P303" s="85">
        <v>0.05</v>
      </c>
      <c r="Q303" s="85"/>
      <c r="R303" s="56">
        <f t="shared" si="6"/>
        <v>410711.5384615385</v>
      </c>
      <c r="S303" s="105">
        <f t="shared" si="7"/>
        <v>593250</v>
      </c>
    </row>
    <row r="304" spans="1:19">
      <c r="A304" s="1">
        <v>2033</v>
      </c>
      <c r="B304" s="105">
        <v>0</v>
      </c>
      <c r="C304" s="105">
        <v>0</v>
      </c>
      <c r="D304" s="105">
        <v>0</v>
      </c>
      <c r="E304" s="105">
        <v>0</v>
      </c>
      <c r="F304" s="79">
        <v>33540000</v>
      </c>
      <c r="G304" s="79">
        <v>33540000</v>
      </c>
      <c r="H304" s="79">
        <v>33540000</v>
      </c>
      <c r="I304" s="79">
        <v>33540000</v>
      </c>
      <c r="J304" s="79">
        <v>33540000</v>
      </c>
      <c r="K304" s="79">
        <v>33540000</v>
      </c>
      <c r="L304" s="79">
        <v>33540000</v>
      </c>
      <c r="M304" s="79">
        <v>33540000</v>
      </c>
      <c r="N304" s="79">
        <v>33540000</v>
      </c>
      <c r="O304" s="58">
        <f t="shared" si="8"/>
        <v>23220000</v>
      </c>
      <c r="P304" s="85">
        <v>0.05</v>
      </c>
      <c r="Q304" s="85"/>
      <c r="R304" s="56">
        <f t="shared" si="6"/>
        <v>1161000</v>
      </c>
      <c r="S304" s="105">
        <f t="shared" si="7"/>
        <v>1677000</v>
      </c>
    </row>
    <row r="305" spans="1:19">
      <c r="A305" s="1">
        <v>2034</v>
      </c>
      <c r="B305" s="105">
        <v>0</v>
      </c>
      <c r="C305" s="105">
        <v>0</v>
      </c>
      <c r="D305" s="105">
        <v>0</v>
      </c>
      <c r="E305" s="105">
        <v>0</v>
      </c>
      <c r="F305" s="79">
        <v>14255000</v>
      </c>
      <c r="G305" s="79">
        <v>14255000</v>
      </c>
      <c r="H305" s="79">
        <v>14255000</v>
      </c>
      <c r="I305" s="79">
        <v>14255000</v>
      </c>
      <c r="J305" s="79">
        <v>14255000</v>
      </c>
      <c r="K305" s="79">
        <v>14255000</v>
      </c>
      <c r="L305" s="79">
        <v>14255000</v>
      </c>
      <c r="M305" s="79">
        <v>14255000</v>
      </c>
      <c r="N305" s="79">
        <v>14255000</v>
      </c>
      <c r="O305" s="58">
        <f t="shared" si="8"/>
        <v>9868846.153846154</v>
      </c>
      <c r="P305" s="85">
        <v>0.05</v>
      </c>
      <c r="Q305" s="85"/>
      <c r="R305" s="56">
        <f t="shared" si="6"/>
        <v>493442.30769230775</v>
      </c>
      <c r="S305" s="105">
        <f t="shared" si="7"/>
        <v>712750</v>
      </c>
    </row>
    <row r="306" spans="1:19">
      <c r="A306" s="1">
        <v>2035</v>
      </c>
      <c r="B306" s="105">
        <v>0</v>
      </c>
      <c r="C306" s="105">
        <v>0</v>
      </c>
      <c r="D306" s="105">
        <v>0</v>
      </c>
      <c r="E306" s="105">
        <v>0</v>
      </c>
      <c r="F306" s="79">
        <v>30795000</v>
      </c>
      <c r="G306" s="79">
        <v>30795000</v>
      </c>
      <c r="H306" s="79">
        <v>30795000</v>
      </c>
      <c r="I306" s="79">
        <v>30795000</v>
      </c>
      <c r="J306" s="79">
        <v>30795000</v>
      </c>
      <c r="K306" s="79">
        <v>30795000</v>
      </c>
      <c r="L306" s="79">
        <v>30795000</v>
      </c>
      <c r="M306" s="79">
        <v>30795000</v>
      </c>
      <c r="N306" s="79">
        <v>30795000</v>
      </c>
      <c r="O306" s="58">
        <f t="shared" si="8"/>
        <v>21319615.384615384</v>
      </c>
      <c r="P306" s="85">
        <v>0.05</v>
      </c>
      <c r="Q306" s="85"/>
      <c r="R306" s="56">
        <f t="shared" si="6"/>
        <v>1065980.7692307692</v>
      </c>
      <c r="S306" s="105">
        <f t="shared" si="7"/>
        <v>1539750</v>
      </c>
    </row>
    <row r="307" spans="1:19">
      <c r="A307" s="1">
        <v>2039</v>
      </c>
      <c r="B307" s="105">
        <v>0</v>
      </c>
      <c r="C307" s="105">
        <v>0</v>
      </c>
      <c r="D307" s="105">
        <v>0</v>
      </c>
      <c r="E307" s="105">
        <v>0</v>
      </c>
      <c r="F307" s="79">
        <v>105265000</v>
      </c>
      <c r="G307" s="79">
        <v>105265000</v>
      </c>
      <c r="H307" s="79">
        <v>105265000</v>
      </c>
      <c r="I307" s="79">
        <v>105265000</v>
      </c>
      <c r="J307" s="79">
        <v>105265000</v>
      </c>
      <c r="K307" s="79">
        <v>105265000</v>
      </c>
      <c r="L307" s="79">
        <v>105265000</v>
      </c>
      <c r="M307" s="79">
        <v>105265000</v>
      </c>
      <c r="N307" s="79">
        <v>105265000</v>
      </c>
      <c r="O307" s="58">
        <f t="shared" si="8"/>
        <v>72875769.230769232</v>
      </c>
      <c r="P307" s="85">
        <v>0.05</v>
      </c>
      <c r="Q307" s="85"/>
      <c r="R307" s="56">
        <f t="shared" si="6"/>
        <v>3643788.461538462</v>
      </c>
      <c r="S307" s="105">
        <f t="shared" si="7"/>
        <v>5263250</v>
      </c>
    </row>
    <row r="308" spans="1:19">
      <c r="A308" s="78">
        <v>2044</v>
      </c>
      <c r="B308" s="81">
        <v>0</v>
      </c>
      <c r="C308" s="81">
        <v>0</v>
      </c>
      <c r="D308" s="81">
        <v>0</v>
      </c>
      <c r="E308" s="81">
        <v>0</v>
      </c>
      <c r="F308" s="80">
        <v>144175000</v>
      </c>
      <c r="G308" s="80">
        <v>144175000</v>
      </c>
      <c r="H308" s="80">
        <v>144175000</v>
      </c>
      <c r="I308" s="80">
        <v>144175000</v>
      </c>
      <c r="J308" s="80">
        <v>144175000</v>
      </c>
      <c r="K308" s="80">
        <v>144175000</v>
      </c>
      <c r="L308" s="80">
        <v>144175000</v>
      </c>
      <c r="M308" s="80">
        <v>144175000</v>
      </c>
      <c r="N308" s="80">
        <v>144175000</v>
      </c>
      <c r="O308" s="82">
        <f t="shared" si="8"/>
        <v>99813461.538461536</v>
      </c>
      <c r="P308" s="86">
        <v>0.05</v>
      </c>
      <c r="Q308" s="86"/>
      <c r="R308" s="81">
        <f t="shared" si="6"/>
        <v>4990673.076923077</v>
      </c>
      <c r="S308" s="81">
        <f t="shared" si="7"/>
        <v>7208750</v>
      </c>
    </row>
    <row r="309" spans="1:19">
      <c r="A309" t="s">
        <v>221</v>
      </c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8"/>
      <c r="P309" s="57"/>
      <c r="Q309" s="57">
        <v>3.8330000000000003E-2</v>
      </c>
      <c r="R309" s="56"/>
    </row>
    <row r="310" spans="1:19">
      <c r="A310" s="1">
        <v>2019</v>
      </c>
      <c r="B310" s="56">
        <v>0</v>
      </c>
      <c r="C310" s="56">
        <v>0</v>
      </c>
      <c r="D310" s="56">
        <v>0</v>
      </c>
      <c r="E310" s="56">
        <v>0</v>
      </c>
      <c r="F310" s="56">
        <v>0</v>
      </c>
      <c r="G310" s="56">
        <v>0</v>
      </c>
      <c r="H310" s="56">
        <v>0</v>
      </c>
      <c r="I310" s="79">
        <v>3230000</v>
      </c>
      <c r="J310" s="79">
        <v>3230000</v>
      </c>
      <c r="K310" s="79">
        <v>3230000</v>
      </c>
      <c r="L310" s="79">
        <v>3230000</v>
      </c>
      <c r="M310" s="79">
        <v>3230000</v>
      </c>
      <c r="N310" s="79">
        <v>3230000</v>
      </c>
      <c r="O310" s="58">
        <f t="shared" ref="O310:O330" si="9">AVERAGE(B310:N310)</f>
        <v>1490769.2307692308</v>
      </c>
      <c r="P310" s="85">
        <v>0.05</v>
      </c>
      <c r="Q310" s="85"/>
      <c r="R310" s="56">
        <f t="shared" si="6"/>
        <v>74538.461538461546</v>
      </c>
      <c r="S310" s="105">
        <f t="shared" si="7"/>
        <v>161500</v>
      </c>
    </row>
    <row r="311" spans="1:19">
      <c r="A311" s="1">
        <v>2020</v>
      </c>
      <c r="B311" s="56">
        <v>0</v>
      </c>
      <c r="C311" s="56">
        <v>0</v>
      </c>
      <c r="D311" s="56">
        <v>0</v>
      </c>
      <c r="E311" s="56">
        <v>0</v>
      </c>
      <c r="F311" s="56">
        <v>0</v>
      </c>
      <c r="G311" s="56">
        <v>0</v>
      </c>
      <c r="H311" s="56">
        <v>0</v>
      </c>
      <c r="I311" s="79">
        <v>3475000</v>
      </c>
      <c r="J311" s="79">
        <v>3475000</v>
      </c>
      <c r="K311" s="79">
        <v>3475000</v>
      </c>
      <c r="L311" s="79">
        <v>3475000</v>
      </c>
      <c r="M311" s="79">
        <v>3475000</v>
      </c>
      <c r="N311" s="79">
        <v>3475000</v>
      </c>
      <c r="O311" s="58">
        <f t="shared" si="9"/>
        <v>1603846.1538461538</v>
      </c>
      <c r="P311" s="85">
        <v>0.05</v>
      </c>
      <c r="Q311" s="85"/>
      <c r="R311" s="56">
        <f t="shared" si="6"/>
        <v>80192.307692307688</v>
      </c>
      <c r="S311" s="105">
        <f t="shared" si="7"/>
        <v>173750</v>
      </c>
    </row>
    <row r="312" spans="1:19">
      <c r="A312" s="1">
        <v>2021</v>
      </c>
      <c r="B312" s="56">
        <v>0</v>
      </c>
      <c r="C312" s="56">
        <v>0</v>
      </c>
      <c r="D312" s="56">
        <v>0</v>
      </c>
      <c r="E312" s="56">
        <v>0</v>
      </c>
      <c r="F312" s="56">
        <v>0</v>
      </c>
      <c r="G312" s="56">
        <v>0</v>
      </c>
      <c r="H312" s="56">
        <v>0</v>
      </c>
      <c r="I312" s="79">
        <v>3530000</v>
      </c>
      <c r="J312" s="79">
        <v>3530000</v>
      </c>
      <c r="K312" s="79">
        <v>3530000</v>
      </c>
      <c r="L312" s="79">
        <v>3530000</v>
      </c>
      <c r="M312" s="79">
        <v>3530000</v>
      </c>
      <c r="N312" s="79">
        <v>3530000</v>
      </c>
      <c r="O312" s="58">
        <f t="shared" si="9"/>
        <v>1629230.7692307692</v>
      </c>
      <c r="P312" s="85">
        <v>0.05</v>
      </c>
      <c r="Q312" s="85"/>
      <c r="R312" s="56">
        <f t="shared" si="6"/>
        <v>81461.538461538468</v>
      </c>
      <c r="S312" s="105">
        <f t="shared" si="7"/>
        <v>176500</v>
      </c>
    </row>
    <row r="313" spans="1:19">
      <c r="A313" s="1">
        <v>2022</v>
      </c>
      <c r="B313" s="56">
        <v>0</v>
      </c>
      <c r="C313" s="56">
        <v>0</v>
      </c>
      <c r="D313" s="56">
        <v>0</v>
      </c>
      <c r="E313" s="56">
        <v>0</v>
      </c>
      <c r="F313" s="56">
        <v>0</v>
      </c>
      <c r="G313" s="56">
        <v>0</v>
      </c>
      <c r="H313" s="56">
        <v>0</v>
      </c>
      <c r="I313" s="79">
        <v>3790000</v>
      </c>
      <c r="J313" s="79">
        <v>3790000</v>
      </c>
      <c r="K313" s="79">
        <v>3790000</v>
      </c>
      <c r="L313" s="79">
        <v>3790000</v>
      </c>
      <c r="M313" s="79">
        <v>3790000</v>
      </c>
      <c r="N313" s="79">
        <v>3790000</v>
      </c>
      <c r="O313" s="58">
        <f t="shared" si="9"/>
        <v>1749230.7692307692</v>
      </c>
      <c r="P313" s="85">
        <v>0.05</v>
      </c>
      <c r="Q313" s="85"/>
      <c r="R313" s="56">
        <f t="shared" si="6"/>
        <v>87461.538461538468</v>
      </c>
      <c r="S313" s="105">
        <f t="shared" si="7"/>
        <v>189500</v>
      </c>
    </row>
    <row r="314" spans="1:19">
      <c r="A314" s="1">
        <v>2023</v>
      </c>
      <c r="B314" s="56">
        <v>0</v>
      </c>
      <c r="C314" s="56">
        <v>0</v>
      </c>
      <c r="D314" s="56">
        <v>0</v>
      </c>
      <c r="E314" s="56">
        <v>0</v>
      </c>
      <c r="F314" s="56">
        <v>0</v>
      </c>
      <c r="G314" s="56">
        <v>0</v>
      </c>
      <c r="H314" s="56">
        <v>0</v>
      </c>
      <c r="I314" s="79">
        <v>3910000</v>
      </c>
      <c r="J314" s="79">
        <v>3910000</v>
      </c>
      <c r="K314" s="79">
        <v>3910000</v>
      </c>
      <c r="L314" s="79">
        <v>3910000</v>
      </c>
      <c r="M314" s="79">
        <v>3910000</v>
      </c>
      <c r="N314" s="79">
        <v>3910000</v>
      </c>
      <c r="O314" s="58">
        <f t="shared" si="9"/>
        <v>1804615.3846153845</v>
      </c>
      <c r="P314" s="85">
        <v>0.05</v>
      </c>
      <c r="Q314" s="85"/>
      <c r="R314" s="56">
        <f t="shared" si="6"/>
        <v>90230.769230769234</v>
      </c>
      <c r="S314" s="105">
        <f t="shared" si="7"/>
        <v>195500</v>
      </c>
    </row>
    <row r="315" spans="1:19">
      <c r="A315" s="1">
        <v>2024</v>
      </c>
      <c r="B315" s="56">
        <v>0</v>
      </c>
      <c r="C315" s="56">
        <v>0</v>
      </c>
      <c r="D315" s="56">
        <v>0</v>
      </c>
      <c r="E315" s="56">
        <v>0</v>
      </c>
      <c r="F315" s="56">
        <v>0</v>
      </c>
      <c r="G315" s="56">
        <v>0</v>
      </c>
      <c r="H315" s="56">
        <v>0</v>
      </c>
      <c r="I315" s="79">
        <v>4120000</v>
      </c>
      <c r="J315" s="79">
        <v>4120000</v>
      </c>
      <c r="K315" s="79">
        <v>4120000</v>
      </c>
      <c r="L315" s="79">
        <v>4120000</v>
      </c>
      <c r="M315" s="79">
        <v>4120000</v>
      </c>
      <c r="N315" s="79">
        <v>4120000</v>
      </c>
      <c r="O315" s="58">
        <f t="shared" si="9"/>
        <v>1901538.4615384615</v>
      </c>
      <c r="P315" s="85">
        <v>0.05</v>
      </c>
      <c r="Q315" s="85"/>
      <c r="R315" s="56">
        <f t="shared" si="6"/>
        <v>95076.923076923078</v>
      </c>
      <c r="S315" s="105">
        <f t="shared" si="7"/>
        <v>206000</v>
      </c>
    </row>
    <row r="316" spans="1:19">
      <c r="A316" s="1">
        <v>2025</v>
      </c>
      <c r="B316" s="56">
        <v>0</v>
      </c>
      <c r="C316" s="56">
        <v>0</v>
      </c>
      <c r="D316" s="56">
        <v>0</v>
      </c>
      <c r="E316" s="56">
        <v>0</v>
      </c>
      <c r="F316" s="56">
        <v>0</v>
      </c>
      <c r="G316" s="56">
        <v>0</v>
      </c>
      <c r="H316" s="56">
        <v>0</v>
      </c>
      <c r="I316" s="79">
        <v>4335000</v>
      </c>
      <c r="J316" s="79">
        <v>4335000</v>
      </c>
      <c r="K316" s="79">
        <v>4335000</v>
      </c>
      <c r="L316" s="79">
        <v>4335000</v>
      </c>
      <c r="M316" s="79">
        <v>4335000</v>
      </c>
      <c r="N316" s="79">
        <v>4335000</v>
      </c>
      <c r="O316" s="58">
        <f t="shared" si="9"/>
        <v>2000769.2307692308</v>
      </c>
      <c r="P316" s="85">
        <v>0.05</v>
      </c>
      <c r="Q316" s="85"/>
      <c r="R316" s="56">
        <f t="shared" si="6"/>
        <v>100038.46153846155</v>
      </c>
      <c r="S316" s="105">
        <f t="shared" si="7"/>
        <v>216750</v>
      </c>
    </row>
    <row r="317" spans="1:19">
      <c r="A317" s="1">
        <v>2026</v>
      </c>
      <c r="B317" s="56">
        <v>0</v>
      </c>
      <c r="C317" s="56">
        <v>0</v>
      </c>
      <c r="D317" s="56">
        <v>0</v>
      </c>
      <c r="E317" s="56">
        <v>0</v>
      </c>
      <c r="F317" s="56">
        <v>0</v>
      </c>
      <c r="G317" s="56">
        <v>0</v>
      </c>
      <c r="H317" s="56">
        <v>0</v>
      </c>
      <c r="I317" s="79">
        <v>4560000</v>
      </c>
      <c r="J317" s="79">
        <v>4560000</v>
      </c>
      <c r="K317" s="79">
        <v>4560000</v>
      </c>
      <c r="L317" s="79">
        <v>4560000</v>
      </c>
      <c r="M317" s="79">
        <v>4560000</v>
      </c>
      <c r="N317" s="79">
        <v>4560000</v>
      </c>
      <c r="O317" s="58">
        <f t="shared" si="9"/>
        <v>2104615.3846153845</v>
      </c>
      <c r="P317" s="85">
        <v>0.05</v>
      </c>
      <c r="Q317" s="85"/>
      <c r="R317" s="56">
        <f t="shared" si="6"/>
        <v>105230.76923076923</v>
      </c>
      <c r="S317" s="105">
        <f t="shared" si="7"/>
        <v>228000</v>
      </c>
    </row>
    <row r="318" spans="1:19">
      <c r="A318" s="1">
        <v>2027</v>
      </c>
      <c r="B318" s="56">
        <v>0</v>
      </c>
      <c r="C318" s="56">
        <v>0</v>
      </c>
      <c r="D318" s="56">
        <v>0</v>
      </c>
      <c r="E318" s="56">
        <v>0</v>
      </c>
      <c r="F318" s="56">
        <v>0</v>
      </c>
      <c r="G318" s="56">
        <v>0</v>
      </c>
      <c r="H318" s="56">
        <v>0</v>
      </c>
      <c r="I318" s="79">
        <v>4805000</v>
      </c>
      <c r="J318" s="79">
        <v>4805000</v>
      </c>
      <c r="K318" s="79">
        <v>4805000</v>
      </c>
      <c r="L318" s="79">
        <v>4805000</v>
      </c>
      <c r="M318" s="79">
        <v>4805000</v>
      </c>
      <c r="N318" s="79">
        <v>4805000</v>
      </c>
      <c r="O318" s="58">
        <f t="shared" si="9"/>
        <v>2217692.3076923075</v>
      </c>
      <c r="P318" s="85">
        <v>0.05</v>
      </c>
      <c r="Q318" s="85"/>
      <c r="R318" s="56">
        <f t="shared" si="6"/>
        <v>110884.61538461538</v>
      </c>
      <c r="S318" s="105">
        <f t="shared" si="7"/>
        <v>240250</v>
      </c>
    </row>
    <row r="319" spans="1:19">
      <c r="A319" s="1">
        <v>2028</v>
      </c>
      <c r="B319" s="56">
        <v>0</v>
      </c>
      <c r="C319" s="56">
        <v>0</v>
      </c>
      <c r="D319" s="56">
        <v>0</v>
      </c>
      <c r="E319" s="56">
        <v>0</v>
      </c>
      <c r="F319" s="56">
        <v>0</v>
      </c>
      <c r="G319" s="56">
        <v>0</v>
      </c>
      <c r="H319" s="56">
        <v>0</v>
      </c>
      <c r="I319" s="79">
        <v>5050000</v>
      </c>
      <c r="J319" s="79">
        <v>5050000</v>
      </c>
      <c r="K319" s="79">
        <v>5050000</v>
      </c>
      <c r="L319" s="79">
        <v>5050000</v>
      </c>
      <c r="M319" s="79">
        <v>5050000</v>
      </c>
      <c r="N319" s="79">
        <v>5050000</v>
      </c>
      <c r="O319" s="58">
        <f t="shared" si="9"/>
        <v>2330769.230769231</v>
      </c>
      <c r="P319" s="85">
        <v>0.05</v>
      </c>
      <c r="Q319" s="85"/>
      <c r="R319" s="56">
        <f t="shared" si="6"/>
        <v>116538.46153846156</v>
      </c>
      <c r="S319" s="105">
        <f t="shared" si="7"/>
        <v>252500</v>
      </c>
    </row>
    <row r="320" spans="1:19">
      <c r="A320" s="1">
        <v>2029</v>
      </c>
      <c r="B320" s="56">
        <v>0</v>
      </c>
      <c r="C320" s="56">
        <v>0</v>
      </c>
      <c r="D320" s="56">
        <v>0</v>
      </c>
      <c r="E320" s="56">
        <v>0</v>
      </c>
      <c r="F320" s="56">
        <v>0</v>
      </c>
      <c r="G320" s="56">
        <v>0</v>
      </c>
      <c r="H320" s="56">
        <v>0</v>
      </c>
      <c r="I320" s="79">
        <v>5320000</v>
      </c>
      <c r="J320" s="79">
        <v>5320000</v>
      </c>
      <c r="K320" s="79">
        <v>5320000</v>
      </c>
      <c r="L320" s="79">
        <v>5320000</v>
      </c>
      <c r="M320" s="79">
        <v>5320000</v>
      </c>
      <c r="N320" s="79">
        <v>5320000</v>
      </c>
      <c r="O320" s="58">
        <f t="shared" si="9"/>
        <v>2455384.6153846155</v>
      </c>
      <c r="P320" s="85">
        <v>0.05</v>
      </c>
      <c r="Q320" s="85"/>
      <c r="R320" s="56">
        <f t="shared" si="6"/>
        <v>122769.23076923078</v>
      </c>
      <c r="S320" s="105">
        <f t="shared" si="7"/>
        <v>266000</v>
      </c>
    </row>
    <row r="321" spans="1:20">
      <c r="A321" s="1">
        <v>2030</v>
      </c>
      <c r="B321" s="56">
        <v>0</v>
      </c>
      <c r="C321" s="56">
        <v>0</v>
      </c>
      <c r="D321" s="56">
        <v>0</v>
      </c>
      <c r="E321" s="56">
        <v>0</v>
      </c>
      <c r="F321" s="56">
        <v>0</v>
      </c>
      <c r="G321" s="56">
        <v>0</v>
      </c>
      <c r="H321" s="56">
        <v>0</v>
      </c>
      <c r="I321" s="79">
        <v>6125000</v>
      </c>
      <c r="J321" s="79">
        <v>6125000</v>
      </c>
      <c r="K321" s="79">
        <v>6125000</v>
      </c>
      <c r="L321" s="79">
        <v>6125000</v>
      </c>
      <c r="M321" s="79">
        <v>6125000</v>
      </c>
      <c r="N321" s="79">
        <v>6125000</v>
      </c>
      <c r="O321" s="58">
        <f t="shared" si="9"/>
        <v>2826923.076923077</v>
      </c>
      <c r="P321" s="85">
        <v>0.05</v>
      </c>
      <c r="Q321" s="85"/>
      <c r="R321" s="56">
        <f t="shared" si="6"/>
        <v>141346.15384615384</v>
      </c>
      <c r="S321" s="105">
        <f t="shared" si="7"/>
        <v>306250</v>
      </c>
    </row>
    <row r="322" spans="1:20">
      <c r="A322" s="1">
        <v>2031</v>
      </c>
      <c r="B322" s="56">
        <v>0</v>
      </c>
      <c r="C322" s="56">
        <v>0</v>
      </c>
      <c r="D322" s="56">
        <v>0</v>
      </c>
      <c r="E322" s="56">
        <v>0</v>
      </c>
      <c r="F322" s="56">
        <v>0</v>
      </c>
      <c r="G322" s="56">
        <v>0</v>
      </c>
      <c r="H322" s="56">
        <v>0</v>
      </c>
      <c r="I322" s="79">
        <v>1000000</v>
      </c>
      <c r="J322" s="79">
        <v>1000000</v>
      </c>
      <c r="K322" s="79">
        <v>1000000</v>
      </c>
      <c r="L322" s="79">
        <v>1000000</v>
      </c>
      <c r="M322" s="79">
        <v>1000000</v>
      </c>
      <c r="N322" s="79">
        <v>1000000</v>
      </c>
      <c r="O322" s="58">
        <f t="shared" si="9"/>
        <v>461538.46153846156</v>
      </c>
      <c r="P322" s="85">
        <v>0.05</v>
      </c>
      <c r="Q322" s="85"/>
      <c r="R322" s="56">
        <f t="shared" si="6"/>
        <v>23076.923076923078</v>
      </c>
      <c r="S322" s="105">
        <f t="shared" si="7"/>
        <v>50000</v>
      </c>
    </row>
    <row r="323" spans="1:20">
      <c r="A323" s="1">
        <v>2032</v>
      </c>
      <c r="B323" s="56">
        <v>0</v>
      </c>
      <c r="C323" s="56">
        <v>0</v>
      </c>
      <c r="D323" s="56">
        <v>0</v>
      </c>
      <c r="E323" s="56">
        <v>0</v>
      </c>
      <c r="F323" s="56">
        <v>0</v>
      </c>
      <c r="G323" s="56">
        <v>0</v>
      </c>
      <c r="H323" s="56">
        <v>0</v>
      </c>
      <c r="I323" s="79">
        <v>2500000</v>
      </c>
      <c r="J323" s="79">
        <v>2500000</v>
      </c>
      <c r="K323" s="79">
        <v>2500000</v>
      </c>
      <c r="L323" s="79">
        <v>2500000</v>
      </c>
      <c r="M323" s="79">
        <v>2500000</v>
      </c>
      <c r="N323" s="79">
        <v>2500000</v>
      </c>
      <c r="O323" s="58">
        <f t="shared" si="9"/>
        <v>1153846.1538461538</v>
      </c>
      <c r="P323" s="85">
        <v>0.05</v>
      </c>
      <c r="Q323" s="85"/>
      <c r="R323" s="56">
        <f t="shared" si="6"/>
        <v>57692.307692307688</v>
      </c>
      <c r="S323" s="105">
        <f t="shared" si="7"/>
        <v>125000</v>
      </c>
    </row>
    <row r="324" spans="1:20">
      <c r="A324" s="1">
        <v>2033</v>
      </c>
      <c r="B324" s="56">
        <v>0</v>
      </c>
      <c r="C324" s="56">
        <v>0</v>
      </c>
      <c r="D324" s="56">
        <v>0</v>
      </c>
      <c r="E324" s="56">
        <v>0</v>
      </c>
      <c r="F324" s="56">
        <v>0</v>
      </c>
      <c r="G324" s="56">
        <v>0</v>
      </c>
      <c r="H324" s="56">
        <v>0</v>
      </c>
      <c r="I324" s="79">
        <v>2705000</v>
      </c>
      <c r="J324" s="79">
        <v>2705000</v>
      </c>
      <c r="K324" s="79">
        <v>2705000</v>
      </c>
      <c r="L324" s="79">
        <v>2705000</v>
      </c>
      <c r="M324" s="79">
        <v>2705000</v>
      </c>
      <c r="N324" s="79">
        <v>2705000</v>
      </c>
      <c r="O324" s="58">
        <f t="shared" si="9"/>
        <v>1248461.5384615385</v>
      </c>
      <c r="P324" s="85">
        <v>0.05</v>
      </c>
      <c r="Q324" s="85"/>
      <c r="R324" s="56">
        <f t="shared" si="6"/>
        <v>62423.076923076929</v>
      </c>
      <c r="S324" s="105">
        <f t="shared" si="7"/>
        <v>135250</v>
      </c>
    </row>
    <row r="325" spans="1:20">
      <c r="A325" s="1">
        <v>2034</v>
      </c>
      <c r="B325" s="56">
        <v>0</v>
      </c>
      <c r="C325" s="56">
        <v>0</v>
      </c>
      <c r="D325" s="56">
        <v>0</v>
      </c>
      <c r="E325" s="56">
        <v>0</v>
      </c>
      <c r="F325" s="56">
        <v>0</v>
      </c>
      <c r="G325" s="56">
        <v>0</v>
      </c>
      <c r="H325" s="56">
        <v>0</v>
      </c>
      <c r="I325" s="79">
        <v>12005000</v>
      </c>
      <c r="J325" s="79">
        <v>12005000</v>
      </c>
      <c r="K325" s="79">
        <v>12005000</v>
      </c>
      <c r="L325" s="79">
        <v>12005000</v>
      </c>
      <c r="M325" s="79">
        <v>12005000</v>
      </c>
      <c r="N325" s="79">
        <v>12005000</v>
      </c>
      <c r="O325" s="58">
        <f t="shared" si="9"/>
        <v>5540769.230769231</v>
      </c>
      <c r="P325" s="85">
        <v>0.05</v>
      </c>
      <c r="Q325" s="85"/>
      <c r="R325" s="56">
        <f t="shared" si="6"/>
        <v>277038.46153846156</v>
      </c>
      <c r="S325" s="105">
        <f t="shared" si="7"/>
        <v>600250</v>
      </c>
    </row>
    <row r="326" spans="1:20">
      <c r="A326" s="1">
        <v>2035</v>
      </c>
      <c r="B326" s="56">
        <v>0</v>
      </c>
      <c r="C326" s="56">
        <v>0</v>
      </c>
      <c r="D326" s="56">
        <v>0</v>
      </c>
      <c r="E326" s="56">
        <v>0</v>
      </c>
      <c r="F326" s="56">
        <v>0</v>
      </c>
      <c r="G326" s="56">
        <v>0</v>
      </c>
      <c r="H326" s="56">
        <v>0</v>
      </c>
      <c r="I326" s="79">
        <v>12145000</v>
      </c>
      <c r="J326" s="79">
        <v>12145000</v>
      </c>
      <c r="K326" s="79">
        <v>12145000</v>
      </c>
      <c r="L326" s="79">
        <v>12145000</v>
      </c>
      <c r="M326" s="79">
        <v>12145000</v>
      </c>
      <c r="N326" s="79">
        <v>12145000</v>
      </c>
      <c r="O326" s="58">
        <f t="shared" si="9"/>
        <v>5605384.615384615</v>
      </c>
      <c r="P326" s="85">
        <v>0.05</v>
      </c>
      <c r="Q326" s="85"/>
      <c r="R326" s="56">
        <f t="shared" si="6"/>
        <v>280269.23076923075</v>
      </c>
      <c r="S326" s="105">
        <f t="shared" si="7"/>
        <v>607250</v>
      </c>
    </row>
    <row r="327" spans="1:20">
      <c r="A327" s="1">
        <v>2039</v>
      </c>
      <c r="B327" s="56">
        <v>0</v>
      </c>
      <c r="C327" s="56">
        <v>0</v>
      </c>
      <c r="D327" s="56">
        <v>0</v>
      </c>
      <c r="E327" s="56">
        <v>0</v>
      </c>
      <c r="F327" s="56">
        <v>0</v>
      </c>
      <c r="G327" s="56">
        <v>0</v>
      </c>
      <c r="H327" s="56">
        <v>0</v>
      </c>
      <c r="I327" s="79">
        <f t="shared" ref="I327:N327" si="10">16440000+3380000+1640000+8790000</f>
        <v>30250000</v>
      </c>
      <c r="J327" s="79">
        <f t="shared" si="10"/>
        <v>30250000</v>
      </c>
      <c r="K327" s="79">
        <f t="shared" si="10"/>
        <v>30250000</v>
      </c>
      <c r="L327" s="79">
        <f t="shared" si="10"/>
        <v>30250000</v>
      </c>
      <c r="M327" s="79">
        <f t="shared" si="10"/>
        <v>30250000</v>
      </c>
      <c r="N327" s="79">
        <f t="shared" si="10"/>
        <v>30250000</v>
      </c>
      <c r="O327" s="58">
        <f t="shared" si="9"/>
        <v>13961538.461538462</v>
      </c>
      <c r="P327" s="85">
        <v>0.05</v>
      </c>
      <c r="Q327" s="85"/>
      <c r="R327" s="56">
        <f t="shared" si="6"/>
        <v>698076.92307692312</v>
      </c>
      <c r="S327" s="105">
        <f t="shared" si="7"/>
        <v>1512500</v>
      </c>
    </row>
    <row r="328" spans="1:20">
      <c r="A328" s="78">
        <v>2044</v>
      </c>
      <c r="B328" s="81">
        <v>0</v>
      </c>
      <c r="C328" s="81">
        <v>0</v>
      </c>
      <c r="D328" s="81">
        <v>0</v>
      </c>
      <c r="E328" s="81">
        <v>0</v>
      </c>
      <c r="F328" s="81">
        <v>0</v>
      </c>
      <c r="G328" s="81">
        <v>0</v>
      </c>
      <c r="H328" s="81">
        <v>0</v>
      </c>
      <c r="I328" s="80">
        <f t="shared" ref="I328:N328" si="11">7490000+15265000+16070000+16915000+60405000</f>
        <v>116145000</v>
      </c>
      <c r="J328" s="80">
        <f t="shared" si="11"/>
        <v>116145000</v>
      </c>
      <c r="K328" s="80">
        <f t="shared" si="11"/>
        <v>116145000</v>
      </c>
      <c r="L328" s="80">
        <f t="shared" si="11"/>
        <v>116145000</v>
      </c>
      <c r="M328" s="80">
        <f t="shared" si="11"/>
        <v>116145000</v>
      </c>
      <c r="N328" s="80">
        <f t="shared" si="11"/>
        <v>116145000</v>
      </c>
      <c r="O328" s="82">
        <f t="shared" si="9"/>
        <v>53605384.615384616</v>
      </c>
      <c r="P328" s="86">
        <v>0.05</v>
      </c>
      <c r="Q328" s="86"/>
      <c r="R328" s="81">
        <f t="shared" si="6"/>
        <v>2680269.230769231</v>
      </c>
      <c r="S328" s="81">
        <f t="shared" si="7"/>
        <v>5807250</v>
      </c>
    </row>
    <row r="329" spans="1:20">
      <c r="A329" s="101" t="s">
        <v>222</v>
      </c>
      <c r="B329" s="56"/>
      <c r="C329" s="56"/>
      <c r="D329" s="56"/>
      <c r="E329" s="56"/>
      <c r="F329" s="56"/>
      <c r="G329" s="56"/>
      <c r="H329" s="56"/>
      <c r="I329" s="56"/>
      <c r="J329" s="56"/>
      <c r="K329" s="105"/>
      <c r="L329" s="105"/>
      <c r="M329" s="105"/>
      <c r="N329" s="105"/>
      <c r="O329" s="58"/>
      <c r="P329" s="107"/>
      <c r="Q329" s="107">
        <v>3.6360000000000003E-2</v>
      </c>
      <c r="R329" s="56"/>
    </row>
    <row r="330" spans="1:20">
      <c r="A330" s="92">
        <v>2028</v>
      </c>
      <c r="B330" s="56">
        <v>0</v>
      </c>
      <c r="C330" s="56">
        <v>0</v>
      </c>
      <c r="D330" s="56">
        <v>0</v>
      </c>
      <c r="E330" s="56">
        <v>0</v>
      </c>
      <c r="F330" s="56">
        <v>0</v>
      </c>
      <c r="G330" s="56">
        <v>0</v>
      </c>
      <c r="H330" s="56">
        <v>0</v>
      </c>
      <c r="I330" s="56">
        <v>0</v>
      </c>
      <c r="J330" s="56">
        <v>0</v>
      </c>
      <c r="K330" s="106">
        <v>29410000</v>
      </c>
      <c r="L330" s="106">
        <v>29410000</v>
      </c>
      <c r="M330" s="106">
        <v>29410000</v>
      </c>
      <c r="N330" s="106">
        <v>29410000</v>
      </c>
      <c r="O330" s="58">
        <f t="shared" si="9"/>
        <v>9049230.7692307699</v>
      </c>
      <c r="P330" s="93">
        <v>0.05</v>
      </c>
      <c r="Q330" s="93"/>
      <c r="R330" s="56">
        <f t="shared" si="6"/>
        <v>452461.5384615385</v>
      </c>
      <c r="S330" s="105">
        <f t="shared" si="7"/>
        <v>1470500</v>
      </c>
    </row>
    <row r="331" spans="1:20">
      <c r="A331" s="1">
        <v>2029</v>
      </c>
      <c r="B331" s="56">
        <v>0</v>
      </c>
      <c r="C331" s="56">
        <v>0</v>
      </c>
      <c r="D331" s="56">
        <v>0</v>
      </c>
      <c r="E331" s="56">
        <v>0</v>
      </c>
      <c r="F331" s="56">
        <v>0</v>
      </c>
      <c r="G331" s="56">
        <v>0</v>
      </c>
      <c r="H331" s="56">
        <v>0</v>
      </c>
      <c r="I331" s="56">
        <v>0</v>
      </c>
      <c r="J331" s="56">
        <v>0</v>
      </c>
      <c r="K331" s="79">
        <v>21795000</v>
      </c>
      <c r="L331" s="79">
        <v>21795000</v>
      </c>
      <c r="M331" s="79">
        <v>21795000</v>
      </c>
      <c r="N331" s="79">
        <v>21795000</v>
      </c>
      <c r="O331" s="58">
        <f t="shared" ref="O331:O343" si="12">AVERAGE(B331:N331)</f>
        <v>6706153.846153846</v>
      </c>
      <c r="P331" s="85">
        <v>0.05</v>
      </c>
      <c r="Q331" s="85"/>
      <c r="R331" s="56">
        <f t="shared" ref="R331:R342" si="13">O331*P331</f>
        <v>335307.69230769231</v>
      </c>
      <c r="S331" s="105">
        <f t="shared" ref="S331:S342" si="14">P331*N331</f>
        <v>1089750</v>
      </c>
      <c r="T331" s="57"/>
    </row>
    <row r="332" spans="1:20">
      <c r="A332" s="1">
        <v>2030</v>
      </c>
      <c r="B332" s="56">
        <v>0</v>
      </c>
      <c r="C332" s="56">
        <v>0</v>
      </c>
      <c r="D332" s="56">
        <v>0</v>
      </c>
      <c r="E332" s="56">
        <v>0</v>
      </c>
      <c r="F332" s="56">
        <v>0</v>
      </c>
      <c r="G332" s="56">
        <v>0</v>
      </c>
      <c r="H332" s="56">
        <v>0</v>
      </c>
      <c r="I332" s="56">
        <v>0</v>
      </c>
      <c r="J332" s="56">
        <v>0</v>
      </c>
      <c r="K332" s="79">
        <v>58315000</v>
      </c>
      <c r="L332" s="79">
        <v>58315000</v>
      </c>
      <c r="M332" s="79">
        <v>58315000</v>
      </c>
      <c r="N332" s="79">
        <v>58315000</v>
      </c>
      <c r="O332" s="58">
        <f t="shared" si="12"/>
        <v>17943076.923076924</v>
      </c>
      <c r="P332" s="85">
        <v>0.05</v>
      </c>
      <c r="Q332" s="85"/>
      <c r="R332" s="56">
        <f t="shared" si="13"/>
        <v>897153.84615384624</v>
      </c>
      <c r="S332" s="105">
        <f t="shared" si="14"/>
        <v>2915750</v>
      </c>
    </row>
    <row r="333" spans="1:20">
      <c r="A333" s="1">
        <v>2031</v>
      </c>
      <c r="B333" s="56">
        <v>0</v>
      </c>
      <c r="C333" s="56">
        <v>0</v>
      </c>
      <c r="D333" s="56">
        <v>0</v>
      </c>
      <c r="E333" s="56">
        <v>0</v>
      </c>
      <c r="F333" s="56">
        <v>0</v>
      </c>
      <c r="G333" s="56">
        <v>0</v>
      </c>
      <c r="H333" s="56">
        <v>0</v>
      </c>
      <c r="I333" s="56">
        <v>0</v>
      </c>
      <c r="J333" s="56">
        <v>0</v>
      </c>
      <c r="K333" s="79">
        <v>51860000</v>
      </c>
      <c r="L333" s="79">
        <v>51860000</v>
      </c>
      <c r="M333" s="79">
        <v>51860000</v>
      </c>
      <c r="N333" s="79">
        <v>51860000</v>
      </c>
      <c r="O333" s="58">
        <f t="shared" si="12"/>
        <v>15956923.076923076</v>
      </c>
      <c r="P333" s="85">
        <v>3.2500000000000001E-2</v>
      </c>
      <c r="Q333" s="85"/>
      <c r="R333" s="56">
        <f t="shared" si="13"/>
        <v>518600</v>
      </c>
      <c r="S333" s="105">
        <f t="shared" si="14"/>
        <v>1685450</v>
      </c>
    </row>
    <row r="334" spans="1:20">
      <c r="A334" s="1">
        <v>2031</v>
      </c>
      <c r="B334" s="56">
        <v>0</v>
      </c>
      <c r="C334" s="56">
        <v>0</v>
      </c>
      <c r="D334" s="56">
        <v>0</v>
      </c>
      <c r="E334" s="56">
        <v>0</v>
      </c>
      <c r="F334" s="56">
        <v>0</v>
      </c>
      <c r="G334" s="56">
        <v>0</v>
      </c>
      <c r="H334" s="56">
        <v>0</v>
      </c>
      <c r="I334" s="56">
        <v>0</v>
      </c>
      <c r="J334" s="56">
        <v>0</v>
      </c>
      <c r="K334" s="79">
        <v>14515000</v>
      </c>
      <c r="L334" s="79">
        <v>14515000</v>
      </c>
      <c r="M334" s="79">
        <v>14515000</v>
      </c>
      <c r="N334" s="79">
        <v>14515000</v>
      </c>
      <c r="O334" s="58">
        <f t="shared" si="12"/>
        <v>4466153.846153846</v>
      </c>
      <c r="P334" s="85">
        <v>0.05</v>
      </c>
      <c r="Q334" s="85"/>
      <c r="R334" s="56">
        <f t="shared" si="13"/>
        <v>223307.69230769231</v>
      </c>
      <c r="S334" s="105">
        <f t="shared" si="14"/>
        <v>725750</v>
      </c>
    </row>
    <row r="335" spans="1:20">
      <c r="A335" s="1">
        <v>2032</v>
      </c>
      <c r="B335" s="56">
        <v>0</v>
      </c>
      <c r="C335" s="56">
        <v>0</v>
      </c>
      <c r="D335" s="56">
        <v>0</v>
      </c>
      <c r="E335" s="56">
        <v>0</v>
      </c>
      <c r="F335" s="56">
        <v>0</v>
      </c>
      <c r="G335" s="56">
        <v>0</v>
      </c>
      <c r="H335" s="56">
        <v>0</v>
      </c>
      <c r="I335" s="56">
        <v>0</v>
      </c>
      <c r="J335" s="56">
        <v>0</v>
      </c>
      <c r="K335" s="79">
        <v>20680000</v>
      </c>
      <c r="L335" s="79">
        <v>20680000</v>
      </c>
      <c r="M335" s="79">
        <v>20680000</v>
      </c>
      <c r="N335" s="79">
        <v>20680000</v>
      </c>
      <c r="O335" s="58">
        <f t="shared" si="12"/>
        <v>6363076.923076923</v>
      </c>
      <c r="P335" s="85">
        <v>0.05</v>
      </c>
      <c r="Q335" s="85"/>
      <c r="R335" s="56">
        <f t="shared" si="13"/>
        <v>318153.84615384619</v>
      </c>
      <c r="S335" s="105">
        <f t="shared" si="14"/>
        <v>1034000</v>
      </c>
    </row>
    <row r="336" spans="1:20">
      <c r="A336" s="1">
        <v>2032</v>
      </c>
      <c r="B336" s="56">
        <v>0</v>
      </c>
      <c r="C336" s="56">
        <v>0</v>
      </c>
      <c r="D336" s="56">
        <v>0</v>
      </c>
      <c r="E336" s="56">
        <v>0</v>
      </c>
      <c r="F336" s="56">
        <v>0</v>
      </c>
      <c r="G336" s="56">
        <v>0</v>
      </c>
      <c r="H336" s="56">
        <v>0</v>
      </c>
      <c r="I336" s="56">
        <v>0</v>
      </c>
      <c r="J336" s="56">
        <v>0</v>
      </c>
      <c r="K336" s="79">
        <v>46830000</v>
      </c>
      <c r="L336" s="79">
        <v>46830000</v>
      </c>
      <c r="M336" s="79">
        <v>46830000</v>
      </c>
      <c r="N336" s="79">
        <v>46830000</v>
      </c>
      <c r="O336" s="58">
        <f t="shared" si="12"/>
        <v>14409230.76923077</v>
      </c>
      <c r="P336" s="85">
        <v>0.04</v>
      </c>
      <c r="Q336" s="85"/>
      <c r="R336" s="56">
        <f t="shared" si="13"/>
        <v>576369.23076923087</v>
      </c>
      <c r="S336" s="105">
        <f t="shared" si="14"/>
        <v>1873200</v>
      </c>
    </row>
    <row r="337" spans="1:19">
      <c r="A337" s="1">
        <v>2033</v>
      </c>
      <c r="B337" s="56">
        <v>0</v>
      </c>
      <c r="C337" s="56">
        <v>0</v>
      </c>
      <c r="D337" s="56">
        <v>0</v>
      </c>
      <c r="E337" s="56">
        <v>0</v>
      </c>
      <c r="F337" s="56">
        <v>0</v>
      </c>
      <c r="G337" s="56">
        <v>0</v>
      </c>
      <c r="H337" s="56">
        <v>0</v>
      </c>
      <c r="I337" s="56">
        <v>0</v>
      </c>
      <c r="J337" s="56">
        <v>0</v>
      </c>
      <c r="K337" s="79">
        <v>66030000</v>
      </c>
      <c r="L337" s="79">
        <v>66030000</v>
      </c>
      <c r="M337" s="79">
        <v>66030000</v>
      </c>
      <c r="N337" s="79">
        <v>66030000</v>
      </c>
      <c r="O337" s="58">
        <f t="shared" si="12"/>
        <v>20316923.076923076</v>
      </c>
      <c r="P337" s="85">
        <v>0.05</v>
      </c>
      <c r="Q337" s="85"/>
      <c r="R337" s="56">
        <f t="shared" si="13"/>
        <v>1015846.1538461539</v>
      </c>
      <c r="S337" s="105">
        <f t="shared" si="14"/>
        <v>3301500</v>
      </c>
    </row>
    <row r="338" spans="1:19">
      <c r="A338" s="1">
        <v>2034</v>
      </c>
      <c r="B338" s="56">
        <v>0</v>
      </c>
      <c r="C338" s="56">
        <v>0</v>
      </c>
      <c r="D338" s="56">
        <v>0</v>
      </c>
      <c r="E338" s="56">
        <v>0</v>
      </c>
      <c r="F338" s="56">
        <v>0</v>
      </c>
      <c r="G338" s="56">
        <v>0</v>
      </c>
      <c r="H338" s="56">
        <v>0</v>
      </c>
      <c r="I338" s="56">
        <v>0</v>
      </c>
      <c r="J338" s="56">
        <v>0</v>
      </c>
      <c r="K338" s="79">
        <v>66105000</v>
      </c>
      <c r="L338" s="79">
        <v>66105000</v>
      </c>
      <c r="M338" s="79">
        <v>66105000</v>
      </c>
      <c r="N338" s="79">
        <v>66105000</v>
      </c>
      <c r="O338" s="58">
        <f t="shared" si="12"/>
        <v>20340000</v>
      </c>
      <c r="P338" s="85">
        <v>0.05</v>
      </c>
      <c r="Q338" s="85"/>
      <c r="R338" s="56">
        <f t="shared" si="13"/>
        <v>1017000</v>
      </c>
      <c r="S338" s="105">
        <f t="shared" si="14"/>
        <v>3305250</v>
      </c>
    </row>
    <row r="339" spans="1:19">
      <c r="A339" s="1">
        <v>2035</v>
      </c>
      <c r="B339" s="56">
        <v>0</v>
      </c>
      <c r="C339" s="56">
        <v>0</v>
      </c>
      <c r="D339" s="56">
        <v>0</v>
      </c>
      <c r="E339" s="56">
        <v>0</v>
      </c>
      <c r="F339" s="56">
        <v>0</v>
      </c>
      <c r="G339" s="56">
        <v>0</v>
      </c>
      <c r="H339" s="56">
        <v>0</v>
      </c>
      <c r="I339" s="56">
        <v>0</v>
      </c>
      <c r="J339" s="56">
        <v>0</v>
      </c>
      <c r="K339" s="79">
        <v>27020000</v>
      </c>
      <c r="L339" s="79">
        <v>27020000</v>
      </c>
      <c r="M339" s="79">
        <v>27020000</v>
      </c>
      <c r="N339" s="79">
        <v>27020000</v>
      </c>
      <c r="O339" s="58">
        <f t="shared" si="12"/>
        <v>8313846.153846154</v>
      </c>
      <c r="P339" s="85">
        <v>0.05</v>
      </c>
      <c r="Q339" s="85"/>
      <c r="R339" s="56">
        <f t="shared" si="13"/>
        <v>415692.30769230775</v>
      </c>
      <c r="S339" s="105">
        <f t="shared" si="14"/>
        <v>1351000</v>
      </c>
    </row>
    <row r="340" spans="1:19">
      <c r="A340" s="1">
        <v>2035</v>
      </c>
      <c r="B340" s="56">
        <v>0</v>
      </c>
      <c r="C340" s="56">
        <v>0</v>
      </c>
      <c r="D340" s="56">
        <v>0</v>
      </c>
      <c r="E340" s="56">
        <v>0</v>
      </c>
      <c r="F340" s="56">
        <v>0</v>
      </c>
      <c r="G340" s="56">
        <v>0</v>
      </c>
      <c r="H340" s="56">
        <v>0</v>
      </c>
      <c r="I340" s="56">
        <v>0</v>
      </c>
      <c r="J340" s="56">
        <v>0</v>
      </c>
      <c r="K340" s="79">
        <v>38460000</v>
      </c>
      <c r="L340" s="79">
        <v>38460000</v>
      </c>
      <c r="M340" s="79">
        <v>38460000</v>
      </c>
      <c r="N340" s="79">
        <v>38460000</v>
      </c>
      <c r="O340" s="58">
        <f t="shared" si="12"/>
        <v>11833846.153846154</v>
      </c>
      <c r="P340" s="85">
        <v>0.05</v>
      </c>
      <c r="Q340" s="85"/>
      <c r="R340" s="56">
        <f t="shared" si="13"/>
        <v>591692.30769230775</v>
      </c>
      <c r="S340" s="105">
        <f t="shared" si="14"/>
        <v>1923000</v>
      </c>
    </row>
    <row r="341" spans="1:19">
      <c r="A341" s="1">
        <v>2036</v>
      </c>
      <c r="B341" s="56">
        <v>0</v>
      </c>
      <c r="C341" s="56">
        <v>0</v>
      </c>
      <c r="D341" s="56">
        <v>0</v>
      </c>
      <c r="E341" s="56">
        <v>0</v>
      </c>
      <c r="F341" s="56">
        <v>0</v>
      </c>
      <c r="G341" s="56">
        <v>0</v>
      </c>
      <c r="H341" s="56">
        <v>0</v>
      </c>
      <c r="I341" s="56">
        <v>0</v>
      </c>
      <c r="J341" s="56">
        <v>0</v>
      </c>
      <c r="K341" s="79">
        <v>21745000</v>
      </c>
      <c r="L341" s="79">
        <v>21745000</v>
      </c>
      <c r="M341" s="79">
        <v>21745000</v>
      </c>
      <c r="N341" s="79">
        <v>21745000</v>
      </c>
      <c r="O341" s="58">
        <f t="shared" si="12"/>
        <v>6690769.230769231</v>
      </c>
      <c r="P341" s="85">
        <v>0.05</v>
      </c>
      <c r="Q341" s="85"/>
      <c r="R341" s="56">
        <f t="shared" si="13"/>
        <v>334538.46153846156</v>
      </c>
      <c r="S341" s="105">
        <f t="shared" si="14"/>
        <v>1087250</v>
      </c>
    </row>
    <row r="342" spans="1:19">
      <c r="A342" s="78">
        <v>2040</v>
      </c>
      <c r="B342" s="81">
        <v>0</v>
      </c>
      <c r="C342" s="81">
        <v>0</v>
      </c>
      <c r="D342" s="81">
        <v>0</v>
      </c>
      <c r="E342" s="81">
        <v>0</v>
      </c>
      <c r="F342" s="81">
        <v>0</v>
      </c>
      <c r="G342" s="81">
        <v>0</v>
      </c>
      <c r="H342" s="81">
        <v>0</v>
      </c>
      <c r="I342" s="81">
        <v>0</v>
      </c>
      <c r="J342" s="81">
        <v>0</v>
      </c>
      <c r="K342" s="80">
        <f>22660000+11170000+11615000+12070000</f>
        <v>57515000</v>
      </c>
      <c r="L342" s="80">
        <f>22660000+11170000+11615000+12070000</f>
        <v>57515000</v>
      </c>
      <c r="M342" s="80">
        <f>22660000+11170000+11615000+12070000</f>
        <v>57515000</v>
      </c>
      <c r="N342" s="80">
        <f>22660000+11170000+11615000+12070000</f>
        <v>57515000</v>
      </c>
      <c r="O342" s="82">
        <f t="shared" si="12"/>
        <v>17696923.076923076</v>
      </c>
      <c r="P342" s="86">
        <v>0.04</v>
      </c>
      <c r="Q342" s="86"/>
      <c r="R342" s="81">
        <f t="shared" si="13"/>
        <v>707876.92307692301</v>
      </c>
      <c r="S342" s="81">
        <f t="shared" si="14"/>
        <v>2300600</v>
      </c>
    </row>
    <row r="343" spans="1:19">
      <c r="A343" s="118" t="s">
        <v>262</v>
      </c>
      <c r="B343" s="89">
        <v>200000000</v>
      </c>
      <c r="C343" s="89">
        <v>200000000</v>
      </c>
      <c r="D343" s="89">
        <v>200000000</v>
      </c>
      <c r="E343" s="89">
        <v>200000000</v>
      </c>
      <c r="F343" s="89">
        <v>200000000</v>
      </c>
      <c r="G343" s="89">
        <v>200000000</v>
      </c>
      <c r="H343" s="89">
        <v>200000000</v>
      </c>
      <c r="I343" s="89">
        <v>200000000</v>
      </c>
      <c r="J343" s="89">
        <v>200000000</v>
      </c>
      <c r="K343" s="89">
        <v>200000000</v>
      </c>
      <c r="L343" s="89">
        <v>200000000</v>
      </c>
      <c r="M343" s="89">
        <v>200000000</v>
      </c>
      <c r="N343" s="89">
        <v>200000000</v>
      </c>
      <c r="O343" s="82">
        <f t="shared" si="12"/>
        <v>200000000</v>
      </c>
      <c r="P343" s="119"/>
      <c r="Q343" s="119"/>
      <c r="R343" s="126">
        <v>229132.87</v>
      </c>
      <c r="S343" s="126">
        <f>R343</f>
        <v>229132.87</v>
      </c>
    </row>
    <row r="344" spans="1:19">
      <c r="A344" s="92"/>
      <c r="B344" s="105"/>
      <c r="C344" s="105"/>
      <c r="D344" s="105"/>
      <c r="E344" s="105"/>
      <c r="F344" s="105"/>
      <c r="G344" s="105"/>
      <c r="H344" s="105"/>
      <c r="I344" s="105"/>
      <c r="J344" s="105"/>
      <c r="K344" s="106"/>
      <c r="L344" s="106"/>
      <c r="M344" s="106"/>
      <c r="N344" s="106"/>
      <c r="O344" s="108"/>
      <c r="P344" s="93"/>
      <c r="Q344" s="93"/>
      <c r="R344" s="105"/>
    </row>
    <row r="345" spans="1:19">
      <c r="A345" s="92"/>
      <c r="B345" s="105"/>
      <c r="C345" s="105"/>
      <c r="D345" s="105"/>
      <c r="E345" s="105"/>
      <c r="F345" s="105"/>
      <c r="G345" s="105"/>
      <c r="H345" s="105"/>
      <c r="I345" s="105"/>
      <c r="J345" s="105"/>
      <c r="K345" s="106"/>
      <c r="L345" s="106"/>
      <c r="M345" s="106"/>
      <c r="N345" s="106"/>
      <c r="O345" s="108"/>
      <c r="P345" s="93"/>
      <c r="Q345" s="93"/>
      <c r="R345" s="105"/>
    </row>
    <row r="346" spans="1:19">
      <c r="A346" s="92" t="s">
        <v>189</v>
      </c>
      <c r="B346" s="105">
        <v>5379174000</v>
      </c>
      <c r="C346" s="105"/>
      <c r="D346" s="105"/>
      <c r="E346" s="105">
        <v>5548554000</v>
      </c>
      <c r="F346" s="105"/>
      <c r="G346" s="105"/>
      <c r="H346" s="105">
        <v>5324657000</v>
      </c>
      <c r="I346" s="105"/>
      <c r="J346" s="105"/>
      <c r="K346" s="116">
        <v>5350921000</v>
      </c>
      <c r="L346" s="106"/>
      <c r="M346" s="106"/>
      <c r="N346" s="116">
        <v>5415775000</v>
      </c>
      <c r="O346" s="117">
        <f>AVERAGE(B346:N346)</f>
        <v>5403816200</v>
      </c>
      <c r="P346" s="93"/>
      <c r="Q346" s="93"/>
      <c r="R346" s="105"/>
    </row>
    <row r="347" spans="1:19">
      <c r="A347" s="92"/>
      <c r="B347" s="105"/>
      <c r="C347" s="105"/>
      <c r="D347" s="105"/>
      <c r="E347" s="105"/>
      <c r="F347" s="105"/>
      <c r="G347" s="105"/>
      <c r="H347" s="105"/>
      <c r="I347" s="105"/>
      <c r="J347" s="105"/>
      <c r="K347" s="106"/>
      <c r="L347" s="106"/>
      <c r="M347" s="106"/>
      <c r="N347" s="106"/>
      <c r="O347" s="108"/>
      <c r="P347" s="93"/>
      <c r="Q347" s="93"/>
      <c r="R347" s="105"/>
    </row>
    <row r="348" spans="1:19">
      <c r="A348" s="92" t="s">
        <v>292</v>
      </c>
      <c r="B348" s="105">
        <v>384358000</v>
      </c>
      <c r="C348" s="105"/>
      <c r="D348" s="105"/>
      <c r="E348" s="105"/>
      <c r="F348" s="105"/>
      <c r="G348" s="105"/>
      <c r="H348" s="105"/>
      <c r="I348" s="105"/>
      <c r="J348" s="105"/>
      <c r="K348" s="106"/>
      <c r="L348" s="106"/>
      <c r="M348" s="106"/>
      <c r="N348" s="106">
        <v>538442000</v>
      </c>
      <c r="O348" s="117">
        <f>AVERAGE(B348:N348)</f>
        <v>461400000</v>
      </c>
      <c r="P348" s="93"/>
      <c r="Q348" s="93"/>
      <c r="R348" s="105"/>
    </row>
    <row r="350" spans="1:19">
      <c r="M350" s="15" t="s">
        <v>298</v>
      </c>
      <c r="N350" s="23">
        <f>SUM(N21:N342)</f>
        <v>8060003742</v>
      </c>
      <c r="R350" s="147"/>
    </row>
    <row r="351" spans="1:19">
      <c r="P351" s="148" t="s">
        <v>290</v>
      </c>
      <c r="Q351" s="114"/>
      <c r="R351" s="23">
        <f>SUM(R21:R342)</f>
        <v>351722199.76746136</v>
      </c>
      <c r="S351" s="56"/>
    </row>
    <row r="352" spans="1:19">
      <c r="P352" s="148" t="s">
        <v>299</v>
      </c>
      <c r="Q352" s="114"/>
      <c r="R352" s="150">
        <v>-33327914</v>
      </c>
      <c r="S352" s="56"/>
    </row>
    <row r="353" spans="14:26">
      <c r="P353" s="15" t="s">
        <v>291</v>
      </c>
      <c r="R353" s="151">
        <v>-52179693.919999994</v>
      </c>
    </row>
    <row r="354" spans="14:26">
      <c r="N354" s="23"/>
      <c r="P354" s="149" t="s">
        <v>295</v>
      </c>
      <c r="Q354" s="129"/>
      <c r="R354" s="23">
        <f>R351+R352+R353</f>
        <v>266214591.84746137</v>
      </c>
      <c r="S354" s="23"/>
      <c r="T354" s="83"/>
    </row>
    <row r="356" spans="14:26">
      <c r="N356" s="56"/>
      <c r="O356" s="56"/>
      <c r="P356" s="149" t="s">
        <v>293</v>
      </c>
      <c r="Q356" s="129"/>
      <c r="R356" s="23">
        <f>SUM(O21:O342)</f>
        <v>7899036992.6153822</v>
      </c>
      <c r="S356" s="130"/>
      <c r="T356" s="83"/>
    </row>
    <row r="357" spans="14:26">
      <c r="P357" s="15" t="s">
        <v>294</v>
      </c>
      <c r="R357" s="115">
        <f>O348</f>
        <v>461400000</v>
      </c>
    </row>
    <row r="358" spans="14:26">
      <c r="P358" s="15" t="s">
        <v>296</v>
      </c>
      <c r="R358" s="23">
        <f>+R356+R357</f>
        <v>8360436992.6153822</v>
      </c>
    </row>
    <row r="360" spans="14:26">
      <c r="P360" s="15" t="s">
        <v>297</v>
      </c>
      <c r="R360" s="38">
        <f>R354/R358</f>
        <v>3.1842186249666588E-2</v>
      </c>
    </row>
    <row r="364" spans="14:26" ht="30" customHeight="1">
      <c r="V364" s="244" t="s">
        <v>270</v>
      </c>
      <c r="W364" s="244"/>
      <c r="X364" s="244"/>
      <c r="Y364" s="228"/>
    </row>
    <row r="365" spans="14:26">
      <c r="V365" s="52"/>
      <c r="W365" s="120" t="s">
        <v>147</v>
      </c>
      <c r="X365" s="120" t="s">
        <v>148</v>
      </c>
      <c r="Y365" s="120"/>
      <c r="Z365" s="121"/>
    </row>
    <row r="366" spans="14:26">
      <c r="V366" s="52"/>
      <c r="W366" s="52"/>
      <c r="X366" s="52"/>
      <c r="Y366" s="52"/>
      <c r="Z366" s="52"/>
    </row>
    <row r="367" spans="14:26">
      <c r="V367" s="123" t="s">
        <v>189</v>
      </c>
      <c r="W367" s="74">
        <f>'LADWP Capital Structure'!N346</f>
        <v>5415775000</v>
      </c>
      <c r="X367" s="156">
        <f>W367/W371</f>
        <v>0.40188957563696398</v>
      </c>
      <c r="Y367" s="155"/>
      <c r="Z367" s="152"/>
    </row>
    <row r="368" spans="14:26">
      <c r="V368" s="52"/>
      <c r="W368" s="74"/>
      <c r="X368" s="75"/>
      <c r="Y368" s="137"/>
      <c r="Z368" s="158"/>
    </row>
    <row r="369" spans="22:26">
      <c r="V369" s="123" t="s">
        <v>190</v>
      </c>
      <c r="W369" s="122">
        <f>'LADWP Capital Structure'!N350</f>
        <v>8060003742</v>
      </c>
      <c r="X369" s="157">
        <f>W369/W371</f>
        <v>0.59811042436303608</v>
      </c>
      <c r="Y369" s="152"/>
      <c r="Z369" s="153"/>
    </row>
    <row r="370" spans="22:26">
      <c r="V370" s="52"/>
      <c r="W370" s="74"/>
      <c r="X370" s="156"/>
      <c r="Y370" s="52"/>
      <c r="Z370" s="158"/>
    </row>
    <row r="371" spans="22:26">
      <c r="V371" s="123" t="s">
        <v>146</v>
      </c>
      <c r="W371" s="124">
        <f>+W367+W369</f>
        <v>13475778742</v>
      </c>
      <c r="X371" s="125">
        <f>+X367+X369</f>
        <v>1</v>
      </c>
      <c r="Y371" s="52"/>
      <c r="Z371" s="154"/>
    </row>
  </sheetData>
  <mergeCells count="1">
    <mergeCell ref="V364:X364"/>
  </mergeCells>
  <pageMargins left="0.7" right="0.7" top="0.75" bottom="0.75" header="0.3" footer="0.3"/>
  <pageSetup scale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B9" sqref="B9"/>
    </sheetView>
  </sheetViews>
  <sheetFormatPr defaultRowHeight="15"/>
  <cols>
    <col min="1" max="1" width="13.5703125" customWidth="1"/>
    <col min="2" max="2" width="14.42578125" customWidth="1"/>
    <col min="3" max="3" width="15.140625" customWidth="1"/>
    <col min="4" max="4" width="16" customWidth="1"/>
  </cols>
  <sheetData>
    <row r="1" spans="1:9" ht="15.75">
      <c r="A1" s="245" t="s">
        <v>269</v>
      </c>
      <c r="B1" s="245"/>
      <c r="C1" s="245"/>
      <c r="D1" s="245"/>
      <c r="E1" s="52"/>
      <c r="F1" s="52"/>
      <c r="G1" s="52"/>
      <c r="H1" s="52"/>
      <c r="I1" s="52"/>
    </row>
    <row r="2" spans="1:9">
      <c r="A2" s="52"/>
      <c r="B2" s="52"/>
      <c r="C2" s="52"/>
      <c r="D2" s="52"/>
      <c r="E2" s="52"/>
      <c r="F2" s="52"/>
      <c r="G2" s="52"/>
      <c r="H2" s="52"/>
      <c r="I2" s="52"/>
    </row>
    <row r="3" spans="1:9" ht="39" customHeight="1">
      <c r="A3" s="132"/>
      <c r="B3" s="131" t="s">
        <v>271</v>
      </c>
      <c r="C3" s="133" t="s">
        <v>267</v>
      </c>
      <c r="D3" s="133" t="s">
        <v>268</v>
      </c>
      <c r="E3" s="53"/>
      <c r="F3" s="53"/>
      <c r="G3" s="52"/>
      <c r="H3" s="52"/>
      <c r="I3" s="52"/>
    </row>
    <row r="4" spans="1:9">
      <c r="A4" s="52"/>
      <c r="B4" s="52"/>
      <c r="C4" s="134"/>
      <c r="D4" s="134"/>
      <c r="E4" s="52"/>
      <c r="F4" s="52"/>
      <c r="G4" s="52"/>
      <c r="H4" s="52"/>
      <c r="I4" s="52"/>
    </row>
    <row r="5" spans="1:9">
      <c r="A5" s="123" t="s">
        <v>190</v>
      </c>
      <c r="B5" s="54">
        <f>'LADWP Capital Structure'!X369</f>
        <v>0.59811042436303608</v>
      </c>
      <c r="C5" s="135">
        <f>'Holding Co. Capital Structures'!AK10</f>
        <v>0.52031048824799353</v>
      </c>
      <c r="D5" s="135">
        <f>'Operating Co. Cap. Structures'!BU18</f>
        <v>0.45113618713965292</v>
      </c>
      <c r="E5" s="52"/>
      <c r="F5" s="52"/>
      <c r="G5" s="52"/>
      <c r="H5" s="52"/>
      <c r="I5" s="52"/>
    </row>
    <row r="6" spans="1:9">
      <c r="A6" s="52"/>
      <c r="B6" s="54"/>
      <c r="C6" s="135"/>
      <c r="D6" s="135"/>
      <c r="E6" s="52"/>
      <c r="F6" s="52"/>
      <c r="G6" s="52"/>
      <c r="H6" s="52"/>
      <c r="I6" s="52"/>
    </row>
    <row r="7" spans="1:9">
      <c r="A7" s="123" t="s">
        <v>144</v>
      </c>
      <c r="B7" s="54">
        <v>0</v>
      </c>
      <c r="C7" s="135">
        <f>'Holding Co. Capital Structures'!AK12</f>
        <v>2.4704689642030225E-3</v>
      </c>
      <c r="D7" s="135">
        <f>'Operating Co. Cap. Structures'!BU20</f>
        <v>6.0555820259497748E-3</v>
      </c>
      <c r="E7" s="52"/>
      <c r="F7" s="52"/>
      <c r="G7" s="52"/>
      <c r="H7" s="52"/>
      <c r="I7" s="52"/>
    </row>
    <row r="8" spans="1:9">
      <c r="A8" s="52"/>
      <c r="B8" s="54"/>
      <c r="C8" s="135"/>
      <c r="D8" s="135"/>
      <c r="E8" s="52"/>
      <c r="F8" s="52"/>
      <c r="G8" s="52"/>
      <c r="H8" s="52"/>
      <c r="I8" s="52"/>
    </row>
    <row r="9" spans="1:9">
      <c r="A9" s="123" t="s">
        <v>145</v>
      </c>
      <c r="B9" s="55">
        <f>'LADWP Capital Structure'!X367</f>
        <v>0.40188957563696398</v>
      </c>
      <c r="C9" s="136">
        <f>'Holding Co. Capital Structures'!AK14</f>
        <v>0.47721904278780336</v>
      </c>
      <c r="D9" s="136">
        <f>'Operating Co. Cap. Structures'!BU22</f>
        <v>0.54280823083439733</v>
      </c>
      <c r="E9" s="52"/>
      <c r="F9" s="52"/>
      <c r="G9" s="52"/>
      <c r="H9" s="52"/>
      <c r="I9" s="52"/>
    </row>
    <row r="10" spans="1:9">
      <c r="A10" s="52"/>
      <c r="B10" s="54"/>
      <c r="C10" s="135"/>
      <c r="D10" s="135"/>
      <c r="E10" s="52"/>
      <c r="F10" s="52"/>
      <c r="G10" s="52"/>
      <c r="H10" s="52"/>
      <c r="I10" s="52"/>
    </row>
    <row r="11" spans="1:9">
      <c r="A11" s="123" t="s">
        <v>146</v>
      </c>
      <c r="B11" s="54">
        <f>+B5+B7+B9</f>
        <v>1</v>
      </c>
      <c r="C11" s="135">
        <f>+C5+C7+C9</f>
        <v>0.99999999999999989</v>
      </c>
      <c r="D11" s="135">
        <f>+D5+D7+D9</f>
        <v>1</v>
      </c>
      <c r="E11" s="52"/>
      <c r="F11" s="52"/>
      <c r="G11" s="52"/>
      <c r="H11" s="52"/>
      <c r="I11" s="52"/>
    </row>
    <row r="12" spans="1:9">
      <c r="A12" s="52"/>
      <c r="B12" s="52"/>
      <c r="C12" s="52"/>
      <c r="D12" s="52"/>
      <c r="E12" s="52"/>
      <c r="F12" s="52"/>
      <c r="G12" s="52"/>
      <c r="H12" s="52"/>
      <c r="I12" s="52"/>
    </row>
    <row r="13" spans="1:9">
      <c r="A13" s="52"/>
      <c r="B13" s="52"/>
      <c r="C13" s="52"/>
      <c r="D13" s="52"/>
      <c r="E13" s="52"/>
      <c r="F13" s="52"/>
      <c r="G13" s="52"/>
      <c r="H13" s="52"/>
      <c r="I13" s="52"/>
    </row>
    <row r="14" spans="1:9">
      <c r="A14" s="52"/>
      <c r="B14" s="52"/>
      <c r="C14" s="52"/>
      <c r="D14" s="52"/>
      <c r="E14" s="52"/>
      <c r="F14" s="52"/>
      <c r="G14" s="52"/>
      <c r="H14" s="52"/>
      <c r="I14" s="52"/>
    </row>
    <row r="15" spans="1:9">
      <c r="A15" s="52"/>
      <c r="B15" s="52"/>
      <c r="C15" s="52"/>
      <c r="D15" s="52"/>
      <c r="E15" s="52"/>
      <c r="F15" s="52"/>
      <c r="G15" s="52"/>
      <c r="H15" s="52"/>
      <c r="I15" s="52"/>
    </row>
    <row r="16" spans="1:9">
      <c r="A16" s="52"/>
      <c r="B16" s="52"/>
      <c r="C16" s="52"/>
      <c r="D16" s="52"/>
      <c r="E16" s="52"/>
      <c r="F16" s="52"/>
      <c r="G16" s="52"/>
      <c r="H16" s="52"/>
      <c r="I16" s="52"/>
    </row>
    <row r="17" spans="1:9">
      <c r="A17" s="52"/>
      <c r="B17" s="52"/>
      <c r="C17" s="52"/>
      <c r="D17" s="52"/>
      <c r="E17" s="52"/>
      <c r="F17" s="52"/>
      <c r="G17" s="52"/>
      <c r="H17" s="52"/>
      <c r="I17" s="52"/>
    </row>
    <row r="18" spans="1:9">
      <c r="A18" s="52"/>
      <c r="B18" s="52"/>
      <c r="C18" s="52"/>
      <c r="D18" s="52"/>
      <c r="E18" s="52"/>
      <c r="F18" s="52"/>
      <c r="G18" s="52"/>
      <c r="H18" s="52"/>
      <c r="I18" s="52"/>
    </row>
    <row r="19" spans="1:9">
      <c r="A19" s="52"/>
      <c r="B19" s="52"/>
      <c r="C19" s="52"/>
      <c r="D19" s="52"/>
      <c r="E19" s="52"/>
      <c r="F19" s="52"/>
      <c r="G19" s="52"/>
      <c r="H19" s="52"/>
      <c r="I19" s="52"/>
    </row>
    <row r="20" spans="1:9">
      <c r="A20" s="52"/>
      <c r="B20" s="52"/>
      <c r="C20" s="52"/>
      <c r="D20" s="52"/>
      <c r="E20" s="52"/>
      <c r="F20" s="52"/>
      <c r="G20" s="52"/>
      <c r="H20" s="52"/>
      <c r="I20" s="52"/>
    </row>
    <row r="21" spans="1:9">
      <c r="A21" s="52"/>
      <c r="B21" s="52"/>
      <c r="C21" s="52"/>
      <c r="D21" s="52"/>
      <c r="E21" s="52"/>
      <c r="F21" s="52"/>
      <c r="G21" s="52"/>
      <c r="H21" s="52"/>
      <c r="I21" s="52"/>
    </row>
    <row r="22" spans="1:9">
      <c r="A22" s="52"/>
      <c r="B22" s="52"/>
      <c r="C22" s="52"/>
      <c r="D22" s="52"/>
      <c r="E22" s="52"/>
      <c r="F22" s="52"/>
      <c r="G22" s="52"/>
      <c r="H22" s="52"/>
      <c r="I22" s="52"/>
    </row>
    <row r="23" spans="1:9">
      <c r="A23" s="52"/>
      <c r="B23" s="52"/>
      <c r="C23" s="52"/>
      <c r="D23" s="52"/>
      <c r="E23" s="52"/>
      <c r="F23" s="52"/>
      <c r="G23" s="52"/>
      <c r="H23" s="52"/>
      <c r="I23" s="52"/>
    </row>
    <row r="24" spans="1:9">
      <c r="A24" s="52"/>
      <c r="B24" s="52"/>
      <c r="C24" s="52"/>
      <c r="D24" s="52"/>
      <c r="E24" s="52"/>
      <c r="F24" s="52"/>
      <c r="G24" s="52"/>
      <c r="H24" s="52"/>
      <c r="I24" s="52"/>
    </row>
    <row r="25" spans="1:9">
      <c r="A25" s="52"/>
      <c r="B25" s="52"/>
      <c r="C25" s="52"/>
      <c r="D25" s="52"/>
      <c r="E25" s="52"/>
      <c r="F25" s="52"/>
      <c r="G25" s="52"/>
      <c r="H25" s="52"/>
      <c r="I25" s="52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3:F12"/>
  <sheetViews>
    <sheetView workbookViewId="0"/>
  </sheetViews>
  <sheetFormatPr defaultRowHeight="15"/>
  <cols>
    <col min="3" max="3" width="14.140625" customWidth="1"/>
    <col min="6" max="6" width="13.28515625" customWidth="1"/>
  </cols>
  <sheetData>
    <row r="3" spans="3:6">
      <c r="C3" s="244" t="s">
        <v>288</v>
      </c>
      <c r="D3" s="244"/>
      <c r="E3" s="244"/>
      <c r="F3" s="244"/>
    </row>
    <row r="4" spans="3:6" ht="36" customHeight="1">
      <c r="C4" s="109"/>
      <c r="D4" s="139" t="s">
        <v>148</v>
      </c>
      <c r="E4" s="139" t="s">
        <v>235</v>
      </c>
      <c r="F4" s="140" t="s">
        <v>258</v>
      </c>
    </row>
    <row r="5" spans="3:6">
      <c r="D5" s="52"/>
      <c r="E5" s="52"/>
      <c r="F5" s="52"/>
    </row>
    <row r="6" spans="3:6">
      <c r="C6" s="123" t="s">
        <v>189</v>
      </c>
      <c r="D6" s="75">
        <v>0.48</v>
      </c>
      <c r="E6" s="77">
        <v>8.5699999999999998E-2</v>
      </c>
      <c r="F6" s="76">
        <f>E6*D6</f>
        <v>4.1135999999999999E-2</v>
      </c>
    </row>
    <row r="7" spans="3:6">
      <c r="C7" s="52"/>
      <c r="D7" s="75"/>
      <c r="E7" s="137"/>
      <c r="F7" s="137"/>
    </row>
    <row r="8" spans="3:6">
      <c r="C8" s="141" t="s">
        <v>190</v>
      </c>
      <c r="D8" s="142">
        <v>0.52</v>
      </c>
      <c r="E8" s="143">
        <f>'LADWP Capital Structure'!R360</f>
        <v>3.1842186249666588E-2</v>
      </c>
      <c r="F8" s="144">
        <f>E8*D8</f>
        <v>1.6557936849826625E-2</v>
      </c>
    </row>
    <row r="9" spans="3:6">
      <c r="C9" s="52"/>
      <c r="D9" s="75"/>
      <c r="E9" s="52"/>
      <c r="F9" s="52"/>
    </row>
    <row r="10" spans="3:6">
      <c r="C10" s="123" t="s">
        <v>146</v>
      </c>
      <c r="D10" s="125">
        <f>+D6+D8</f>
        <v>1</v>
      </c>
      <c r="E10" s="52"/>
      <c r="F10" s="145">
        <f>+F6+F8</f>
        <v>5.7693936849826627E-2</v>
      </c>
    </row>
    <row r="12" spans="3:6">
      <c r="C12" s="41" t="s">
        <v>289</v>
      </c>
    </row>
  </sheetData>
  <mergeCells count="1">
    <mergeCell ref="C3:F3"/>
  </mergeCells>
  <printOptions horizontalCentered="1" vertic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Value Line Electrics</vt:lpstr>
      <vt:lpstr>DCF Analysis</vt:lpstr>
      <vt:lpstr>Holding Co. Capital Structures</vt:lpstr>
      <vt:lpstr>Operating Co. Cap. Structures</vt:lpstr>
      <vt:lpstr>LADWP Capital Structure</vt:lpstr>
      <vt:lpstr>Testimony Table 1</vt:lpstr>
      <vt:lpstr>Testimony Table 2</vt:lpstr>
      <vt:lpstr>Exhibit202</vt:lpstr>
      <vt:lpstr>Exhibit203</vt:lpstr>
      <vt:lpstr>Exhibit204</vt:lpstr>
      <vt:lpstr>Exhibit205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cp:lastPrinted>2017-01-09T19:08:12Z</cp:lastPrinted>
  <dcterms:created xsi:type="dcterms:W3CDTF">2016-02-09T18:29:14Z</dcterms:created>
  <dcterms:modified xsi:type="dcterms:W3CDTF">2017-01-15T20:01:33Z</dcterms:modified>
</cp:coreProperties>
</file>