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mcroft\Documents\LADWP\Data Requests to LADWP\DR 5\IR 97\"/>
    </mc:Choice>
  </mc:AlternateContent>
  <bookViews>
    <workbookView xWindow="0" yWindow="0" windowWidth="28800" windowHeight="11595" activeTab="4"/>
  </bookViews>
  <sheets>
    <sheet name="Summary" sheetId="7" r:id="rId1"/>
    <sheet name="$35 M Prepaid Breakdown" sheetId="3" r:id="rId2"/>
    <sheet name="OATT - NonOATT Explanation" sheetId="6" r:id="rId3"/>
    <sheet name="IPP June 2015" sheetId="4" r:id="rId4"/>
    <sheet name="IPP June 2014" sheetId="5" r:id="rId5"/>
  </sheets>
  <definedNames>
    <definedName name="_Key1" localSheetId="1" hidden="1">#REF!</definedName>
    <definedName name="_Key1" localSheetId="4" hidden="1">#REF!</definedName>
    <definedName name="_Key1" localSheetId="3" hidden="1">#REF!</definedName>
    <definedName name="_Key1" localSheetId="2" hidden="1">#REF!</definedName>
    <definedName name="_Key1" hidden="1">#REF!</definedName>
    <definedName name="_Key2" localSheetId="1" hidden="1">#REF!</definedName>
    <definedName name="_Key2" localSheetId="4" hidden="1">#REF!</definedName>
    <definedName name="_Key2" localSheetId="3" hidden="1">#REF!</definedName>
    <definedName name="_Key2" localSheetId="2" hidden="1">#REF!</definedName>
    <definedName name="_Key2" hidden="1">#REF!</definedName>
    <definedName name="_Sort" localSheetId="1" hidden="1">#REF!</definedName>
    <definedName name="_Sort" localSheetId="4" hidden="1">#REF!</definedName>
    <definedName name="_Sort" localSheetId="3" hidden="1">#REF!</definedName>
    <definedName name="_Sort" localSheetId="2" hidden="1">#REF!</definedName>
    <definedName name="_Sort" hidden="1">#REF!</definedName>
    <definedName name="doggy" localSheetId="1" hidden="1">#REF!</definedName>
    <definedName name="doggy" localSheetId="4" hidden="1">#REF!</definedName>
    <definedName name="doggy" localSheetId="3" hidden="1">#REF!</definedName>
    <definedName name="doggy" localSheetId="2" hidden="1">#REF!</definedName>
    <definedName name="doggy" hidden="1">#REF!</definedName>
    <definedName name="_xlnm.Print_Area" localSheetId="1">'$35 M Prepaid Breakdown'!$A$1:$BL$42</definedName>
    <definedName name="_xlnm.Print_Area" localSheetId="4">'IPP June 2014'!$A$1:$G$29</definedName>
    <definedName name="_xlnm.Print_Area" localSheetId="2">'OATT - NonOATT Explanation'!$A$3:$G$43</definedName>
  </definedNames>
  <calcPr calcId="17102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4" l="1"/>
  <c r="E34" i="6" l="1"/>
  <c r="E11" i="6"/>
  <c r="E12" i="6"/>
  <c r="E13" i="6"/>
  <c r="E14" i="6"/>
  <c r="E15" i="6"/>
  <c r="E16" i="6"/>
  <c r="E17" i="6"/>
  <c r="E18" i="6"/>
  <c r="E19" i="6"/>
  <c r="E20" i="6"/>
  <c r="E21" i="6"/>
  <c r="E22" i="6"/>
  <c r="E10" i="6"/>
  <c r="BH35" i="3"/>
  <c r="AZ35" i="3"/>
  <c r="AY35" i="3"/>
  <c r="AW35" i="3"/>
  <c r="AV35" i="3"/>
  <c r="AU35" i="3"/>
  <c r="AS35" i="3"/>
  <c r="AR35" i="3"/>
  <c r="AQ35" i="3"/>
  <c r="AO35" i="3"/>
  <c r="AN35" i="3"/>
  <c r="AM35" i="3"/>
  <c r="AK35" i="3"/>
  <c r="AJ35" i="3"/>
  <c r="AI35" i="3"/>
  <c r="AG35" i="3"/>
  <c r="AF35" i="3"/>
  <c r="AE35" i="3"/>
  <c r="AC35" i="3"/>
  <c r="AB35" i="3"/>
  <c r="AA35" i="3"/>
  <c r="Y35" i="3"/>
  <c r="X35" i="3"/>
  <c r="U35" i="3"/>
  <c r="T35" i="3"/>
  <c r="Q35" i="3"/>
  <c r="P35" i="3"/>
  <c r="O35" i="3"/>
  <c r="M35" i="3"/>
  <c r="L35" i="3"/>
  <c r="K35" i="3"/>
  <c r="I35" i="3"/>
  <c r="H35" i="3"/>
  <c r="G35" i="3"/>
  <c r="BI33" i="3"/>
  <c r="BH33" i="3"/>
  <c r="BG33" i="3"/>
  <c r="BH28" i="3"/>
  <c r="BH27" i="3"/>
  <c r="BH26" i="3"/>
  <c r="BH25" i="3"/>
  <c r="D8" i="7"/>
  <c r="F8" i="7" s="1"/>
  <c r="C7" i="7"/>
  <c r="F7" i="7" s="1"/>
  <c r="B6" i="7"/>
  <c r="B9" i="7" s="1"/>
  <c r="F6" i="7" l="1"/>
  <c r="F9" i="7"/>
  <c r="D9" i="7"/>
  <c r="C9" i="7"/>
  <c r="B34" i="6" l="1"/>
  <c r="C34" i="6"/>
  <c r="D34" i="6"/>
  <c r="A34" i="6"/>
  <c r="A28" i="6"/>
  <c r="B28" i="6"/>
  <c r="C28" i="6"/>
  <c r="D28" i="6"/>
  <c r="A29" i="6"/>
  <c r="B29" i="6"/>
  <c r="C29" i="6"/>
  <c r="D29" i="6"/>
  <c r="A30" i="6"/>
  <c r="B30" i="6"/>
  <c r="C30" i="6"/>
  <c r="D30" i="6"/>
  <c r="B27" i="6"/>
  <c r="C27" i="6"/>
  <c r="D27" i="6"/>
  <c r="A27" i="6"/>
  <c r="A11" i="6"/>
  <c r="B11" i="6"/>
  <c r="C11" i="6"/>
  <c r="D11" i="6"/>
  <c r="A12" i="6"/>
  <c r="B12" i="6"/>
  <c r="C12" i="6"/>
  <c r="D12" i="6"/>
  <c r="A13" i="6"/>
  <c r="B13" i="6"/>
  <c r="C13" i="6"/>
  <c r="D13" i="6"/>
  <c r="A14" i="6"/>
  <c r="B14" i="6"/>
  <c r="C14" i="6"/>
  <c r="D14" i="6"/>
  <c r="A15" i="6"/>
  <c r="B15" i="6"/>
  <c r="C15" i="6"/>
  <c r="D15" i="6"/>
  <c r="A16" i="6"/>
  <c r="B16" i="6"/>
  <c r="C16" i="6"/>
  <c r="D16" i="6"/>
  <c r="A17" i="6"/>
  <c r="B17" i="6"/>
  <c r="C17" i="6"/>
  <c r="D17" i="6"/>
  <c r="A18" i="6"/>
  <c r="B18" i="6"/>
  <c r="C18" i="6"/>
  <c r="D18" i="6"/>
  <c r="A19" i="6"/>
  <c r="B19" i="6"/>
  <c r="C19" i="6"/>
  <c r="D19" i="6"/>
  <c r="A20" i="6"/>
  <c r="B20" i="6"/>
  <c r="C20" i="6"/>
  <c r="D20" i="6"/>
  <c r="A21" i="6"/>
  <c r="B21" i="6"/>
  <c r="C21" i="6"/>
  <c r="D21" i="6"/>
  <c r="A22" i="6"/>
  <c r="B22" i="6"/>
  <c r="C22" i="6"/>
  <c r="D22" i="6"/>
  <c r="B10" i="6"/>
  <c r="C10" i="6"/>
  <c r="D10" i="6"/>
  <c r="A10" i="6"/>
  <c r="K5" i="3" l="1"/>
  <c r="O5" i="3"/>
  <c r="S5" i="3" s="1"/>
  <c r="W5" i="3" s="1"/>
  <c r="AA5" i="3" s="1"/>
  <c r="AE5" i="3" s="1"/>
  <c r="AI5" i="3" s="1"/>
  <c r="AM5" i="3" s="1"/>
  <c r="AQ5" i="3" s="1"/>
  <c r="AU5" i="3" s="1"/>
  <c r="AY5" i="3" s="1"/>
  <c r="J8" i="3"/>
  <c r="J9" i="3"/>
  <c r="N9" i="3" s="1"/>
  <c r="R9" i="3"/>
  <c r="V9" i="3" s="1"/>
  <c r="Z9" i="3" s="1"/>
  <c r="AD9" i="3" s="1"/>
  <c r="AH9" i="3" s="1"/>
  <c r="AL9" i="3" s="1"/>
  <c r="AP9" i="3" s="1"/>
  <c r="AT9" i="3" s="1"/>
  <c r="AX9" i="3" s="1"/>
  <c r="BA9" i="3"/>
  <c r="J10" i="3"/>
  <c r="N10" i="3" s="1"/>
  <c r="R10" i="3" s="1"/>
  <c r="V10" i="3" s="1"/>
  <c r="Z10" i="3" s="1"/>
  <c r="AD10" i="3" s="1"/>
  <c r="AH10" i="3" s="1"/>
  <c r="AL10" i="3" s="1"/>
  <c r="AP10" i="3" s="1"/>
  <c r="AT10" i="3" s="1"/>
  <c r="AX10" i="3" s="1"/>
  <c r="BB10" i="3" s="1"/>
  <c r="J11" i="3"/>
  <c r="N11" i="3"/>
  <c r="R11" i="3" s="1"/>
  <c r="V11" i="3"/>
  <c r="Z11" i="3" s="1"/>
  <c r="AD11" i="3" s="1"/>
  <c r="AH11" i="3" s="1"/>
  <c r="AL11" i="3" s="1"/>
  <c r="AP11" i="3" s="1"/>
  <c r="AT11" i="3" s="1"/>
  <c r="AX11" i="3" s="1"/>
  <c r="BB11" i="3" s="1"/>
  <c r="J12" i="3"/>
  <c r="N12" i="3"/>
  <c r="R12" i="3" s="1"/>
  <c r="V12" i="3" s="1"/>
  <c r="Z12" i="3" s="1"/>
  <c r="AD12" i="3" s="1"/>
  <c r="AH12" i="3" s="1"/>
  <c r="AL12" i="3" s="1"/>
  <c r="AP12" i="3" s="1"/>
  <c r="AT12" i="3" s="1"/>
  <c r="AX12" i="3" s="1"/>
  <c r="BB12" i="3" s="1"/>
  <c r="J13" i="3"/>
  <c r="N13" i="3"/>
  <c r="R13" i="3" s="1"/>
  <c r="V13" i="3" s="1"/>
  <c r="Z13" i="3" s="1"/>
  <c r="AD13" i="3" s="1"/>
  <c r="AH13" i="3" s="1"/>
  <c r="AL13" i="3" s="1"/>
  <c r="AP13" i="3" s="1"/>
  <c r="AT13" i="3" s="1"/>
  <c r="AX13" i="3" s="1"/>
  <c r="BB13" i="3" s="1"/>
  <c r="AV13" i="3"/>
  <c r="J14" i="3"/>
  <c r="N14" i="3" s="1"/>
  <c r="R14" i="3" s="1"/>
  <c r="V14" i="3" s="1"/>
  <c r="Z14" i="3" s="1"/>
  <c r="AD14" i="3" s="1"/>
  <c r="AH14" i="3" s="1"/>
  <c r="AL14" i="3" s="1"/>
  <c r="AP14" i="3" s="1"/>
  <c r="AT14" i="3" s="1"/>
  <c r="AX14" i="3" s="1"/>
  <c r="BB14" i="3" s="1"/>
  <c r="J15" i="3"/>
  <c r="N15" i="3" s="1"/>
  <c r="R15" i="3" s="1"/>
  <c r="V15" i="3" s="1"/>
  <c r="Z15" i="3" s="1"/>
  <c r="AD15" i="3" s="1"/>
  <c r="AH15" i="3" s="1"/>
  <c r="AL15" i="3" s="1"/>
  <c r="AP15" i="3" s="1"/>
  <c r="AT15" i="3" s="1"/>
  <c r="AX15" i="3" s="1"/>
  <c r="BB15" i="3" s="1"/>
  <c r="J16" i="3"/>
  <c r="N16" i="3" s="1"/>
  <c r="R16" i="3" s="1"/>
  <c r="V16" i="3" s="1"/>
  <c r="Z16" i="3" s="1"/>
  <c r="AD16" i="3" s="1"/>
  <c r="AH16" i="3" s="1"/>
  <c r="AL16" i="3" s="1"/>
  <c r="AP16" i="3" s="1"/>
  <c r="AT16" i="3" s="1"/>
  <c r="AX16" i="3" s="1"/>
  <c r="BB16" i="3" s="1"/>
  <c r="J17" i="3"/>
  <c r="N17" i="3" s="1"/>
  <c r="R17" i="3" s="1"/>
  <c r="V17" i="3" s="1"/>
  <c r="Z17" i="3" s="1"/>
  <c r="AD17" i="3" s="1"/>
  <c r="AH17" i="3" s="1"/>
  <c r="AL17" i="3" s="1"/>
  <c r="AP17" i="3" s="1"/>
  <c r="AT17" i="3" s="1"/>
  <c r="AX17" i="3" s="1"/>
  <c r="BA17" i="3"/>
  <c r="J18" i="3"/>
  <c r="N18" i="3" s="1"/>
  <c r="R18" i="3" s="1"/>
  <c r="V18" i="3" s="1"/>
  <c r="Z18" i="3" s="1"/>
  <c r="AD18" i="3" s="1"/>
  <c r="AH18" i="3" s="1"/>
  <c r="AL18" i="3" s="1"/>
  <c r="AP18" i="3" s="1"/>
  <c r="AT18" i="3" s="1"/>
  <c r="AX18" i="3" s="1"/>
  <c r="BB18" i="3" s="1"/>
  <c r="J19" i="3"/>
  <c r="N19" i="3"/>
  <c r="R19" i="3" s="1"/>
  <c r="V19" i="3" s="1"/>
  <c r="Z19" i="3" s="1"/>
  <c r="AD19" i="3" s="1"/>
  <c r="AH19" i="3" s="1"/>
  <c r="AL19" i="3" s="1"/>
  <c r="AP19" i="3" s="1"/>
  <c r="AT19" i="3" s="1"/>
  <c r="AX19" i="3" s="1"/>
  <c r="BB19" i="3" s="1"/>
  <c r="J20" i="3"/>
  <c r="N20" i="3"/>
  <c r="R20" i="3" s="1"/>
  <c r="V20" i="3"/>
  <c r="Z20" i="3" s="1"/>
  <c r="AD20" i="3" s="1"/>
  <c r="AH20" i="3" s="1"/>
  <c r="AL20" i="3" s="1"/>
  <c r="AP20" i="3" s="1"/>
  <c r="AT20" i="3" s="1"/>
  <c r="AX20" i="3" s="1"/>
  <c r="BB20" i="3" s="1"/>
  <c r="E21" i="3"/>
  <c r="G21" i="3"/>
  <c r="H21" i="3"/>
  <c r="I21" i="3"/>
  <c r="K21" i="3"/>
  <c r="L21" i="3"/>
  <c r="M21" i="3"/>
  <c r="O21" i="3"/>
  <c r="P21" i="3"/>
  <c r="Q21" i="3"/>
  <c r="S21" i="3"/>
  <c r="T21" i="3"/>
  <c r="U21" i="3"/>
  <c r="W21" i="3"/>
  <c r="X21" i="3"/>
  <c r="AA21" i="3"/>
  <c r="AB21" i="3"/>
  <c r="AC21" i="3"/>
  <c r="AE21" i="3"/>
  <c r="AF21" i="3"/>
  <c r="AG21" i="3"/>
  <c r="AI21" i="3"/>
  <c r="AJ21" i="3"/>
  <c r="AK21" i="3"/>
  <c r="AM21" i="3"/>
  <c r="AN21" i="3"/>
  <c r="AO21" i="3"/>
  <c r="AQ21" i="3"/>
  <c r="AR21" i="3"/>
  <c r="AS21" i="3"/>
  <c r="AU21" i="3"/>
  <c r="AV21" i="3"/>
  <c r="AW21" i="3"/>
  <c r="AY21" i="3"/>
  <c r="AZ21" i="3"/>
  <c r="BA21" i="3"/>
  <c r="G29" i="3"/>
  <c r="H29" i="3"/>
  <c r="I29" i="3"/>
  <c r="K29" i="3"/>
  <c r="L29" i="3"/>
  <c r="M29" i="3"/>
  <c r="O29" i="3"/>
  <c r="P29" i="3"/>
  <c r="Q29" i="3"/>
  <c r="T29" i="3"/>
  <c r="U29" i="3"/>
  <c r="X29" i="3"/>
  <c r="Y29" i="3"/>
  <c r="AA29" i="3"/>
  <c r="AB29" i="3"/>
  <c r="AC29" i="3"/>
  <c r="AE29" i="3"/>
  <c r="AF29" i="3"/>
  <c r="AG29" i="3"/>
  <c r="AI29" i="3"/>
  <c r="AJ29" i="3"/>
  <c r="AK29" i="3"/>
  <c r="AM29" i="3"/>
  <c r="AN29" i="3"/>
  <c r="AO29" i="3"/>
  <c r="AQ29" i="3"/>
  <c r="AR29" i="3"/>
  <c r="AS29" i="3"/>
  <c r="AU29" i="3"/>
  <c r="AV29" i="3"/>
  <c r="AW29" i="3"/>
  <c r="AY29" i="3"/>
  <c r="AZ29" i="3"/>
  <c r="J30" i="3"/>
  <c r="N30" i="3" s="1"/>
  <c r="R30" i="3" s="1"/>
  <c r="V30" i="3" s="1"/>
  <c r="Z30" i="3" s="1"/>
  <c r="AD30" i="3" s="1"/>
  <c r="AH30" i="3" s="1"/>
  <c r="AL30" i="3" s="1"/>
  <c r="AP30" i="3" s="1"/>
  <c r="AT30" i="3" s="1"/>
  <c r="AX30" i="3" s="1"/>
  <c r="BB30" i="3" s="1"/>
  <c r="BD30" i="3" s="1"/>
  <c r="BA30" i="3"/>
  <c r="J33" i="3"/>
  <c r="N33" i="3"/>
  <c r="R33" i="3" s="1"/>
  <c r="V33" i="3"/>
  <c r="Z33" i="3" s="1"/>
  <c r="AD33" i="3" s="1"/>
  <c r="AH33" i="3" s="1"/>
  <c r="AL33" i="3" s="1"/>
  <c r="AP33" i="3" s="1"/>
  <c r="AT33" i="3" s="1"/>
  <c r="AX33" i="3" s="1"/>
  <c r="BA33" i="3"/>
  <c r="BG8" i="3"/>
  <c r="BH8" i="3"/>
  <c r="BH21" i="3" s="1"/>
  <c r="BI8" i="3"/>
  <c r="BI21" i="3" s="1"/>
  <c r="BG9" i="3"/>
  <c r="BH9" i="3"/>
  <c r="BI9" i="3"/>
  <c r="BG10" i="3"/>
  <c r="BK10" i="3" s="1"/>
  <c r="BH10" i="3"/>
  <c r="BI10" i="3"/>
  <c r="BG11" i="3"/>
  <c r="BH11" i="3"/>
  <c r="BI11" i="3"/>
  <c r="BG12" i="3"/>
  <c r="BH12" i="3"/>
  <c r="BI12" i="3"/>
  <c r="BG13" i="3"/>
  <c r="BH13" i="3"/>
  <c r="BI13" i="3"/>
  <c r="BG14" i="3"/>
  <c r="BK14" i="3" s="1"/>
  <c r="BH14" i="3"/>
  <c r="BI14" i="3"/>
  <c r="BG15" i="3"/>
  <c r="BH15" i="3"/>
  <c r="BI15" i="3"/>
  <c r="BG16" i="3"/>
  <c r="BH16" i="3"/>
  <c r="BI16" i="3"/>
  <c r="BG17" i="3"/>
  <c r="BH17" i="3"/>
  <c r="BI17" i="3"/>
  <c r="BG18" i="3"/>
  <c r="BK18" i="3" s="1"/>
  <c r="BH18" i="3"/>
  <c r="BI18" i="3"/>
  <c r="BG19" i="3"/>
  <c r="BH19" i="3"/>
  <c r="BI19" i="3"/>
  <c r="BG20" i="3"/>
  <c r="BH20" i="3"/>
  <c r="BI20" i="3"/>
  <c r="BH29" i="3"/>
  <c r="BK36" i="3"/>
  <c r="E23" i="6"/>
  <c r="BK15" i="3" l="1"/>
  <c r="BK19" i="3"/>
  <c r="BK11" i="3"/>
  <c r="BB17" i="3"/>
  <c r="BB9" i="3"/>
  <c r="BG21" i="3"/>
  <c r="BK17" i="3"/>
  <c r="BK13" i="3"/>
  <c r="BK9" i="3"/>
  <c r="BB33" i="3"/>
  <c r="N8" i="3"/>
  <c r="J21" i="3"/>
  <c r="BK33" i="3"/>
  <c r="BK20" i="3"/>
  <c r="BK16" i="3"/>
  <c r="BK12" i="3"/>
  <c r="BK8" i="3"/>
  <c r="BK21" i="3" l="1"/>
  <c r="N21" i="3"/>
  <c r="R8" i="3"/>
  <c r="V8" i="3" l="1"/>
  <c r="R21" i="3"/>
  <c r="V21" i="3" l="1"/>
  <c r="Z8" i="3"/>
  <c r="AD8" i="3" l="1"/>
  <c r="Z21" i="3"/>
  <c r="AH8" i="3" l="1"/>
  <c r="AD21" i="3"/>
  <c r="AL8" i="3" l="1"/>
  <c r="AH21" i="3"/>
  <c r="AP8" i="3" l="1"/>
  <c r="AL21" i="3"/>
  <c r="AT8" i="3" l="1"/>
  <c r="AP21" i="3"/>
  <c r="AX8" i="3" l="1"/>
  <c r="AT21" i="3"/>
  <c r="BB8" i="3" l="1"/>
  <c r="BB21" i="3" s="1"/>
  <c r="AX21" i="3"/>
  <c r="F6" i="5" l="1"/>
  <c r="D7" i="5"/>
  <c r="C27" i="5" s="1"/>
  <c r="E27" i="3" s="1"/>
  <c r="J27" i="3" s="1"/>
  <c r="N27" i="3" s="1"/>
  <c r="R27" i="3" s="1"/>
  <c r="E7" i="5"/>
  <c r="C7" i="5"/>
  <c r="C16" i="5" s="1"/>
  <c r="F5" i="5"/>
  <c r="C14" i="5"/>
  <c r="D12" i="5" s="1"/>
  <c r="C17" i="5" s="1"/>
  <c r="C13" i="4"/>
  <c r="D7" i="4"/>
  <c r="C27" i="4" s="1"/>
  <c r="BA27" i="3" s="1"/>
  <c r="E5" i="4"/>
  <c r="E7" i="4" s="1"/>
  <c r="BD36" i="3"/>
  <c r="BD33" i="3"/>
  <c r="D19" i="7" s="1"/>
  <c r="F19" i="7" s="1"/>
  <c r="BD20" i="3"/>
  <c r="BD19" i="3"/>
  <c r="BD18" i="3"/>
  <c r="BD16" i="3"/>
  <c r="BD15" i="3"/>
  <c r="BD14" i="3"/>
  <c r="BD12" i="3"/>
  <c r="BD11" i="3"/>
  <c r="BD10" i="3"/>
  <c r="S27" i="3" l="1"/>
  <c r="V27" i="3"/>
  <c r="C14" i="4"/>
  <c r="D12" i="4" s="1"/>
  <c r="C17" i="4" s="1"/>
  <c r="F5" i="4"/>
  <c r="F7" i="4" s="1"/>
  <c r="BI27" i="3"/>
  <c r="F7" i="5"/>
  <c r="C28" i="5"/>
  <c r="E28" i="3" s="1"/>
  <c r="J28" i="3" s="1"/>
  <c r="N28" i="3" s="1"/>
  <c r="R28" i="3" s="1"/>
  <c r="C20" i="5"/>
  <c r="D13" i="5"/>
  <c r="C28" i="4"/>
  <c r="BA28" i="3" s="1"/>
  <c r="C7" i="4"/>
  <c r="C16" i="4" s="1"/>
  <c r="BD13" i="3"/>
  <c r="BD9" i="3"/>
  <c r="BD17" i="3"/>
  <c r="C21" i="5" l="1"/>
  <c r="C25" i="5" s="1"/>
  <c r="E25" i="3" s="1"/>
  <c r="J25" i="3" s="1"/>
  <c r="C18" i="5"/>
  <c r="W27" i="3"/>
  <c r="Z27" i="3"/>
  <c r="AD27" i="3" s="1"/>
  <c r="AH27" i="3" s="1"/>
  <c r="AL27" i="3" s="1"/>
  <c r="AP27" i="3" s="1"/>
  <c r="AT27" i="3" s="1"/>
  <c r="AX27" i="3" s="1"/>
  <c r="BB27" i="3" s="1"/>
  <c r="BD27" i="3" s="1"/>
  <c r="C26" i="5"/>
  <c r="E26" i="3" s="1"/>
  <c r="J26" i="3" s="1"/>
  <c r="N26" i="3" s="1"/>
  <c r="R26" i="3" s="1"/>
  <c r="C22" i="5"/>
  <c r="BG27" i="3"/>
  <c r="BK27" i="3" s="1"/>
  <c r="S28" i="3"/>
  <c r="V28" i="3" s="1"/>
  <c r="S26" i="3"/>
  <c r="V26" i="3" s="1"/>
  <c r="W26" i="3" s="1"/>
  <c r="Z26" i="3" s="1"/>
  <c r="AD26" i="3" s="1"/>
  <c r="AH26" i="3" s="1"/>
  <c r="AL26" i="3" s="1"/>
  <c r="AP26" i="3" s="1"/>
  <c r="AT26" i="3" s="1"/>
  <c r="AX26" i="3" s="1"/>
  <c r="D13" i="4"/>
  <c r="BI28" i="3"/>
  <c r="C14" i="7"/>
  <c r="D14" i="5"/>
  <c r="C20" i="4"/>
  <c r="W28" i="3" l="1"/>
  <c r="BG28" i="3" s="1"/>
  <c r="BK28" i="3" s="1"/>
  <c r="Z28" i="3"/>
  <c r="AD28" i="3" s="1"/>
  <c r="AH28" i="3" s="1"/>
  <c r="AL28" i="3" s="1"/>
  <c r="AP28" i="3" s="1"/>
  <c r="AT28" i="3" s="1"/>
  <c r="AX28" i="3" s="1"/>
  <c r="BB28" i="3" s="1"/>
  <c r="BD28" i="3" s="1"/>
  <c r="C21" i="7" s="1"/>
  <c r="E29" i="3"/>
  <c r="E35" i="3" s="1"/>
  <c r="C29" i="5"/>
  <c r="BG26" i="3"/>
  <c r="N25" i="3"/>
  <c r="J29" i="3"/>
  <c r="J35" i="3" s="1"/>
  <c r="C18" i="4"/>
  <c r="D14" i="4"/>
  <c r="C21" i="4"/>
  <c r="C25" i="4" s="1"/>
  <c r="BA25" i="3" s="1"/>
  <c r="C26" i="4"/>
  <c r="C22" i="4"/>
  <c r="E29" i="6"/>
  <c r="F14" i="7"/>
  <c r="E30" i="6" l="1"/>
  <c r="C17" i="7"/>
  <c r="F17" i="7" s="1"/>
  <c r="N29" i="3"/>
  <c r="N35" i="3" s="1"/>
  <c r="R25" i="3"/>
  <c r="BI25" i="3"/>
  <c r="C29" i="4"/>
  <c r="BA26" i="3"/>
  <c r="BD8" i="3"/>
  <c r="C20" i="7" l="1"/>
  <c r="C24" i="7" s="1"/>
  <c r="S25" i="3"/>
  <c r="V25" i="3" s="1"/>
  <c r="R29" i="3"/>
  <c r="R35" i="3" s="1"/>
  <c r="BI26" i="3"/>
  <c r="BB26" i="3"/>
  <c r="BA29" i="3"/>
  <c r="BA35" i="3" s="1"/>
  <c r="BD21" i="3"/>
  <c r="D15" i="7"/>
  <c r="V29" i="3" l="1"/>
  <c r="V35" i="3" s="1"/>
  <c r="W25" i="3"/>
  <c r="W29" i="3" s="1"/>
  <c r="W35" i="3" s="1"/>
  <c r="S29" i="3"/>
  <c r="S35" i="3" s="1"/>
  <c r="BD26" i="3"/>
  <c r="BK26" i="3"/>
  <c r="BI29" i="3"/>
  <c r="BI35" i="3" s="1"/>
  <c r="F15" i="7"/>
  <c r="Z25" i="3" l="1"/>
  <c r="BG25" i="3"/>
  <c r="E28" i="6"/>
  <c r="D18" i="7"/>
  <c r="AD25" i="3" l="1"/>
  <c r="Z29" i="3"/>
  <c r="Z35" i="3" s="1"/>
  <c r="BG29" i="3"/>
  <c r="BG35" i="3" s="1"/>
  <c r="BK25" i="3"/>
  <c r="BK29" i="3" s="1"/>
  <c r="BK35" i="3" s="1"/>
  <c r="F18" i="7"/>
  <c r="D20" i="7"/>
  <c r="D24" i="7" s="1"/>
  <c r="AD29" i="3" l="1"/>
  <c r="AD35" i="3" s="1"/>
  <c r="AH25" i="3"/>
  <c r="AL25" i="3" l="1"/>
  <c r="AH29" i="3"/>
  <c r="AH35" i="3" s="1"/>
  <c r="AL29" i="3" l="1"/>
  <c r="AL35" i="3" s="1"/>
  <c r="AP25" i="3"/>
  <c r="AT25" i="3" l="1"/>
  <c r="AP29" i="3"/>
  <c r="AP35" i="3" s="1"/>
  <c r="AT29" i="3" l="1"/>
  <c r="AT35" i="3" s="1"/>
  <c r="AX25" i="3"/>
  <c r="AX29" i="3" l="1"/>
  <c r="AX35" i="3" s="1"/>
  <c r="BB25" i="3"/>
  <c r="BD25" i="3" l="1"/>
  <c r="BB29" i="3"/>
  <c r="BB35" i="3" s="1"/>
  <c r="E27" i="6" l="1"/>
  <c r="E31" i="6" s="1"/>
  <c r="E36" i="6" s="1"/>
  <c r="B21" i="7"/>
  <c r="B16" i="7"/>
  <c r="BD29" i="3"/>
  <c r="BD35" i="3" s="1"/>
  <c r="F16" i="7" l="1"/>
  <c r="F20" i="7" s="1"/>
  <c r="F24" i="7" s="1"/>
  <c r="B20" i="7"/>
  <c r="B24" i="7" s="1"/>
</calcChain>
</file>

<file path=xl/sharedStrings.xml><?xml version="1.0" encoding="utf-8"?>
<sst xmlns="http://schemas.openxmlformats.org/spreadsheetml/2006/main" count="276" uniqueCount="119">
  <si>
    <t>SCPPA/IPA - Overbilling and Credit to DWP</t>
  </si>
  <si>
    <t>A/C 1381250</t>
  </si>
  <si>
    <t>Fiscal Year 2014-15</t>
  </si>
  <si>
    <t>FY 13 - 14 End Balance</t>
  </si>
  <si>
    <t>July 2014</t>
  </si>
  <si>
    <t>FY 2014-15</t>
  </si>
  <si>
    <t>Project Type</t>
  </si>
  <si>
    <t>Project Names/Component</t>
  </si>
  <si>
    <t>Prepayment type</t>
  </si>
  <si>
    <t>OATT/Non-OATT</t>
  </si>
  <si>
    <t>GL 1381250</t>
  </si>
  <si>
    <t>Credited/Applied</t>
  </si>
  <si>
    <t>Adjustments</t>
  </si>
  <si>
    <t>Over/Under Billings</t>
  </si>
  <si>
    <t>End Balance</t>
  </si>
  <si>
    <t>13 Month Average</t>
  </si>
  <si>
    <t>Overbillings</t>
  </si>
  <si>
    <t>SCPPA</t>
  </si>
  <si>
    <t>Palo Verde Project</t>
  </si>
  <si>
    <t>Prepaid Transmission</t>
  </si>
  <si>
    <t>Non- OATT</t>
  </si>
  <si>
    <t>Southern Transmission System</t>
  </si>
  <si>
    <t>OATT</t>
  </si>
  <si>
    <t>Linden Wind Energy Project</t>
  </si>
  <si>
    <t>Pebble Springs Wind Project</t>
  </si>
  <si>
    <t>Prepaid Energy</t>
  </si>
  <si>
    <t>Milford I Wind Project</t>
  </si>
  <si>
    <t>Milford II Wind Project</t>
  </si>
  <si>
    <t>Apex Power Project - Natural Gas/Fuel</t>
  </si>
  <si>
    <t>Prepaid Natural Gas</t>
  </si>
  <si>
    <t>Apex Power Project</t>
  </si>
  <si>
    <t>Don A Campbell Project</t>
  </si>
  <si>
    <t>Copper Mountain Solar Project</t>
  </si>
  <si>
    <t>Windy Point/Windy Flats Project</t>
  </si>
  <si>
    <t>SCPPA Total</t>
  </si>
  <si>
    <t>IPA</t>
  </si>
  <si>
    <t>IGS - Non Fuel</t>
  </si>
  <si>
    <t>IGS - Fixed Fuel</t>
  </si>
  <si>
    <t>Non-OATT</t>
  </si>
  <si>
    <t>NTS</t>
  </si>
  <si>
    <t>IGS - Variable Fuel</t>
  </si>
  <si>
    <t>IPA Total</t>
  </si>
  <si>
    <t>Natural Gas Project (Wyoming)</t>
  </si>
  <si>
    <t>Total:</t>
  </si>
  <si>
    <t>Ex. No DWP 104, Tab AL, cell AJ55</t>
  </si>
  <si>
    <t>Ex. No DWP 104, Tab AL, cell AJ51</t>
  </si>
  <si>
    <t>LADWP</t>
  </si>
  <si>
    <t>LADWP-UPL</t>
  </si>
  <si>
    <t>Total</t>
  </si>
  <si>
    <t>Total
(Over)/Under
Billing</t>
  </si>
  <si>
    <t>IGS
Variable Fuel</t>
  </si>
  <si>
    <t>FY 2014-15 Minimum Cost - Fixed Fuel</t>
  </si>
  <si>
    <t>FY 2014-15 Minimum Cost - Non Fixed Fuel</t>
  </si>
  <si>
    <t>Total 2014-15 Minimum Cost (Over)/Under Billing</t>
  </si>
  <si>
    <t>LADWP Minimum Costs - Fixed Fuel</t>
  </si>
  <si>
    <t>LADWP Mimimum Costs - Non Fixed Fuel</t>
  </si>
  <si>
    <t>Breakdown of June 2015 IPP Prepayment</t>
  </si>
  <si>
    <t>Total LADWP IGS Non-Variable Fuel - June 2015</t>
  </si>
  <si>
    <t>Allocation of June 2015 LADWP IGS Minimum Cost to Fixed Fuel and Non Fixed Fuel</t>
  </si>
  <si>
    <t>Allocation of June 2014 LADWP IGS Minimum Cost to Fixed Fuel and Non Fixed Fuel</t>
  </si>
  <si>
    <t>Total LADWP IGS Non-Variable Fuel - June 2014</t>
  </si>
  <si>
    <t>FY 2013-14 Minimum Cost - Fixed Fuel</t>
  </si>
  <si>
    <t>FY 2013-14 Minimum Cost - Non Fixed Fuel</t>
  </si>
  <si>
    <t>Breakdown of June 2014 IPP Prepayment</t>
  </si>
  <si>
    <t>IPA Check Numbers</t>
  </si>
  <si>
    <t>Fully integrated into the transmission system and therefore designated as OATT.</t>
  </si>
  <si>
    <t>OATT/Non-OATT Explanation</t>
  </si>
  <si>
    <t>See the explanation for IGS-Non Fuel above.</t>
  </si>
  <si>
    <t>Source of Costs</t>
  </si>
  <si>
    <t>CALCULATION OF FUEL AND NON FUEL IPP MINIMUM COSTS - JUNE 2015</t>
  </si>
  <si>
    <t>Total IGS Minimum Costs
(Fixed Fuel + Non Fixed Fuel)</t>
  </si>
  <si>
    <t xml:space="preserve">
NTS</t>
  </si>
  <si>
    <t>Difference between Total minimum cost and fixed fuel</t>
  </si>
  <si>
    <t>CALCULATION OF FUEL AND NON FUEL IPP MINIMUM COSTS - JUNE 2014</t>
  </si>
  <si>
    <t>Prepayment - IPP excl. fuel(Production Prepayment) - 13 Mo Avg</t>
  </si>
  <si>
    <t>Prepayment -DWP - IPP NTS (Transmission Prepayment)</t>
  </si>
  <si>
    <t>Production - IPP</t>
  </si>
  <si>
    <t>Transmission</t>
  </si>
  <si>
    <t>Non OATT</t>
  </si>
  <si>
    <t>Remove  Non OATT Prepayments (fuel related)- 13 Mo Avg</t>
  </si>
  <si>
    <t xml:space="preserve">Total Prepayment </t>
  </si>
  <si>
    <t>Prepayment Component</t>
  </si>
  <si>
    <t>IPP - IGS - Production</t>
  </si>
  <si>
    <t>IPP - NTS Transmission</t>
  </si>
  <si>
    <t>IPP Fuel</t>
  </si>
  <si>
    <t>SCPPA-OATT</t>
  </si>
  <si>
    <t>SCPPA-Non OATT</t>
  </si>
  <si>
    <t>Wyoming Natural Gas</t>
  </si>
  <si>
    <t>$35.5 M Prepayment - Exhibit 104, Tab AL, Section B.5</t>
  </si>
  <si>
    <t>$35.5 M Prepayment - Revised</t>
  </si>
  <si>
    <t>$35.5 M Prepayment - Increase/ (Decrease)</t>
  </si>
  <si>
    <t>Total Prepayment Difference</t>
  </si>
  <si>
    <t>Summary of Changes to OATT and Non-OATT Components of the $35.5 Million Prepayment in Exhibit 104, Tab AL</t>
  </si>
  <si>
    <t>Check</t>
  </si>
  <si>
    <t>OATT and Non-OATT Explanations</t>
  </si>
  <si>
    <t>IGS
Minimum Cost Overbilling</t>
  </si>
  <si>
    <t xml:space="preserve">The Linden Wind Energy project does not provide ancillary services. </t>
  </si>
  <si>
    <t xml:space="preserve">The Pebble Springs Wind project does not provide ancillary services. </t>
  </si>
  <si>
    <t>% of Total Minimum Cost Overbillings</t>
  </si>
  <si>
    <t>June 2014 IPP Prepayment - IGS and NTS Overbilling</t>
  </si>
  <si>
    <t>June 2015 IPP Prepayment - IGS and NTS Overbilling</t>
  </si>
  <si>
    <t>Total LADWP IGS Minimum Cost Overbilling - June 2015</t>
  </si>
  <si>
    <t>Total LADWP IGS Minimum Cost Overbilling - June 2014</t>
  </si>
  <si>
    <t xml:space="preserve">Per the "Gen AS Matrix" tab in Exhibit 104, Milford Wind does not provide ancillary services. </t>
  </si>
  <si>
    <t>Per the "Gen AS Matrix" tab in Exhibit 104, Milford Wind does not provide ancillary services.</t>
  </si>
  <si>
    <t>Natural gas fuel expense is excluded from revenue requirement, therefore, the associated prepayment is also excluded from revenue requirement. In addition, per the "Gen AS Matrix" tab in Exhibit 104, Apex does not provide ancillary services.</t>
  </si>
  <si>
    <t>Per the "Gen AS Matrix" tab in Exhibit 104, Apex does not provide ancillary services.</t>
  </si>
  <si>
    <t xml:space="preserve">The Don A Campbell project does not provide ancillary services. </t>
  </si>
  <si>
    <t xml:space="preserve">The Copper Mountain Solar project does not provide ancillary services. </t>
  </si>
  <si>
    <t>The Windy Point/Windy Flats project does not provide ancillary services.</t>
  </si>
  <si>
    <t>PDF page 5 of Attachment 97a.1_IPP Costs for FY1415.pdf"</t>
  </si>
  <si>
    <t>PDF page 3 of "Attachment 97a.2_IPP Costs For FY1314.pdf"</t>
  </si>
  <si>
    <t>PDF page 5 of "Attachment 97a.2_IPP Costs For FY1314.pdf"</t>
  </si>
  <si>
    <t>Mead Phoenix Project</t>
  </si>
  <si>
    <t>Mead Adelanto Project</t>
  </si>
  <si>
    <t xml:space="preserve">Per the "Gen AS Matrix" tab in Exhibit 104, the Intermountain Generation Station (IPP) provides ancillary services for schedules 2 and 5. Please note that only the non-fuel portion of IGS/IPP costs are designated as OATT. The IPP purchased power expenses included in tab AH (and revenue requirement) exclude fixed and variable fuel costs. Similarly, only the IPP prepayments related to non-fuel are included in rate base.  </t>
  </si>
  <si>
    <t>This project provides natural gas for the 4 LA In-Basin generating stations. However, natural gas fuel expense is excluded from revenue requirement. Likewise, prepayments associated with natural gas are excluded from revenue requirement.</t>
  </si>
  <si>
    <t>This prepayment is related to Palo Verde generation. Per the "Gen AS Matrix" tab in Exhibit 104, Palo Verde does not provide ancillary services.</t>
  </si>
  <si>
    <t>PDF page 4 of Attachment 97a.1_IPP Costs for FY1415.pdf"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</si>
</sst>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409]mmmm\ d\,\ yyyy;@"/>
    <numFmt numFmtId="165" formatCode="[$-409]mmm\-yy;@"/>
    <numFmt numFmtId="166" formatCode="_(&quot;$&quot;* #,##0_);_(&quot;$&quot;* \(#,##0\);_(&quot;$&quot;* &quot;-&quot;??_);_(@_)"/>
    <numFmt numFmtId="167"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Times New Roman"/>
      <family val="1"/>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color rgb="FFFF0000"/>
      <name val="Calibri"/>
      <family val="2"/>
      <scheme val="minor"/>
    </font>
    <font>
      <i/>
      <sz val="10"/>
      <color rgb="FFFF0000"/>
      <name val="Times New Roman"/>
      <family val="1"/>
    </font>
    <font>
      <sz val="8"/>
      <color rgb="FFFF0000"/>
      <name val="Times New Roman"/>
      <family val="1"/>
    </font>
    <font>
      <sz val="11"/>
      <color rgb="FFFF0000"/>
      <name val="Calibri"/>
      <family val="2"/>
      <scheme val="minor"/>
    </font>
    <font>
      <b/>
      <u/>
      <sz val="11"/>
      <color theme="1"/>
      <name val="Calibri"/>
      <family val="2"/>
      <scheme val="minor"/>
    </font>
    <font>
      <u/>
      <sz val="11"/>
      <color theme="1"/>
      <name val="Calibri"/>
      <family val="2"/>
      <scheme val="minor"/>
    </font>
    <font>
      <sz val="11"/>
      <name val="Calibri"/>
      <family val="2"/>
      <scheme val="minor"/>
    </font>
    <font>
      <b/>
      <sz val="14"/>
      <color theme="1"/>
      <name val="Calibri"/>
      <family val="2"/>
      <scheme val="minor"/>
    </font>
    <font>
      <b/>
      <sz val="22"/>
      <name val="Times New Roman"/>
      <family val="1"/>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7">
    <xf numFmtId="0" fontId="0" fillId="0" borderId="0" xfId="0"/>
    <xf numFmtId="0" fontId="3" fillId="0" borderId="0" xfId="0" applyFont="1"/>
    <xf numFmtId="0" fontId="3" fillId="0" borderId="0" xfId="0" applyFont="1" applyAlignment="1">
      <alignment wrapText="1"/>
    </xf>
    <xf numFmtId="39" fontId="3" fillId="0" borderId="0" xfId="0" applyNumberFormat="1" applyFont="1" applyAlignment="1">
      <alignment horizontal="right"/>
    </xf>
    <xf numFmtId="0" fontId="4" fillId="0" borderId="0" xfId="0" applyFont="1"/>
    <xf numFmtId="39" fontId="4" fillId="0" borderId="0" xfId="0" applyNumberFormat="1" applyFont="1" applyAlignment="1"/>
    <xf numFmtId="39" fontId="4" fillId="0" borderId="0" xfId="0" applyNumberFormat="1" applyFont="1"/>
    <xf numFmtId="39" fontId="4" fillId="0" borderId="0" xfId="0" applyNumberFormat="1" applyFont="1" applyAlignment="1">
      <alignment horizontal="right"/>
    </xf>
    <xf numFmtId="0" fontId="5" fillId="0" borderId="0" xfId="0" applyFont="1"/>
    <xf numFmtId="0" fontId="5" fillId="0" borderId="0" xfId="0" applyFont="1" applyAlignment="1">
      <alignment wrapText="1"/>
    </xf>
    <xf numFmtId="0" fontId="4" fillId="0" borderId="0" xfId="0" applyFont="1" applyAlignment="1">
      <alignment wrapText="1"/>
    </xf>
    <xf numFmtId="44" fontId="4" fillId="0" borderId="0" xfId="0" applyNumberFormat="1" applyFont="1"/>
    <xf numFmtId="164" fontId="5" fillId="0" borderId="1" xfId="0" applyNumberFormat="1" applyFont="1" applyBorder="1" applyAlignment="1">
      <alignment horizontal="center"/>
    </xf>
    <xf numFmtId="39" fontId="5" fillId="0" borderId="1" xfId="0" applyNumberFormat="1" applyFont="1" applyBorder="1" applyAlignment="1">
      <alignment horizontal="center"/>
    </xf>
    <xf numFmtId="0" fontId="5" fillId="0" borderId="2" xfId="0" applyFont="1" applyBorder="1" applyAlignment="1">
      <alignment horizontal="center"/>
    </xf>
    <xf numFmtId="0" fontId="5" fillId="0" borderId="6" xfId="0" applyFont="1" applyBorder="1"/>
    <xf numFmtId="0" fontId="5" fillId="0" borderId="6" xfId="0" applyFont="1" applyBorder="1" applyAlignment="1">
      <alignment wrapText="1"/>
    </xf>
    <xf numFmtId="39" fontId="5" fillId="0" borderId="7" xfId="0" applyNumberFormat="1" applyFont="1" applyBorder="1" applyAlignment="1">
      <alignment horizontal="center"/>
    </xf>
    <xf numFmtId="0" fontId="5" fillId="0" borderId="0" xfId="0" applyFont="1" applyBorder="1"/>
    <xf numFmtId="39" fontId="5" fillId="0" borderId="3" xfId="0" applyNumberFormat="1" applyFont="1" applyBorder="1" applyAlignment="1">
      <alignment horizontal="center"/>
    </xf>
    <xf numFmtId="39" fontId="5" fillId="0" borderId="4" xfId="0" applyNumberFormat="1" applyFont="1" applyBorder="1" applyAlignment="1">
      <alignment horizontal="center"/>
    </xf>
    <xf numFmtId="39" fontId="5" fillId="0" borderId="4" xfId="0" applyNumberFormat="1" applyFont="1" applyBorder="1" applyAlignment="1">
      <alignment horizontal="center" wrapText="1"/>
    </xf>
    <xf numFmtId="166" fontId="5" fillId="0" borderId="5" xfId="2" applyNumberFormat="1" applyFont="1" applyBorder="1" applyAlignment="1">
      <alignment horizontal="center"/>
    </xf>
    <xf numFmtId="166" fontId="5" fillId="0" borderId="4" xfId="2" applyNumberFormat="1" applyFont="1" applyBorder="1" applyAlignment="1">
      <alignment horizontal="center"/>
    </xf>
    <xf numFmtId="39" fontId="5" fillId="0" borderId="3" xfId="0" applyNumberFormat="1" applyFont="1" applyBorder="1" applyAlignment="1">
      <alignment horizontal="right"/>
    </xf>
    <xf numFmtId="39" fontId="5" fillId="0" borderId="4" xfId="0" applyNumberFormat="1" applyFont="1" applyBorder="1" applyAlignment="1">
      <alignment horizontal="right"/>
    </xf>
    <xf numFmtId="39" fontId="5" fillId="0" borderId="5" xfId="0" applyNumberFormat="1" applyFont="1" applyBorder="1" applyAlignment="1">
      <alignment horizontal="right"/>
    </xf>
    <xf numFmtId="39" fontId="4" fillId="0" borderId="8" xfId="0" applyNumberFormat="1" applyFont="1" applyBorder="1" applyAlignment="1">
      <alignment horizontal="right"/>
    </xf>
    <xf numFmtId="39" fontId="4" fillId="0" borderId="9" xfId="0" applyNumberFormat="1" applyFont="1" applyBorder="1" applyAlignment="1"/>
    <xf numFmtId="39" fontId="4" fillId="0" borderId="0" xfId="0" applyNumberFormat="1" applyFont="1" applyBorder="1"/>
    <xf numFmtId="166" fontId="4" fillId="0" borderId="10" xfId="2" applyNumberFormat="1" applyFont="1" applyBorder="1"/>
    <xf numFmtId="39" fontId="4" fillId="0" borderId="0" xfId="0" applyNumberFormat="1" applyFont="1" applyBorder="1" applyAlignment="1"/>
    <xf numFmtId="166" fontId="4" fillId="0" borderId="0" xfId="2" applyNumberFormat="1" applyFont="1" applyBorder="1"/>
    <xf numFmtId="39" fontId="4" fillId="0" borderId="9" xfId="0" applyNumberFormat="1" applyFont="1" applyBorder="1" applyAlignment="1">
      <alignment horizontal="right"/>
    </xf>
    <xf numFmtId="39" fontId="4" fillId="0" borderId="0" xfId="0" applyNumberFormat="1" applyFont="1" applyBorder="1" applyAlignment="1">
      <alignment horizontal="right"/>
    </xf>
    <xf numFmtId="166" fontId="4" fillId="0" borderId="1" xfId="2" applyNumberFormat="1" applyFont="1" applyBorder="1"/>
    <xf numFmtId="39" fontId="4" fillId="0" borderId="11" xfId="0" applyNumberFormat="1" applyFont="1" applyBorder="1" applyAlignment="1">
      <alignment horizontal="right"/>
    </xf>
    <xf numFmtId="39" fontId="4" fillId="0" borderId="12" xfId="0" applyNumberFormat="1" applyFont="1" applyBorder="1" applyAlignment="1">
      <alignment horizontal="right"/>
    </xf>
    <xf numFmtId="39" fontId="4" fillId="0" borderId="13" xfId="0" applyNumberFormat="1" applyFont="1" applyBorder="1" applyAlignment="1">
      <alignment horizontal="right"/>
    </xf>
    <xf numFmtId="39" fontId="4" fillId="0" borderId="1" xfId="0" applyNumberFormat="1" applyFont="1" applyBorder="1"/>
    <xf numFmtId="166" fontId="5" fillId="0" borderId="0" xfId="2" applyNumberFormat="1" applyFont="1" applyAlignment="1">
      <alignment vertical="center"/>
    </xf>
    <xf numFmtId="166" fontId="5" fillId="0" borderId="0" xfId="2" applyNumberFormat="1" applyFont="1" applyAlignment="1">
      <alignment horizontal="left" vertical="center" wrapText="1"/>
    </xf>
    <xf numFmtId="166" fontId="4" fillId="0" borderId="0" xfId="2" applyNumberFormat="1" applyFont="1" applyAlignment="1">
      <alignment horizontal="left" vertical="center"/>
    </xf>
    <xf numFmtId="166" fontId="4" fillId="0" borderId="8" xfId="2" applyNumberFormat="1" applyFont="1" applyBorder="1" applyAlignment="1">
      <alignment horizontal="right" vertical="center"/>
    </xf>
    <xf numFmtId="166" fontId="4" fillId="0" borderId="0" xfId="2" applyNumberFormat="1" applyFont="1" applyAlignment="1">
      <alignment vertical="center"/>
    </xf>
    <xf numFmtId="166" fontId="4" fillId="0" borderId="9" xfId="2" applyNumberFormat="1" applyFont="1" applyBorder="1" applyAlignment="1">
      <alignment vertical="center"/>
    </xf>
    <xf numFmtId="166" fontId="4" fillId="0" borderId="0" xfId="2" applyNumberFormat="1" applyFont="1" applyBorder="1" applyAlignment="1">
      <alignment vertical="center"/>
    </xf>
    <xf numFmtId="166" fontId="4" fillId="0" borderId="10" xfId="2" applyNumberFormat="1" applyFont="1" applyBorder="1" applyAlignment="1">
      <alignment vertical="center"/>
    </xf>
    <xf numFmtId="166" fontId="4" fillId="0" borderId="9" xfId="2" applyNumberFormat="1" applyFont="1" applyBorder="1" applyAlignment="1">
      <alignment horizontal="right" vertical="center"/>
    </xf>
    <xf numFmtId="166" fontId="4" fillId="0" borderId="0" xfId="2" applyNumberFormat="1" applyFont="1" applyBorder="1" applyAlignment="1">
      <alignment horizontal="right" vertical="center"/>
    </xf>
    <xf numFmtId="166" fontId="4" fillId="0" borderId="8" xfId="2" applyNumberFormat="1" applyFont="1" applyBorder="1" applyAlignment="1">
      <alignment vertical="center"/>
    </xf>
    <xf numFmtId="166" fontId="4" fillId="0" borderId="10" xfId="2" applyNumberFormat="1" applyFont="1" applyBorder="1" applyAlignment="1">
      <alignment horizontal="right" vertical="center"/>
    </xf>
    <xf numFmtId="0" fontId="5" fillId="0" borderId="0" xfId="2" applyNumberFormat="1" applyFont="1" applyFill="1" applyAlignment="1">
      <alignment vertical="center" wrapText="1"/>
    </xf>
    <xf numFmtId="166" fontId="4" fillId="0" borderId="8" xfId="2" applyNumberFormat="1" applyFont="1" applyFill="1" applyBorder="1" applyAlignment="1">
      <alignment horizontal="right" vertical="center"/>
    </xf>
    <xf numFmtId="166" fontId="4" fillId="0" borderId="0" xfId="2" applyNumberFormat="1" applyFont="1" applyFill="1" applyAlignment="1">
      <alignment vertical="center"/>
    </xf>
    <xf numFmtId="166" fontId="4" fillId="0" borderId="9" xfId="2" applyNumberFormat="1" applyFont="1" applyFill="1" applyBorder="1" applyAlignment="1">
      <alignment vertical="center"/>
    </xf>
    <xf numFmtId="166" fontId="4" fillId="0" borderId="0" xfId="2" applyNumberFormat="1" applyFont="1" applyFill="1" applyBorder="1" applyAlignment="1">
      <alignment vertical="center"/>
    </xf>
    <xf numFmtId="166" fontId="4" fillId="0" borderId="9" xfId="2" applyNumberFormat="1" applyFont="1" applyFill="1" applyBorder="1" applyAlignment="1">
      <alignment horizontal="right" vertical="center"/>
    </xf>
    <xf numFmtId="166" fontId="4" fillId="0" borderId="0" xfId="2" applyNumberFormat="1" applyFont="1" applyFill="1" applyBorder="1" applyAlignment="1">
      <alignment horizontal="right" vertical="center"/>
    </xf>
    <xf numFmtId="166" fontId="4" fillId="0" borderId="10" xfId="2" applyNumberFormat="1" applyFont="1" applyFill="1" applyBorder="1" applyAlignment="1">
      <alignment horizontal="right" vertical="center"/>
    </xf>
    <xf numFmtId="166" fontId="4" fillId="0" borderId="8" xfId="2" applyNumberFormat="1" applyFont="1" applyFill="1" applyBorder="1" applyAlignment="1">
      <alignment vertical="center"/>
    </xf>
    <xf numFmtId="166" fontId="4" fillId="0" borderId="7" xfId="2" applyNumberFormat="1" applyFont="1" applyBorder="1" applyAlignment="1">
      <alignment horizontal="right" vertical="center"/>
    </xf>
    <xf numFmtId="166" fontId="5" fillId="0" borderId="4" xfId="2" applyNumberFormat="1" applyFont="1" applyBorder="1"/>
    <xf numFmtId="166" fontId="4" fillId="0" borderId="4" xfId="2" applyNumberFormat="1" applyFont="1" applyBorder="1"/>
    <xf numFmtId="166" fontId="4" fillId="0" borderId="4" xfId="2" applyNumberFormat="1" applyFont="1" applyBorder="1" applyAlignment="1">
      <alignment horizontal="left" wrapText="1"/>
    </xf>
    <xf numFmtId="166" fontId="4" fillId="0" borderId="4" xfId="2" applyNumberFormat="1" applyFont="1" applyBorder="1" applyAlignment="1">
      <alignment horizontal="left"/>
    </xf>
    <xf numFmtId="166" fontId="4" fillId="0" borderId="2" xfId="2" applyNumberFormat="1" applyFont="1" applyBorder="1" applyAlignment="1">
      <alignment horizontal="right"/>
    </xf>
    <xf numFmtId="166" fontId="4" fillId="0" borderId="0" xfId="2" applyNumberFormat="1" applyFont="1"/>
    <xf numFmtId="166" fontId="4" fillId="0" borderId="3" xfId="2" applyNumberFormat="1" applyFont="1" applyBorder="1" applyAlignment="1"/>
    <xf numFmtId="166" fontId="4" fillId="0" borderId="5" xfId="2" applyNumberFormat="1" applyFont="1" applyBorder="1" applyAlignment="1"/>
    <xf numFmtId="166" fontId="4" fillId="0" borderId="4" xfId="2" applyNumberFormat="1" applyFont="1" applyBorder="1" applyAlignment="1"/>
    <xf numFmtId="166" fontId="4" fillId="0" borderId="3" xfId="2" applyNumberFormat="1" applyFont="1" applyBorder="1" applyAlignment="1">
      <alignment horizontal="right"/>
    </xf>
    <xf numFmtId="166" fontId="4" fillId="0" borderId="4" xfId="2" applyNumberFormat="1" applyFont="1" applyBorder="1" applyAlignment="1">
      <alignment horizontal="right"/>
    </xf>
    <xf numFmtId="166" fontId="4" fillId="0" borderId="2" xfId="2" applyNumberFormat="1" applyFont="1" applyBorder="1" applyAlignment="1"/>
    <xf numFmtId="166" fontId="4" fillId="0" borderId="5" xfId="2" applyNumberFormat="1" applyFont="1" applyBorder="1" applyAlignment="1">
      <alignment horizontal="right"/>
    </xf>
    <xf numFmtId="166" fontId="4" fillId="0" borderId="2" xfId="2" applyNumberFormat="1" applyFont="1" applyBorder="1"/>
    <xf numFmtId="0" fontId="4" fillId="0" borderId="0" xfId="0" applyFont="1" applyAlignment="1">
      <alignment horizontal="left" wrapText="1"/>
    </xf>
    <xf numFmtId="0" fontId="4" fillId="0" borderId="0" xfId="0" applyFont="1" applyAlignment="1">
      <alignment horizontal="left"/>
    </xf>
    <xf numFmtId="0" fontId="4" fillId="0" borderId="10" xfId="0" applyFont="1" applyBorder="1"/>
    <xf numFmtId="0" fontId="4" fillId="0" borderId="0" xfId="0" applyFont="1" applyBorder="1"/>
    <xf numFmtId="0" fontId="4" fillId="0" borderId="8" xfId="0" applyFont="1" applyBorder="1"/>
    <xf numFmtId="39" fontId="4" fillId="0" borderId="10" xfId="0" applyNumberFormat="1" applyFont="1" applyBorder="1" applyAlignment="1">
      <alignment horizontal="right"/>
    </xf>
    <xf numFmtId="39" fontId="4" fillId="0" borderId="8" xfId="0" applyNumberFormat="1" applyFont="1" applyBorder="1"/>
    <xf numFmtId="0" fontId="2" fillId="0" borderId="0" xfId="0" applyFont="1" applyAlignment="1">
      <alignment horizontal="left" vertical="center" indent="1"/>
    </xf>
    <xf numFmtId="0" fontId="4" fillId="0" borderId="0" xfId="0" applyFont="1" applyAlignment="1">
      <alignment vertical="center"/>
    </xf>
    <xf numFmtId="0" fontId="4" fillId="0" borderId="9" xfId="0" applyFont="1" applyBorder="1"/>
    <xf numFmtId="166" fontId="4" fillId="0" borderId="10" xfId="2" applyNumberFormat="1" applyFont="1" applyFill="1" applyBorder="1"/>
    <xf numFmtId="166" fontId="4" fillId="0" borderId="9" xfId="0" applyNumberFormat="1" applyFont="1" applyFill="1" applyBorder="1"/>
    <xf numFmtId="39" fontId="4" fillId="0" borderId="9" xfId="0" applyNumberFormat="1" applyFont="1" applyBorder="1"/>
    <xf numFmtId="166" fontId="4" fillId="0" borderId="0" xfId="2" applyNumberFormat="1" applyFont="1" applyFill="1" applyBorder="1"/>
    <xf numFmtId="166" fontId="4" fillId="0" borderId="8" xfId="2" applyNumberFormat="1" applyFont="1" applyFill="1" applyBorder="1"/>
    <xf numFmtId="17" fontId="5" fillId="0" borderId="4" xfId="0" applyNumberFormat="1" applyFont="1" applyBorder="1"/>
    <xf numFmtId="17" fontId="5" fillId="0" borderId="4" xfId="0" applyNumberFormat="1" applyFont="1" applyBorder="1" applyAlignment="1">
      <alignment wrapText="1"/>
    </xf>
    <xf numFmtId="0" fontId="4" fillId="0" borderId="4" xfId="0" applyFont="1" applyBorder="1"/>
    <xf numFmtId="166" fontId="4" fillId="0" borderId="2" xfId="0" applyNumberFormat="1" applyFont="1" applyFill="1" applyBorder="1"/>
    <xf numFmtId="166" fontId="7" fillId="0" borderId="0" xfId="2" applyNumberFormat="1" applyFont="1"/>
    <xf numFmtId="0" fontId="8" fillId="0" borderId="0" xfId="0" applyFont="1" applyAlignment="1">
      <alignment horizontal="left" vertical="center" wrapText="1"/>
    </xf>
    <xf numFmtId="166" fontId="3" fillId="0" borderId="0" xfId="2" applyNumberFormat="1" applyFont="1" applyAlignment="1">
      <alignment horizontal="left"/>
    </xf>
    <xf numFmtId="166" fontId="3" fillId="0" borderId="8" xfId="2" applyNumberFormat="1" applyFont="1" applyBorder="1" applyAlignment="1">
      <alignment horizontal="right"/>
    </xf>
    <xf numFmtId="166" fontId="3" fillId="0" borderId="0" xfId="2" applyNumberFormat="1" applyFont="1"/>
    <xf numFmtId="166" fontId="3" fillId="0" borderId="9" xfId="2" applyNumberFormat="1" applyFont="1" applyBorder="1" applyAlignment="1"/>
    <xf numFmtId="166" fontId="3" fillId="0" borderId="0" xfId="2" applyNumberFormat="1" applyFont="1" applyBorder="1"/>
    <xf numFmtId="166" fontId="3" fillId="0" borderId="10" xfId="2" applyNumberFormat="1" applyFont="1" applyBorder="1"/>
    <xf numFmtId="166" fontId="3" fillId="0" borderId="0" xfId="2" applyNumberFormat="1" applyFont="1" applyBorder="1" applyAlignment="1"/>
    <xf numFmtId="166" fontId="3" fillId="0" borderId="9" xfId="2" applyNumberFormat="1" applyFont="1" applyBorder="1" applyAlignment="1">
      <alignment horizontal="right"/>
    </xf>
    <xf numFmtId="166" fontId="3" fillId="0" borderId="0" xfId="2" applyNumberFormat="1" applyFont="1" applyBorder="1" applyAlignment="1">
      <alignment horizontal="right"/>
    </xf>
    <xf numFmtId="166" fontId="3" fillId="0" borderId="8" xfId="2" applyNumberFormat="1" applyFont="1" applyBorder="1"/>
    <xf numFmtId="0" fontId="5" fillId="0" borderId="0" xfId="0" applyNumberFormat="1" applyFont="1" applyAlignment="1">
      <alignment wrapText="1"/>
    </xf>
    <xf numFmtId="43" fontId="4" fillId="0" borderId="0" xfId="1" applyFont="1" applyBorder="1" applyAlignment="1">
      <alignment horizontal="right"/>
    </xf>
    <xf numFmtId="166" fontId="5" fillId="0" borderId="0" xfId="2" applyNumberFormat="1" applyFont="1" applyAlignment="1">
      <alignment wrapText="1"/>
    </xf>
    <xf numFmtId="0" fontId="5" fillId="0" borderId="0" xfId="2" applyNumberFormat="1" applyFont="1" applyAlignment="1">
      <alignment wrapText="1"/>
    </xf>
    <xf numFmtId="166" fontId="4" fillId="0" borderId="0" xfId="2" applyNumberFormat="1" applyFont="1" applyAlignment="1">
      <alignment horizontal="left"/>
    </xf>
    <xf numFmtId="166" fontId="4" fillId="0" borderId="8" xfId="2" applyNumberFormat="1" applyFont="1" applyBorder="1" applyAlignment="1">
      <alignment horizontal="right"/>
    </xf>
    <xf numFmtId="166" fontId="4" fillId="0" borderId="9" xfId="2" applyNumberFormat="1" applyFont="1" applyBorder="1" applyAlignment="1"/>
    <xf numFmtId="166" fontId="4" fillId="0" borderId="0" xfId="2" applyNumberFormat="1" applyFont="1" applyBorder="1" applyAlignment="1"/>
    <xf numFmtId="166" fontId="4" fillId="0" borderId="9" xfId="2" applyNumberFormat="1" applyFont="1" applyBorder="1" applyAlignment="1">
      <alignment horizontal="right"/>
    </xf>
    <xf numFmtId="166" fontId="4" fillId="0" borderId="0" xfId="2" applyNumberFormat="1" applyFont="1" applyBorder="1" applyAlignment="1">
      <alignment horizontal="right"/>
    </xf>
    <xf numFmtId="166" fontId="4" fillId="0" borderId="8" xfId="2" applyNumberFormat="1" applyFont="1" applyBorder="1"/>
    <xf numFmtId="166" fontId="5" fillId="0" borderId="0" xfId="2" applyNumberFormat="1" applyFont="1"/>
    <xf numFmtId="166" fontId="4" fillId="0" borderId="10" xfId="2" applyNumberFormat="1" applyFont="1" applyBorder="1" applyAlignment="1">
      <alignment horizontal="right"/>
    </xf>
    <xf numFmtId="166" fontId="5" fillId="0" borderId="16" xfId="2" applyNumberFormat="1" applyFont="1" applyBorder="1" applyAlignment="1">
      <alignment horizontal="left"/>
    </xf>
    <xf numFmtId="166" fontId="5" fillId="0" borderId="16" xfId="2" applyNumberFormat="1" applyFont="1" applyBorder="1" applyAlignment="1">
      <alignment horizontal="left" wrapText="1"/>
    </xf>
    <xf numFmtId="166" fontId="4" fillId="0" borderId="16" xfId="2" applyNumberFormat="1" applyFont="1" applyBorder="1" applyAlignment="1">
      <alignment horizontal="left"/>
    </xf>
    <xf numFmtId="166" fontId="4" fillId="0" borderId="17" xfId="2" applyNumberFormat="1" applyFont="1" applyBorder="1" applyAlignment="1"/>
    <xf numFmtId="166" fontId="4" fillId="0" borderId="18" xfId="2" applyNumberFormat="1" applyFont="1" applyBorder="1" applyAlignment="1">
      <alignment horizontal="right"/>
    </xf>
    <xf numFmtId="166" fontId="4" fillId="0" borderId="16" xfId="2" applyNumberFormat="1" applyFont="1" applyBorder="1" applyAlignment="1">
      <alignment horizontal="right"/>
    </xf>
    <xf numFmtId="39" fontId="4" fillId="0" borderId="7" xfId="0" applyNumberFormat="1" applyFont="1" applyBorder="1" applyAlignment="1">
      <alignment horizontal="right"/>
    </xf>
    <xf numFmtId="39" fontId="4" fillId="0" borderId="14" xfId="0" applyNumberFormat="1" applyFont="1" applyBorder="1" applyAlignment="1"/>
    <xf numFmtId="39" fontId="4" fillId="0" borderId="6" xfId="0" applyNumberFormat="1" applyFont="1" applyBorder="1"/>
    <xf numFmtId="0" fontId="4" fillId="0" borderId="15" xfId="0" applyFont="1" applyBorder="1"/>
    <xf numFmtId="39" fontId="4" fillId="0" borderId="6" xfId="0" applyNumberFormat="1" applyFont="1" applyBorder="1" applyAlignment="1"/>
    <xf numFmtId="0" fontId="4" fillId="0" borderId="6" xfId="0" applyFont="1" applyBorder="1"/>
    <xf numFmtId="39" fontId="4" fillId="0" borderId="14" xfId="0" applyNumberFormat="1" applyFont="1" applyBorder="1" applyAlignment="1">
      <alignment horizontal="right"/>
    </xf>
    <xf numFmtId="39" fontId="4" fillId="0" borderId="6" xfId="0" applyNumberFormat="1" applyFont="1" applyBorder="1" applyAlignment="1">
      <alignment horizontal="right"/>
    </xf>
    <xf numFmtId="166" fontId="3" fillId="0" borderId="7" xfId="2" applyNumberFormat="1" applyFont="1" applyBorder="1"/>
    <xf numFmtId="39" fontId="9" fillId="0" borderId="15" xfId="0" applyNumberFormat="1" applyFont="1" applyBorder="1" applyAlignment="1">
      <alignment horizontal="right"/>
    </xf>
    <xf numFmtId="39" fontId="9" fillId="0" borderId="0" xfId="0" applyNumberFormat="1" applyFont="1" applyAlignment="1">
      <alignment horizontal="right"/>
    </xf>
    <xf numFmtId="44" fontId="4" fillId="0" borderId="0" xfId="0" applyNumberFormat="1" applyFont="1" applyBorder="1" applyAlignment="1">
      <alignment horizontal="right"/>
    </xf>
    <xf numFmtId="0" fontId="4" fillId="0" borderId="0" xfId="0" applyFont="1" applyFill="1" applyBorder="1"/>
    <xf numFmtId="39" fontId="4" fillId="0" borderId="0" xfId="0" applyNumberFormat="1" applyFont="1" applyFill="1" applyBorder="1" applyAlignment="1">
      <alignment horizontal="right"/>
    </xf>
    <xf numFmtId="39" fontId="0" fillId="0" borderId="0" xfId="0" applyNumberFormat="1" applyFont="1"/>
    <xf numFmtId="0" fontId="4" fillId="0" borderId="0" xfId="0" applyFont="1" applyBorder="1" applyAlignment="1">
      <alignment horizontal="right"/>
    </xf>
    <xf numFmtId="39" fontId="10" fillId="0" borderId="0" xfId="0" applyNumberFormat="1" applyFont="1" applyBorder="1" applyAlignment="1">
      <alignment horizontal="left"/>
    </xf>
    <xf numFmtId="39" fontId="5" fillId="0" borderId="0" xfId="0" applyNumberFormat="1" applyFont="1" applyAlignment="1">
      <alignment horizontal="right"/>
    </xf>
    <xf numFmtId="17" fontId="5" fillId="0" borderId="0" xfId="0" applyNumberFormat="1" applyFont="1" applyAlignment="1">
      <alignment horizontal="right"/>
    </xf>
    <xf numFmtId="17" fontId="5" fillId="0" borderId="0" xfId="0" applyNumberFormat="1" applyFont="1"/>
    <xf numFmtId="17" fontId="5" fillId="0" borderId="0" xfId="0" applyNumberFormat="1" applyFont="1" applyAlignment="1">
      <alignment wrapText="1"/>
    </xf>
    <xf numFmtId="17" fontId="5" fillId="0" borderId="0" xfId="0" applyNumberFormat="1" applyFont="1" applyFill="1"/>
    <xf numFmtId="17" fontId="5" fillId="0" borderId="0" xfId="0" applyNumberFormat="1" applyFont="1" applyFill="1" applyAlignment="1">
      <alignment wrapText="1"/>
    </xf>
    <xf numFmtId="0" fontId="4" fillId="0" borderId="0" xfId="0" applyFont="1" applyFill="1"/>
    <xf numFmtId="39" fontId="5" fillId="0" borderId="0" xfId="0" applyNumberFormat="1" applyFont="1" applyFill="1" applyAlignment="1">
      <alignment horizontal="right"/>
    </xf>
    <xf numFmtId="39" fontId="4" fillId="0" borderId="0" xfId="0" applyNumberFormat="1" applyFont="1" applyFill="1" applyAlignment="1"/>
    <xf numFmtId="39" fontId="4" fillId="0" borderId="0" xfId="0" applyNumberFormat="1" applyFont="1" applyFill="1"/>
    <xf numFmtId="39" fontId="4" fillId="0" borderId="0" xfId="0" applyNumberFormat="1" applyFont="1" applyFill="1" applyAlignment="1">
      <alignment horizontal="right"/>
    </xf>
    <xf numFmtId="9" fontId="4" fillId="0" borderId="0" xfId="3" applyFont="1" applyFill="1"/>
    <xf numFmtId="17" fontId="4" fillId="0" borderId="0" xfId="0" applyNumberFormat="1" applyFont="1"/>
    <xf numFmtId="39" fontId="5" fillId="0" borderId="0" xfId="0" applyNumberFormat="1" applyFont="1" applyBorder="1" applyAlignment="1">
      <alignment horizontal="right"/>
    </xf>
    <xf numFmtId="39" fontId="5" fillId="0" borderId="0" xfId="0" applyNumberFormat="1" applyFont="1" applyBorder="1"/>
    <xf numFmtId="39" fontId="5" fillId="0" borderId="0" xfId="0" applyNumberFormat="1" applyFont="1" applyBorder="1" applyAlignment="1"/>
    <xf numFmtId="166" fontId="4" fillId="0" borderId="0" xfId="0" applyNumberFormat="1" applyFont="1"/>
    <xf numFmtId="44" fontId="4" fillId="0" borderId="0" xfId="0" applyNumberFormat="1" applyFont="1" applyBorder="1" applyAlignment="1">
      <alignment horizontal="center"/>
    </xf>
    <xf numFmtId="39" fontId="4" fillId="0" borderId="0" xfId="0" applyNumberFormat="1" applyFont="1" applyAlignment="1">
      <alignment horizontal="center"/>
    </xf>
    <xf numFmtId="37" fontId="4" fillId="0" borderId="0" xfId="0" applyNumberFormat="1" applyFont="1" applyBorder="1" applyAlignment="1">
      <alignment horizontal="right"/>
    </xf>
    <xf numFmtId="0" fontId="5" fillId="0" borderId="0" xfId="0" applyFont="1" applyBorder="1" applyAlignment="1">
      <alignment wrapText="1"/>
    </xf>
    <xf numFmtId="37" fontId="4" fillId="0" borderId="0" xfId="0" applyNumberFormat="1" applyFont="1" applyBorder="1"/>
    <xf numFmtId="166" fontId="0" fillId="0" borderId="0" xfId="2" applyNumberFormat="1" applyFont="1"/>
    <xf numFmtId="0" fontId="0" fillId="0" borderId="6" xfId="0" applyBorder="1"/>
    <xf numFmtId="166" fontId="0" fillId="0" borderId="6" xfId="2" applyNumberFormat="1" applyFont="1" applyBorder="1"/>
    <xf numFmtId="166" fontId="0" fillId="0" borderId="0" xfId="0" applyNumberFormat="1"/>
    <xf numFmtId="167" fontId="0" fillId="0" borderId="0" xfId="1" applyNumberFormat="1" applyFont="1"/>
    <xf numFmtId="0" fontId="0" fillId="0" borderId="0" xfId="0" applyAlignment="1">
      <alignment horizontal="center"/>
    </xf>
    <xf numFmtId="166" fontId="0" fillId="0" borderId="6" xfId="0" applyNumberFormat="1" applyBorder="1"/>
    <xf numFmtId="0" fontId="0" fillId="0" borderId="0" xfId="0" applyFill="1" applyBorder="1"/>
    <xf numFmtId="0" fontId="12" fillId="0" borderId="0" xfId="0" applyFont="1"/>
    <xf numFmtId="0" fontId="12" fillId="0" borderId="0" xfId="0" applyFont="1" applyAlignment="1"/>
    <xf numFmtId="166" fontId="0" fillId="0" borderId="6" xfId="2" applyNumberFormat="1" applyFont="1" applyFill="1" applyBorder="1"/>
    <xf numFmtId="0" fontId="0" fillId="0" borderId="6" xfId="0" applyBorder="1" applyAlignment="1">
      <alignment horizontal="center"/>
    </xf>
    <xf numFmtId="0" fontId="0" fillId="0" borderId="0" xfId="0" applyBorder="1"/>
    <xf numFmtId="166" fontId="0" fillId="0" borderId="0" xfId="0" applyNumberFormat="1" applyBorder="1"/>
    <xf numFmtId="166" fontId="0" fillId="0" borderId="0" xfId="2" applyNumberFormat="1" applyFont="1" applyBorder="1"/>
    <xf numFmtId="0" fontId="0" fillId="0" borderId="0" xfId="0" applyBorder="1" applyAlignment="1">
      <alignment horizontal="center"/>
    </xf>
    <xf numFmtId="0" fontId="0" fillId="0" borderId="6" xfId="0" applyBorder="1" applyAlignment="1">
      <alignment horizontal="center" wrapText="1"/>
    </xf>
    <xf numFmtId="0" fontId="0" fillId="0" borderId="6" xfId="0" applyFill="1" applyBorder="1" applyAlignment="1">
      <alignment horizontal="center" wrapText="1"/>
    </xf>
    <xf numFmtId="0" fontId="0" fillId="0" borderId="6" xfId="0" applyFill="1" applyBorder="1"/>
    <xf numFmtId="0" fontId="13" fillId="0" borderId="0" xfId="0" applyFont="1" applyBorder="1"/>
    <xf numFmtId="10" fontId="0" fillId="0" borderId="0" xfId="3" applyNumberFormat="1" applyFont="1"/>
    <xf numFmtId="10" fontId="0" fillId="0" borderId="6" xfId="3" applyNumberFormat="1" applyFont="1" applyBorder="1"/>
    <xf numFmtId="10" fontId="0" fillId="0" borderId="0" xfId="0" applyNumberFormat="1"/>
    <xf numFmtId="44" fontId="0" fillId="0" borderId="0" xfId="0" applyNumberFormat="1"/>
    <xf numFmtId="166" fontId="14" fillId="0" borderId="0" xfId="0" applyNumberFormat="1" applyFont="1" applyFill="1"/>
    <xf numFmtId="166" fontId="14" fillId="0" borderId="0" xfId="2" applyNumberFormat="1" applyFont="1" applyFill="1"/>
    <xf numFmtId="166" fontId="4" fillId="0" borderId="2" xfId="2" applyNumberFormat="1" applyFont="1" applyFill="1" applyBorder="1" applyAlignment="1">
      <alignment horizontal="right"/>
    </xf>
    <xf numFmtId="166" fontId="4" fillId="0" borderId="19" xfId="2" applyNumberFormat="1" applyFont="1" applyBorder="1" applyAlignment="1">
      <alignment horizontal="right"/>
    </xf>
    <xf numFmtId="0" fontId="11" fillId="0" borderId="0" xfId="0" applyFont="1"/>
    <xf numFmtId="0" fontId="0" fillId="0" borderId="0" xfId="0" applyFill="1"/>
    <xf numFmtId="166" fontId="4" fillId="2" borderId="8" xfId="2" applyNumberFormat="1" applyFont="1" applyFill="1" applyBorder="1" applyAlignment="1">
      <alignment horizontal="right"/>
    </xf>
    <xf numFmtId="37" fontId="4" fillId="2" borderId="9" xfId="0" applyNumberFormat="1" applyFont="1" applyFill="1" applyBorder="1"/>
    <xf numFmtId="166" fontId="6" fillId="2" borderId="0" xfId="2" applyNumberFormat="1" applyFont="1" applyFill="1" applyBorder="1"/>
    <xf numFmtId="0" fontId="5" fillId="0" borderId="0" xfId="2" applyNumberFormat="1" applyFont="1" applyAlignment="1">
      <alignment horizontal="left" vertical="center" wrapText="1"/>
    </xf>
    <xf numFmtId="0" fontId="4" fillId="0" borderId="0" xfId="2" applyNumberFormat="1" applyFont="1" applyAlignment="1">
      <alignment horizontal="left" vertical="center" wrapText="1"/>
    </xf>
    <xf numFmtId="166" fontId="5" fillId="0" borderId="0" xfId="2" applyNumberFormat="1" applyFont="1" applyAlignment="1">
      <alignment vertical="center" wrapText="1"/>
    </xf>
    <xf numFmtId="0" fontId="4" fillId="0" borderId="0" xfId="2" applyNumberFormat="1" applyFont="1" applyAlignment="1">
      <alignment vertical="center" wrapText="1"/>
    </xf>
    <xf numFmtId="0" fontId="5" fillId="0" borderId="2" xfId="0" applyFont="1" applyBorder="1"/>
    <xf numFmtId="0" fontId="5" fillId="0" borderId="2" xfId="0" applyFont="1" applyBorder="1" applyAlignment="1">
      <alignment wrapText="1"/>
    </xf>
    <xf numFmtId="0" fontId="5" fillId="0" borderId="3" xfId="0" applyFont="1" applyBorder="1"/>
    <xf numFmtId="0" fontId="5" fillId="0" borderId="5" xfId="0" applyFont="1" applyBorder="1"/>
    <xf numFmtId="166" fontId="0" fillId="0" borderId="8" xfId="2" applyNumberFormat="1" applyFont="1" applyBorder="1" applyAlignment="1">
      <alignment horizontal="left" vertical="center"/>
    </xf>
    <xf numFmtId="166" fontId="4" fillId="0" borderId="8" xfId="2" applyNumberFormat="1" applyFont="1" applyBorder="1" applyAlignment="1">
      <alignment vertical="center" wrapText="1"/>
    </xf>
    <xf numFmtId="0" fontId="0" fillId="0" borderId="6" xfId="0" applyBorder="1" applyAlignment="1">
      <alignment horizontal="center" wrapText="1"/>
    </xf>
    <xf numFmtId="166" fontId="0" fillId="0" borderId="0" xfId="2" applyNumberFormat="1" applyFont="1" applyFill="1"/>
    <xf numFmtId="0" fontId="0" fillId="0" borderId="0" xfId="0" applyNumberFormat="1" applyFont="1" applyBorder="1" applyAlignment="1"/>
    <xf numFmtId="0" fontId="0" fillId="0" borderId="0" xfId="0" applyNumberFormat="1" applyBorder="1" applyAlignment="1"/>
    <xf numFmtId="0" fontId="15" fillId="0" borderId="0" xfId="0" applyFont="1"/>
    <xf numFmtId="166" fontId="11" fillId="0" borderId="0" xfId="2" applyNumberFormat="1" applyFont="1"/>
    <xf numFmtId="166" fontId="4" fillId="0" borderId="17" xfId="2" applyNumberFormat="1" applyFont="1" applyBorder="1" applyAlignment="1">
      <alignment horizontal="right"/>
    </xf>
    <xf numFmtId="0" fontId="16" fillId="0" borderId="0" xfId="0" applyFont="1"/>
    <xf numFmtId="166" fontId="0" fillId="0" borderId="0" xfId="0" applyNumberFormat="1" applyFill="1" applyBorder="1"/>
    <xf numFmtId="167" fontId="0" fillId="0" borderId="0" xfId="1" applyNumberFormat="1" applyFont="1" applyFill="1" applyBorder="1" applyAlignment="1">
      <alignment horizontal="center"/>
    </xf>
    <xf numFmtId="167" fontId="0" fillId="0" borderId="0" xfId="1" applyNumberFormat="1" applyFont="1" applyFill="1" applyBorder="1"/>
    <xf numFmtId="167" fontId="0" fillId="0" borderId="0" xfId="0" applyNumberFormat="1" applyFill="1" applyBorder="1"/>
    <xf numFmtId="0" fontId="11" fillId="0" borderId="0" xfId="0" applyFont="1" applyFill="1" applyBorder="1"/>
    <xf numFmtId="10" fontId="0" fillId="0" borderId="0" xfId="3" applyNumberFormat="1" applyFont="1" applyFill="1" applyBorder="1"/>
    <xf numFmtId="43" fontId="0" fillId="0" borderId="0" xfId="0" applyNumberFormat="1" applyFill="1" applyBorder="1"/>
    <xf numFmtId="166" fontId="0" fillId="0" borderId="0" xfId="2" applyNumberFormat="1" applyFont="1" applyFill="1" applyBorder="1"/>
    <xf numFmtId="10" fontId="0" fillId="0" borderId="0" xfId="0" applyNumberFormat="1" applyBorder="1"/>
    <xf numFmtId="10" fontId="0" fillId="0" borderId="0" xfId="3" applyNumberFormat="1" applyFont="1" applyBorder="1"/>
    <xf numFmtId="166" fontId="5" fillId="0" borderId="0" xfId="2" applyNumberFormat="1" applyFont="1" applyFill="1" applyAlignment="1">
      <alignment wrapText="1"/>
    </xf>
    <xf numFmtId="0" fontId="2" fillId="0" borderId="0" xfId="0" applyFont="1" applyAlignment="1">
      <alignment vertical="center"/>
    </xf>
    <xf numFmtId="39" fontId="4" fillId="0" borderId="12" xfId="0" applyNumberFormat="1" applyFont="1" applyBorder="1" applyAlignment="1">
      <alignment horizontal="center"/>
    </xf>
    <xf numFmtId="44" fontId="4" fillId="0" borderId="0" xfId="0" applyNumberFormat="1" applyFont="1" applyBorder="1" applyAlignment="1">
      <alignment horizontal="center"/>
    </xf>
    <xf numFmtId="49" fontId="5" fillId="0" borderId="3" xfId="0" applyNumberFormat="1" applyFont="1" applyBorder="1" applyAlignment="1">
      <alignment horizontal="center" vertical="justify"/>
    </xf>
    <xf numFmtId="49" fontId="5" fillId="0" borderId="4" xfId="0" applyNumberFormat="1" applyFont="1" applyBorder="1" applyAlignment="1">
      <alignment horizontal="center" vertical="justify"/>
    </xf>
    <xf numFmtId="49" fontId="5" fillId="0" borderId="5" xfId="0" applyNumberFormat="1" applyFont="1" applyBorder="1" applyAlignment="1">
      <alignment horizontal="center" vertical="justify"/>
    </xf>
    <xf numFmtId="165" fontId="5" fillId="0" borderId="3" xfId="0" applyNumberFormat="1" applyFont="1" applyBorder="1" applyAlignment="1">
      <alignment horizontal="center" vertical="justify"/>
    </xf>
    <xf numFmtId="165" fontId="5" fillId="0" borderId="4" xfId="0" applyNumberFormat="1" applyFont="1" applyBorder="1" applyAlignment="1">
      <alignment horizontal="center" vertical="justify"/>
    </xf>
    <xf numFmtId="165" fontId="5" fillId="0" borderId="5" xfId="0" applyNumberFormat="1" applyFont="1" applyBorder="1" applyAlignment="1">
      <alignment horizontal="center" vertical="justify"/>
    </xf>
    <xf numFmtId="0" fontId="0" fillId="0" borderId="6" xfId="0"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activeCell="J9" sqref="J9"/>
    </sheetView>
  </sheetViews>
  <sheetFormatPr defaultRowHeight="15" x14ac:dyDescent="0.25"/>
  <cols>
    <col min="1" max="1" width="62.140625" bestFit="1" customWidth="1"/>
    <col min="2" max="2" width="15.28515625" bestFit="1" customWidth="1"/>
    <col min="3" max="3" width="14.28515625" bestFit="1" customWidth="1"/>
    <col min="4" max="4" width="15.28515625" bestFit="1" customWidth="1"/>
    <col min="5" max="5" width="5.140625" customWidth="1"/>
    <col min="6" max="6" width="16.140625" customWidth="1"/>
  </cols>
  <sheetData>
    <row r="1" spans="1:6" ht="18.75" x14ac:dyDescent="0.3">
      <c r="A1" s="212" t="s">
        <v>92</v>
      </c>
    </row>
    <row r="3" spans="1:6" x14ac:dyDescent="0.25">
      <c r="A3" s="173" t="s">
        <v>88</v>
      </c>
    </row>
    <row r="4" spans="1:6" x14ac:dyDescent="0.25">
      <c r="B4" s="170" t="s">
        <v>22</v>
      </c>
      <c r="C4" s="170" t="s">
        <v>22</v>
      </c>
      <c r="D4" s="170"/>
    </row>
    <row r="5" spans="1:6" x14ac:dyDescent="0.25">
      <c r="A5" s="166" t="s">
        <v>81</v>
      </c>
      <c r="B5" s="176" t="s">
        <v>76</v>
      </c>
      <c r="C5" s="176" t="s">
        <v>77</v>
      </c>
      <c r="D5" s="176" t="s">
        <v>78</v>
      </c>
      <c r="F5" s="176" t="s">
        <v>48</v>
      </c>
    </row>
    <row r="6" spans="1:6" x14ac:dyDescent="0.25">
      <c r="A6" s="210" t="s">
        <v>74</v>
      </c>
      <c r="B6" s="165">
        <f>13031.1887476661*1000</f>
        <v>13031188.7476661</v>
      </c>
      <c r="F6" s="178">
        <f>SUM(B6:D6)</f>
        <v>13031188.7476661</v>
      </c>
    </row>
    <row r="7" spans="1:6" x14ac:dyDescent="0.25">
      <c r="A7" s="211" t="s">
        <v>75</v>
      </c>
      <c r="B7" s="177"/>
      <c r="C7" s="179">
        <f>108.930149410265*1000</f>
        <v>108930.149410265</v>
      </c>
      <c r="D7" s="177"/>
      <c r="F7" s="178">
        <f t="shared" ref="F7:F8" si="0">SUM(B7:D7)</f>
        <v>108930.149410265</v>
      </c>
    </row>
    <row r="8" spans="1:6" x14ac:dyDescent="0.25">
      <c r="A8" s="166" t="s">
        <v>79</v>
      </c>
      <c r="B8" s="166"/>
      <c r="C8" s="166"/>
      <c r="D8" s="167">
        <f>22336.3182021544*1000</f>
        <v>22336318.202154402</v>
      </c>
      <c r="F8" s="171">
        <f t="shared" si="0"/>
        <v>22336318.202154402</v>
      </c>
    </row>
    <row r="9" spans="1:6" x14ac:dyDescent="0.25">
      <c r="A9" s="172" t="s">
        <v>80</v>
      </c>
      <c r="B9" s="168">
        <f t="shared" ref="B9:C9" si="1">SUM(B6:B8)</f>
        <v>13031188.7476661</v>
      </c>
      <c r="C9" s="168">
        <f t="shared" si="1"/>
        <v>108930.149410265</v>
      </c>
      <c r="D9" s="168">
        <f>SUM(D6:D8)</f>
        <v>22336318.202154402</v>
      </c>
      <c r="F9" s="168">
        <f>SUM(F6:F8)</f>
        <v>35476437.099230766</v>
      </c>
    </row>
    <row r="11" spans="1:6" x14ac:dyDescent="0.25">
      <c r="A11" s="173" t="s">
        <v>89</v>
      </c>
    </row>
    <row r="12" spans="1:6" x14ac:dyDescent="0.25">
      <c r="A12" s="173"/>
      <c r="B12" s="170" t="s">
        <v>22</v>
      </c>
      <c r="C12" s="170" t="s">
        <v>22</v>
      </c>
    </row>
    <row r="13" spans="1:6" x14ac:dyDescent="0.25">
      <c r="A13" s="166" t="s">
        <v>81</v>
      </c>
      <c r="B13" s="176" t="s">
        <v>76</v>
      </c>
      <c r="C13" s="176" t="s">
        <v>77</v>
      </c>
      <c r="D13" s="176" t="s">
        <v>78</v>
      </c>
      <c r="F13" s="176" t="s">
        <v>48</v>
      </c>
    </row>
    <row r="14" spans="1:6" x14ac:dyDescent="0.25">
      <c r="A14" t="s">
        <v>85</v>
      </c>
      <c r="C14" s="165">
        <f>'$35 M Prepaid Breakdown'!BD9+'$35 M Prepaid Breakdown'!BD11+'$35 M Prepaid Breakdown'!BD12</f>
        <v>1350501.2307692308</v>
      </c>
      <c r="F14" s="165">
        <f>SUM(B14:D14)</f>
        <v>1350501.2307692308</v>
      </c>
    </row>
    <row r="15" spans="1:6" x14ac:dyDescent="0.25">
      <c r="A15" t="s">
        <v>86</v>
      </c>
      <c r="D15" s="165">
        <f>'$35 M Prepaid Breakdown'!BD8+'$35 M Prepaid Breakdown'!BD10+'$35 M Prepaid Breakdown'!BD13+'$35 M Prepaid Breakdown'!BD14+'$35 M Prepaid Breakdown'!BD15+'$35 M Prepaid Breakdown'!BD16+'$35 M Prepaid Breakdown'!BD17+'$35 M Prepaid Breakdown'!BD18+'$35 M Prepaid Breakdown'!BD19+'$35 M Prepaid Breakdown'!BD20</f>
        <v>15907558.714615386</v>
      </c>
      <c r="F15" s="165">
        <f>SUM(B15:D15)</f>
        <v>15907558.714615386</v>
      </c>
    </row>
    <row r="16" spans="1:6" x14ac:dyDescent="0.25">
      <c r="A16" t="s">
        <v>82</v>
      </c>
      <c r="B16" s="165">
        <f>'$35 M Prepaid Breakdown'!BD25</f>
        <v>9627201.156265378</v>
      </c>
      <c r="F16" s="165">
        <f t="shared" ref="F16:F19" si="2">SUM(B16:D16)</f>
        <v>9627201.156265378</v>
      </c>
    </row>
    <row r="17" spans="1:10" x14ac:dyDescent="0.25">
      <c r="A17" t="s">
        <v>83</v>
      </c>
      <c r="C17" s="165">
        <f>'$35 M Prepaid Breakdown'!BD28</f>
        <v>-82102.307692307688</v>
      </c>
      <c r="F17" s="165">
        <f t="shared" si="2"/>
        <v>-82102.307692307688</v>
      </c>
      <c r="J17" s="188"/>
    </row>
    <row r="18" spans="1:10" x14ac:dyDescent="0.25">
      <c r="A18" s="177" t="s">
        <v>84</v>
      </c>
      <c r="B18" s="177"/>
      <c r="C18" s="177"/>
      <c r="D18" s="179">
        <f>'$35 M Prepaid Breakdown'!BD27+'$35 M Prepaid Breakdown'!BD26</f>
        <v>4206942.38219616</v>
      </c>
      <c r="E18" s="177"/>
      <c r="F18" s="179">
        <f t="shared" si="2"/>
        <v>4206942.38219616</v>
      </c>
    </row>
    <row r="19" spans="1:10" x14ac:dyDescent="0.25">
      <c r="A19" s="183" t="s">
        <v>87</v>
      </c>
      <c r="B19" s="166"/>
      <c r="C19" s="166"/>
      <c r="D19" s="167">
        <f>'$35 M Prepaid Breakdown'!BD33</f>
        <v>4466335.846153846</v>
      </c>
      <c r="E19" s="166"/>
      <c r="F19" s="167">
        <f t="shared" si="2"/>
        <v>4466335.846153846</v>
      </c>
    </row>
    <row r="20" spans="1:10" x14ac:dyDescent="0.25">
      <c r="A20" s="172" t="s">
        <v>80</v>
      </c>
      <c r="B20" s="168">
        <f t="shared" ref="B20:D20" si="3">SUM(B14:B19)</f>
        <v>9627201.156265378</v>
      </c>
      <c r="C20" s="168">
        <f t="shared" si="3"/>
        <v>1268398.923076923</v>
      </c>
      <c r="D20" s="168">
        <f t="shared" si="3"/>
        <v>24580836.942965396</v>
      </c>
      <c r="F20" s="168">
        <f>SUM(F14:F19)</f>
        <v>35476437.022307694</v>
      </c>
    </row>
    <row r="21" spans="1:10" x14ac:dyDescent="0.25">
      <c r="A21" s="193" t="s">
        <v>93</v>
      </c>
      <c r="B21" s="213">
        <f>'$35 M Prepaid Breakdown'!BD25</f>
        <v>9627201.156265378</v>
      </c>
      <c r="C21" s="213">
        <f>'$35 M Prepaid Breakdown'!BD9+'$35 M Prepaid Breakdown'!BD11+'$35 M Prepaid Breakdown'!BD12+'$35 M Prepaid Breakdown'!BD28</f>
        <v>1268398.923076923</v>
      </c>
    </row>
    <row r="23" spans="1:10" x14ac:dyDescent="0.25">
      <c r="A23" s="173" t="s">
        <v>90</v>
      </c>
    </row>
    <row r="24" spans="1:10" x14ac:dyDescent="0.25">
      <c r="A24" t="s">
        <v>91</v>
      </c>
      <c r="B24" s="168">
        <f>B20-B9</f>
        <v>-3403987.591400722</v>
      </c>
      <c r="C24" s="168">
        <f>C20-C9</f>
        <v>1159468.773666658</v>
      </c>
      <c r="D24" s="168">
        <f>D20-D9</f>
        <v>2244518.7408109941</v>
      </c>
      <c r="F24" s="168">
        <f>F20-F9</f>
        <v>-7.6923072338104248E-2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4"/>
  <sheetViews>
    <sheetView zoomScale="85" zoomScaleNormal="85" workbookViewId="0">
      <pane xSplit="4" ySplit="6" topLeftCell="AZ7" activePane="bottomRight" state="frozen"/>
      <selection pane="topRight" activeCell="E1" sqref="E1"/>
      <selection pane="bottomLeft" activeCell="A9" sqref="A9"/>
      <selection pane="bottomRight" activeCell="BK35" sqref="BK35"/>
    </sheetView>
  </sheetViews>
  <sheetFormatPr defaultRowHeight="15" x14ac:dyDescent="0.25"/>
  <cols>
    <col min="1" max="1" width="31.140625" style="4" customWidth="1"/>
    <col min="2" max="2" width="40.85546875" style="4" customWidth="1"/>
    <col min="3" max="3" width="25.7109375" style="10" customWidth="1"/>
    <col min="4" max="4" width="29" style="4" bestFit="1" customWidth="1"/>
    <col min="5" max="5" width="22.28515625" style="7" customWidth="1"/>
    <col min="6" max="6" width="3.140625" style="4" customWidth="1"/>
    <col min="7" max="7" width="17.42578125" style="5" bestFit="1" customWidth="1"/>
    <col min="8" max="9" width="14.140625" style="6" customWidth="1"/>
    <col min="10" max="10" width="14.140625" style="4" customWidth="1"/>
    <col min="11" max="11" width="17.42578125" style="4" bestFit="1" customWidth="1"/>
    <col min="12" max="13" width="14.140625" style="6" customWidth="1"/>
    <col min="14" max="14" width="14.140625" style="4" customWidth="1"/>
    <col min="15" max="15" width="18.140625" style="4" customWidth="1"/>
    <col min="16" max="18" width="14.140625" style="4" customWidth="1"/>
    <col min="19" max="19" width="17.42578125" style="6" bestFit="1" customWidth="1"/>
    <col min="20" max="22" width="14.140625" style="4" customWidth="1"/>
    <col min="23" max="23" width="17.42578125" style="4" bestFit="1" customWidth="1"/>
    <col min="24" max="25" width="14.140625" style="6" customWidth="1"/>
    <col min="26" max="26" width="14.140625" style="4" customWidth="1"/>
    <col min="27" max="27" width="14.140625" style="6" customWidth="1"/>
    <col min="28" max="29" width="14.140625" style="7" customWidth="1"/>
    <col min="30" max="30" width="14.140625" style="4" customWidth="1"/>
    <col min="31" max="33" width="14.140625" style="7" customWidth="1"/>
    <col min="34" max="38" width="14.140625" style="6" customWidth="1"/>
    <col min="39" max="41" width="14.140625" style="7" customWidth="1"/>
    <col min="42" max="42" width="14.140625" style="6" customWidth="1"/>
    <col min="43" max="43" width="17.42578125" style="7" bestFit="1" customWidth="1"/>
    <col min="44" max="45" width="14.140625" style="7" customWidth="1"/>
    <col min="46" max="46" width="14.140625" style="4" customWidth="1"/>
    <col min="47" max="47" width="17.42578125" style="7" bestFit="1" customWidth="1"/>
    <col min="48" max="49" width="14.140625" style="7" customWidth="1"/>
    <col min="50" max="50" width="14.140625" style="4" customWidth="1"/>
    <col min="51" max="51" width="17.42578125" style="7" bestFit="1" customWidth="1"/>
    <col min="52" max="52" width="15" style="7" bestFit="1" customWidth="1"/>
    <col min="53" max="53" width="15.140625" style="7" customWidth="1"/>
    <col min="54" max="54" width="16" style="4" bestFit="1" customWidth="1"/>
    <col min="55" max="55" width="4.140625" style="4" customWidth="1"/>
    <col min="56" max="56" width="18.42578125" style="4" customWidth="1"/>
    <col min="57" max="57" width="33.7109375" style="4" customWidth="1"/>
    <col min="58" max="58" width="5.42578125" style="4" customWidth="1"/>
    <col min="59" max="59" width="17.42578125" style="7" bestFit="1" customWidth="1"/>
    <col min="60" max="60" width="14" style="7" customWidth="1"/>
    <col min="61" max="61" width="15" style="7" bestFit="1" customWidth="1"/>
    <col min="62" max="62" width="1.42578125" style="6" customWidth="1"/>
    <col min="63" max="63" width="18.7109375" style="6" customWidth="1"/>
    <col min="64" max="64" width="15" style="4" bestFit="1" customWidth="1"/>
    <col min="65" max="69" width="9.140625" style="4"/>
    <col min="70" max="70" width="15" style="4" bestFit="1" customWidth="1"/>
    <col min="71" max="16384" width="9.140625" style="4"/>
  </cols>
  <sheetData>
    <row r="1" spans="1:63" x14ac:dyDescent="0.25">
      <c r="A1" s="8" t="s">
        <v>0</v>
      </c>
      <c r="B1" s="8"/>
      <c r="C1" s="9"/>
    </row>
    <row r="2" spans="1:63" x14ac:dyDescent="0.25">
      <c r="A2" s="8" t="s">
        <v>1</v>
      </c>
      <c r="B2" s="8"/>
      <c r="C2" s="9"/>
    </row>
    <row r="3" spans="1:63" x14ac:dyDescent="0.25">
      <c r="A3" s="8" t="s">
        <v>2</v>
      </c>
      <c r="B3" s="8"/>
      <c r="C3" s="9"/>
    </row>
    <row r="4" spans="1:63" x14ac:dyDescent="0.25">
      <c r="K4" s="11"/>
      <c r="BK4" s="12">
        <v>42185</v>
      </c>
    </row>
    <row r="5" spans="1:63" ht="15" customHeight="1" x14ac:dyDescent="0.25">
      <c r="A5" s="8"/>
      <c r="B5" s="8"/>
      <c r="C5" s="9"/>
      <c r="D5" s="8"/>
      <c r="E5" s="13" t="s">
        <v>3</v>
      </c>
      <c r="F5" s="8"/>
      <c r="G5" s="230" t="s">
        <v>4</v>
      </c>
      <c r="H5" s="231"/>
      <c r="I5" s="231"/>
      <c r="J5" s="232"/>
      <c r="K5" s="234">
        <f>EOMONTH(G5,1)</f>
        <v>41882</v>
      </c>
      <c r="L5" s="234"/>
      <c r="M5" s="234"/>
      <c r="N5" s="235"/>
      <c r="O5" s="233">
        <f>EOMONTH(K5,1)</f>
        <v>41912</v>
      </c>
      <c r="P5" s="234"/>
      <c r="Q5" s="234"/>
      <c r="R5" s="235"/>
      <c r="S5" s="233">
        <f>EOMONTH(O5,1)</f>
        <v>41943</v>
      </c>
      <c r="T5" s="234"/>
      <c r="U5" s="234"/>
      <c r="V5" s="235"/>
      <c r="W5" s="233">
        <f>EOMONTH(S5,1)</f>
        <v>41973</v>
      </c>
      <c r="X5" s="234"/>
      <c r="Y5" s="234"/>
      <c r="Z5" s="235"/>
      <c r="AA5" s="233">
        <f>EOMONTH(W5,1)</f>
        <v>42004</v>
      </c>
      <c r="AB5" s="234"/>
      <c r="AC5" s="234"/>
      <c r="AD5" s="235"/>
      <c r="AE5" s="233">
        <f>EOMONTH(AA5,1)</f>
        <v>42035</v>
      </c>
      <c r="AF5" s="234"/>
      <c r="AG5" s="234"/>
      <c r="AH5" s="235"/>
      <c r="AI5" s="233">
        <f>EOMONTH(AE5,1)</f>
        <v>42063</v>
      </c>
      <c r="AJ5" s="234"/>
      <c r="AK5" s="234"/>
      <c r="AL5" s="235"/>
      <c r="AM5" s="233">
        <f>EOMONTH(AI5,1)</f>
        <v>42094</v>
      </c>
      <c r="AN5" s="234"/>
      <c r="AO5" s="234"/>
      <c r="AP5" s="235"/>
      <c r="AQ5" s="233">
        <f>EOMONTH(AM5,1)</f>
        <v>42124</v>
      </c>
      <c r="AR5" s="234"/>
      <c r="AS5" s="234"/>
      <c r="AT5" s="235"/>
      <c r="AU5" s="233">
        <f>EOMONTH(AQ5,1)</f>
        <v>42155</v>
      </c>
      <c r="AV5" s="234"/>
      <c r="AW5" s="234"/>
      <c r="AX5" s="235"/>
      <c r="AY5" s="233">
        <f>EOMONTH(AU5,1)</f>
        <v>42185</v>
      </c>
      <c r="AZ5" s="234"/>
      <c r="BA5" s="234"/>
      <c r="BB5" s="235"/>
      <c r="BC5" s="8"/>
      <c r="BD5" s="14" t="s">
        <v>5</v>
      </c>
      <c r="BE5" s="8"/>
      <c r="BF5" s="8"/>
      <c r="BG5" s="230" t="s">
        <v>5</v>
      </c>
      <c r="BH5" s="231"/>
      <c r="BI5" s="232"/>
      <c r="BK5" s="14" t="s">
        <v>5</v>
      </c>
    </row>
    <row r="6" spans="1:63" ht="29.25" x14ac:dyDescent="0.25">
      <c r="A6" s="8" t="s">
        <v>6</v>
      </c>
      <c r="B6" s="15" t="s">
        <v>7</v>
      </c>
      <c r="C6" s="16" t="s">
        <v>8</v>
      </c>
      <c r="D6" s="15" t="s">
        <v>9</v>
      </c>
      <c r="E6" s="17" t="s">
        <v>10</v>
      </c>
      <c r="F6" s="18"/>
      <c r="G6" s="19" t="s">
        <v>11</v>
      </c>
      <c r="H6" s="20" t="s">
        <v>12</v>
      </c>
      <c r="I6" s="21" t="s">
        <v>13</v>
      </c>
      <c r="J6" s="22" t="s">
        <v>14</v>
      </c>
      <c r="K6" s="20" t="s">
        <v>11</v>
      </c>
      <c r="L6" s="20" t="s">
        <v>12</v>
      </c>
      <c r="M6" s="21" t="s">
        <v>13</v>
      </c>
      <c r="N6" s="22" t="s">
        <v>14</v>
      </c>
      <c r="O6" s="19" t="s">
        <v>11</v>
      </c>
      <c r="P6" s="20" t="s">
        <v>12</v>
      </c>
      <c r="Q6" s="21" t="s">
        <v>13</v>
      </c>
      <c r="R6" s="22" t="s">
        <v>14</v>
      </c>
      <c r="S6" s="19" t="s">
        <v>11</v>
      </c>
      <c r="T6" s="20" t="s">
        <v>12</v>
      </c>
      <c r="U6" s="21" t="s">
        <v>13</v>
      </c>
      <c r="V6" s="22" t="s">
        <v>14</v>
      </c>
      <c r="W6" s="19" t="s">
        <v>11</v>
      </c>
      <c r="X6" s="20" t="s">
        <v>12</v>
      </c>
      <c r="Y6" s="21" t="s">
        <v>13</v>
      </c>
      <c r="Z6" s="22" t="s">
        <v>14</v>
      </c>
      <c r="AA6" s="19" t="s">
        <v>11</v>
      </c>
      <c r="AB6" s="20" t="s">
        <v>12</v>
      </c>
      <c r="AC6" s="20"/>
      <c r="AD6" s="22" t="s">
        <v>14</v>
      </c>
      <c r="AE6" s="19" t="s">
        <v>11</v>
      </c>
      <c r="AF6" s="20" t="s">
        <v>12</v>
      </c>
      <c r="AG6" s="21" t="s">
        <v>13</v>
      </c>
      <c r="AH6" s="22" t="s">
        <v>14</v>
      </c>
      <c r="AI6" s="20" t="s">
        <v>11</v>
      </c>
      <c r="AJ6" s="20" t="s">
        <v>12</v>
      </c>
      <c r="AK6" s="21" t="s">
        <v>13</v>
      </c>
      <c r="AL6" s="23" t="s">
        <v>14</v>
      </c>
      <c r="AM6" s="19" t="s">
        <v>11</v>
      </c>
      <c r="AN6" s="20" t="s">
        <v>12</v>
      </c>
      <c r="AO6" s="21" t="s">
        <v>13</v>
      </c>
      <c r="AP6" s="22" t="s">
        <v>14</v>
      </c>
      <c r="AQ6" s="19" t="s">
        <v>11</v>
      </c>
      <c r="AR6" s="20" t="s">
        <v>12</v>
      </c>
      <c r="AS6" s="21" t="s">
        <v>13</v>
      </c>
      <c r="AT6" s="22" t="s">
        <v>14</v>
      </c>
      <c r="AU6" s="19" t="s">
        <v>11</v>
      </c>
      <c r="AV6" s="20" t="s">
        <v>12</v>
      </c>
      <c r="AW6" s="21" t="s">
        <v>13</v>
      </c>
      <c r="AX6" s="23" t="s">
        <v>14</v>
      </c>
      <c r="AY6" s="19" t="s">
        <v>11</v>
      </c>
      <c r="AZ6" s="20" t="s">
        <v>12</v>
      </c>
      <c r="BA6" s="21" t="s">
        <v>13</v>
      </c>
      <c r="BB6" s="22" t="s">
        <v>14</v>
      </c>
      <c r="BC6" s="18"/>
      <c r="BD6" s="14" t="s">
        <v>15</v>
      </c>
      <c r="BE6" s="18"/>
      <c r="BF6" s="18"/>
      <c r="BG6" s="24" t="s">
        <v>11</v>
      </c>
      <c r="BH6" s="25" t="s">
        <v>12</v>
      </c>
      <c r="BI6" s="26" t="s">
        <v>16</v>
      </c>
      <c r="BK6" s="17" t="s">
        <v>10</v>
      </c>
    </row>
    <row r="7" spans="1:63" x14ac:dyDescent="0.25">
      <c r="A7" s="8"/>
      <c r="B7" s="8"/>
      <c r="C7" s="9"/>
      <c r="E7" s="27"/>
      <c r="G7" s="28"/>
      <c r="H7" s="29"/>
      <c r="I7" s="29"/>
      <c r="J7" s="30"/>
      <c r="K7" s="31"/>
      <c r="L7" s="29"/>
      <c r="M7" s="29"/>
      <c r="N7" s="30"/>
      <c r="O7" s="28"/>
      <c r="P7" s="29"/>
      <c r="Q7" s="29"/>
      <c r="R7" s="30"/>
      <c r="S7" s="28"/>
      <c r="T7" s="29"/>
      <c r="U7" s="29"/>
      <c r="V7" s="30"/>
      <c r="W7" s="28"/>
      <c r="X7" s="29"/>
      <c r="Y7" s="29"/>
      <c r="Z7" s="30"/>
      <c r="AA7" s="28"/>
      <c r="AB7" s="29"/>
      <c r="AC7" s="29"/>
      <c r="AD7" s="30"/>
      <c r="AE7" s="28"/>
      <c r="AF7" s="29"/>
      <c r="AG7" s="29"/>
      <c r="AH7" s="30"/>
      <c r="AI7" s="31"/>
      <c r="AJ7" s="29"/>
      <c r="AK7" s="29"/>
      <c r="AL7" s="32"/>
      <c r="AM7" s="28"/>
      <c r="AN7" s="29"/>
      <c r="AO7" s="29"/>
      <c r="AP7" s="30"/>
      <c r="AQ7" s="28"/>
      <c r="AR7" s="29"/>
      <c r="AS7" s="29"/>
      <c r="AT7" s="30"/>
      <c r="AU7" s="28"/>
      <c r="AV7" s="29"/>
      <c r="AW7" s="29"/>
      <c r="AX7" s="32"/>
      <c r="AY7" s="33"/>
      <c r="AZ7" s="34"/>
      <c r="BA7" s="34"/>
      <c r="BB7" s="30"/>
      <c r="BD7" s="35"/>
      <c r="BG7" s="36"/>
      <c r="BH7" s="37"/>
      <c r="BI7" s="38"/>
      <c r="BK7" s="39"/>
    </row>
    <row r="8" spans="1:63" s="44" customFormat="1" x14ac:dyDescent="0.25">
      <c r="A8" s="40" t="s">
        <v>17</v>
      </c>
      <c r="B8" s="52" t="s">
        <v>18</v>
      </c>
      <c r="C8" s="41" t="s">
        <v>25</v>
      </c>
      <c r="D8" s="42" t="s">
        <v>20</v>
      </c>
      <c r="E8" s="43">
        <v>447186</v>
      </c>
      <c r="G8" s="45"/>
      <c r="H8" s="46"/>
      <c r="I8" s="46"/>
      <c r="J8" s="47">
        <f>E8+G8+H8+I8</f>
        <v>447186</v>
      </c>
      <c r="K8" s="46"/>
      <c r="L8" s="46"/>
      <c r="M8" s="46"/>
      <c r="N8" s="47">
        <f>K8+L8+M8+J8</f>
        <v>447186</v>
      </c>
      <c r="O8" s="45"/>
      <c r="P8" s="46"/>
      <c r="Q8" s="46"/>
      <c r="R8" s="47">
        <f>O8+P8+Q8+N8</f>
        <v>447186</v>
      </c>
      <c r="S8" s="45"/>
      <c r="T8" s="46"/>
      <c r="U8" s="46"/>
      <c r="V8" s="47">
        <f>S8+T8+U8+R8</f>
        <v>447186</v>
      </c>
      <c r="W8" s="45"/>
      <c r="X8" s="46"/>
      <c r="Y8" s="46"/>
      <c r="Z8" s="47">
        <f>W8+X8+Y8+V8</f>
        <v>447186</v>
      </c>
      <c r="AA8" s="45"/>
      <c r="AB8" s="46"/>
      <c r="AC8" s="46"/>
      <c r="AD8" s="47">
        <f>AA8+AB8+AC8+Z8</f>
        <v>447186</v>
      </c>
      <c r="AE8" s="45">
        <v>-447186</v>
      </c>
      <c r="AF8" s="46"/>
      <c r="AG8" s="46"/>
      <c r="AH8" s="47">
        <f>AE8+AF8+AG8+AD8</f>
        <v>0</v>
      </c>
      <c r="AI8" s="46"/>
      <c r="AJ8" s="46"/>
      <c r="AK8" s="46"/>
      <c r="AL8" s="46">
        <f>AI8+AJ8+AK8+AH8</f>
        <v>0</v>
      </c>
      <c r="AM8" s="45"/>
      <c r="AN8" s="46"/>
      <c r="AO8" s="46"/>
      <c r="AP8" s="47">
        <f>AM8+AN8+AO8+AL8</f>
        <v>0</v>
      </c>
      <c r="AQ8" s="45"/>
      <c r="AR8" s="46"/>
      <c r="AS8" s="46"/>
      <c r="AT8" s="47">
        <f>AQ8+AR8+AS8+AP8</f>
        <v>0</v>
      </c>
      <c r="AU8" s="45"/>
      <c r="AV8" s="46"/>
      <c r="AW8" s="46"/>
      <c r="AX8" s="46">
        <f>AU8+AV8+AW8+AT8</f>
        <v>0</v>
      </c>
      <c r="AY8" s="48"/>
      <c r="AZ8" s="49"/>
      <c r="BA8" s="49">
        <v>8455136</v>
      </c>
      <c r="BB8" s="47">
        <f>AY8+AZ8+BA8+AX8</f>
        <v>8455136</v>
      </c>
      <c r="BC8" s="42"/>
      <c r="BD8" s="50">
        <f t="shared" ref="BD8:BD20" si="0">(BB8+AX8+AT8+AP8+AL8+AH8+AD8+Z8+V8+R8+N8+J8+E8)/13</f>
        <v>891187.5384615385</v>
      </c>
      <c r="BE8" s="42"/>
      <c r="BF8" s="42"/>
      <c r="BG8" s="48">
        <f t="shared" ref="BG8:BG20" si="1">G8+K8+O8+S8+W8+AA8+AE8+AI8+AM8++AQ8+AU8+AY8</f>
        <v>-447186</v>
      </c>
      <c r="BH8" s="49">
        <f t="shared" ref="BH8:BH20" si="2">H8+L8+P8+T8+X8+AB8+AF8+AJ8+AN8++AR8+AV8+AZ8</f>
        <v>0</v>
      </c>
      <c r="BI8" s="51">
        <f t="shared" ref="BI8:BI20" si="3">BA8</f>
        <v>8455136</v>
      </c>
      <c r="BK8" s="50">
        <f t="shared" ref="BK8:BK20" si="4">E8+BG8+BH8+BI8</f>
        <v>8455136</v>
      </c>
    </row>
    <row r="9" spans="1:63" s="54" customFormat="1" x14ac:dyDescent="0.25">
      <c r="A9" s="40" t="s">
        <v>17</v>
      </c>
      <c r="B9" s="52" t="s">
        <v>21</v>
      </c>
      <c r="C9" s="41" t="s">
        <v>19</v>
      </c>
      <c r="D9" s="42" t="s">
        <v>22</v>
      </c>
      <c r="E9" s="53">
        <v>23625</v>
      </c>
      <c r="G9" s="55"/>
      <c r="H9" s="56"/>
      <c r="I9" s="56"/>
      <c r="J9" s="47">
        <f t="shared" ref="J9:J20" si="5">E9+G9+H9+I9</f>
        <v>23625</v>
      </c>
      <c r="K9" s="56"/>
      <c r="L9" s="56"/>
      <c r="M9" s="56"/>
      <c r="N9" s="47">
        <f t="shared" ref="N9:N20" si="6">K9+L9+M9+J9</f>
        <v>23625</v>
      </c>
      <c r="O9" s="55"/>
      <c r="P9" s="56"/>
      <c r="Q9" s="56"/>
      <c r="R9" s="47">
        <f t="shared" ref="R9:R20" si="7">O9+P9+Q9+N9</f>
        <v>23625</v>
      </c>
      <c r="S9" s="55"/>
      <c r="T9" s="56"/>
      <c r="U9" s="56"/>
      <c r="V9" s="47">
        <f t="shared" ref="V9:V20" si="8">S9+T9+U9+R9</f>
        <v>23625</v>
      </c>
      <c r="W9" s="55"/>
      <c r="X9" s="56"/>
      <c r="Y9" s="56"/>
      <c r="Z9" s="47">
        <f t="shared" ref="Z9:Z20" si="9">W9+X9+Y9+V9</f>
        <v>23625</v>
      </c>
      <c r="AA9" s="55"/>
      <c r="AB9" s="56"/>
      <c r="AC9" s="56"/>
      <c r="AD9" s="47">
        <f t="shared" ref="AD9:AD20" si="10">AA9+AB9+AC9+Z9</f>
        <v>23625</v>
      </c>
      <c r="AE9" s="55">
        <v>2223804</v>
      </c>
      <c r="AF9" s="56"/>
      <c r="AG9" s="56"/>
      <c r="AH9" s="47">
        <f t="shared" ref="AH9:AH20" si="11">AE9+AF9+AG9+AD9</f>
        <v>2247429</v>
      </c>
      <c r="AI9" s="56"/>
      <c r="AJ9" s="56">
        <v>1172152</v>
      </c>
      <c r="AK9" s="56"/>
      <c r="AL9" s="46">
        <f t="shared" ref="AL9:AL20" si="12">AI9+AJ9+AK9+AH9</f>
        <v>3419581</v>
      </c>
      <c r="AM9" s="55"/>
      <c r="AN9" s="56"/>
      <c r="AO9" s="56"/>
      <c r="AP9" s="47">
        <f t="shared" ref="AP9:AP20" si="13">AM9+AN9+AO9+AL9</f>
        <v>3419581</v>
      </c>
      <c r="AQ9" s="55"/>
      <c r="AR9" s="56"/>
      <c r="AS9" s="56"/>
      <c r="AT9" s="47">
        <f t="shared" ref="AT9:AT20" si="14">AQ9+AR9+AS9+AP9</f>
        <v>3419581</v>
      </c>
      <c r="AU9" s="55"/>
      <c r="AV9" s="56"/>
      <c r="AW9" s="56"/>
      <c r="AX9" s="46">
        <f t="shared" ref="AX9:AX20" si="15">AU9+AV9+AW9+AT9</f>
        <v>3419581</v>
      </c>
      <c r="AY9" s="57"/>
      <c r="AZ9" s="58">
        <v>931125</v>
      </c>
      <c r="BA9" s="58">
        <f>-2032198-610039</f>
        <v>-2642237</v>
      </c>
      <c r="BB9" s="47">
        <f t="shared" ref="BB9:BB20" si="16">AY9+AZ9+BA9+AX9</f>
        <v>1708469</v>
      </c>
      <c r="BC9" s="42"/>
      <c r="BD9" s="50">
        <f t="shared" si="0"/>
        <v>1369199.7692307692</v>
      </c>
      <c r="BE9" s="42"/>
      <c r="BF9" s="42"/>
      <c r="BG9" s="48">
        <f t="shared" si="1"/>
        <v>2223804</v>
      </c>
      <c r="BH9" s="49">
        <f t="shared" si="2"/>
        <v>2103277</v>
      </c>
      <c r="BI9" s="59">
        <f t="shared" si="3"/>
        <v>-2642237</v>
      </c>
      <c r="BK9" s="60">
        <f t="shared" si="4"/>
        <v>1708469</v>
      </c>
    </row>
    <row r="10" spans="1:63" s="54" customFormat="1" x14ac:dyDescent="0.25">
      <c r="A10" s="40" t="s">
        <v>17</v>
      </c>
      <c r="B10" s="52" t="s">
        <v>23</v>
      </c>
      <c r="C10" s="41" t="s">
        <v>25</v>
      </c>
      <c r="D10" s="42" t="s">
        <v>20</v>
      </c>
      <c r="E10" s="53">
        <v>295045</v>
      </c>
      <c r="G10" s="55"/>
      <c r="H10" s="56"/>
      <c r="I10" s="56"/>
      <c r="J10" s="47">
        <f t="shared" si="5"/>
        <v>295045</v>
      </c>
      <c r="K10" s="56"/>
      <c r="L10" s="56"/>
      <c r="M10" s="56"/>
      <c r="N10" s="47">
        <f t="shared" si="6"/>
        <v>295045</v>
      </c>
      <c r="O10" s="55"/>
      <c r="P10" s="56"/>
      <c r="Q10" s="56"/>
      <c r="R10" s="47">
        <f t="shared" si="7"/>
        <v>295045</v>
      </c>
      <c r="S10" s="55"/>
      <c r="T10" s="56"/>
      <c r="U10" s="56"/>
      <c r="V10" s="47">
        <f t="shared" si="8"/>
        <v>295045</v>
      </c>
      <c r="W10" s="55"/>
      <c r="X10" s="56"/>
      <c r="Y10" s="56"/>
      <c r="Z10" s="47">
        <f t="shared" si="9"/>
        <v>295045</v>
      </c>
      <c r="AA10" s="55"/>
      <c r="AB10" s="56"/>
      <c r="AC10" s="56"/>
      <c r="AD10" s="47">
        <f t="shared" si="10"/>
        <v>295045</v>
      </c>
      <c r="AE10" s="55">
        <v>-295045</v>
      </c>
      <c r="AF10" s="56"/>
      <c r="AG10" s="56"/>
      <c r="AH10" s="47">
        <f t="shared" si="11"/>
        <v>0</v>
      </c>
      <c r="AI10" s="56"/>
      <c r="AJ10" s="56"/>
      <c r="AK10" s="56"/>
      <c r="AL10" s="46">
        <f t="shared" si="12"/>
        <v>0</v>
      </c>
      <c r="AM10" s="55"/>
      <c r="AN10" s="56"/>
      <c r="AO10" s="56"/>
      <c r="AP10" s="47">
        <f t="shared" si="13"/>
        <v>0</v>
      </c>
      <c r="AQ10" s="55"/>
      <c r="AR10" s="56"/>
      <c r="AS10" s="56"/>
      <c r="AT10" s="47">
        <f t="shared" si="14"/>
        <v>0</v>
      </c>
      <c r="AU10" s="55"/>
      <c r="AV10" s="56"/>
      <c r="AW10" s="56"/>
      <c r="AX10" s="46">
        <f t="shared" si="15"/>
        <v>0</v>
      </c>
      <c r="AY10" s="57"/>
      <c r="AZ10" s="58"/>
      <c r="BA10" s="58">
        <v>-129164</v>
      </c>
      <c r="BB10" s="47">
        <f t="shared" si="16"/>
        <v>-129164</v>
      </c>
      <c r="BC10" s="42"/>
      <c r="BD10" s="50">
        <f t="shared" si="0"/>
        <v>148934.69230769231</v>
      </c>
      <c r="BE10" s="42"/>
      <c r="BF10" s="42"/>
      <c r="BG10" s="48">
        <f t="shared" si="1"/>
        <v>-295045</v>
      </c>
      <c r="BH10" s="49">
        <f t="shared" si="2"/>
        <v>0</v>
      </c>
      <c r="BI10" s="59">
        <f t="shared" si="3"/>
        <v>-129164</v>
      </c>
      <c r="BK10" s="60">
        <f t="shared" si="4"/>
        <v>-129164</v>
      </c>
    </row>
    <row r="11" spans="1:63" s="54" customFormat="1" x14ac:dyDescent="0.25">
      <c r="A11" s="40" t="s">
        <v>17</v>
      </c>
      <c r="B11" s="52" t="s">
        <v>113</v>
      </c>
      <c r="C11" s="41" t="s">
        <v>19</v>
      </c>
      <c r="D11" s="42" t="s">
        <v>22</v>
      </c>
      <c r="E11" s="53">
        <v>-27120</v>
      </c>
      <c r="G11" s="55"/>
      <c r="H11" s="56"/>
      <c r="I11" s="56"/>
      <c r="J11" s="47">
        <f t="shared" si="5"/>
        <v>-27120</v>
      </c>
      <c r="K11" s="56"/>
      <c r="L11" s="56"/>
      <c r="M11" s="56"/>
      <c r="N11" s="47">
        <f t="shared" si="6"/>
        <v>-27120</v>
      </c>
      <c r="O11" s="55"/>
      <c r="P11" s="56"/>
      <c r="Q11" s="56"/>
      <c r="R11" s="47">
        <f t="shared" si="7"/>
        <v>-27120</v>
      </c>
      <c r="S11" s="55"/>
      <c r="T11" s="56"/>
      <c r="U11" s="56"/>
      <c r="V11" s="47">
        <f t="shared" si="8"/>
        <v>-27120</v>
      </c>
      <c r="W11" s="55"/>
      <c r="X11" s="56"/>
      <c r="Y11" s="56"/>
      <c r="Z11" s="47">
        <f t="shared" si="9"/>
        <v>-27120</v>
      </c>
      <c r="AA11" s="55"/>
      <c r="AB11" s="56"/>
      <c r="AC11" s="56"/>
      <c r="AD11" s="47">
        <f t="shared" si="10"/>
        <v>-27120</v>
      </c>
      <c r="AE11" s="55">
        <v>27120</v>
      </c>
      <c r="AF11" s="56"/>
      <c r="AG11" s="56"/>
      <c r="AH11" s="47">
        <f t="shared" si="11"/>
        <v>0</v>
      </c>
      <c r="AI11" s="56"/>
      <c r="AJ11" s="56"/>
      <c r="AK11" s="56"/>
      <c r="AL11" s="46">
        <f t="shared" si="12"/>
        <v>0</v>
      </c>
      <c r="AM11" s="55"/>
      <c r="AN11" s="56"/>
      <c r="AO11" s="56"/>
      <c r="AP11" s="47">
        <f t="shared" si="13"/>
        <v>0</v>
      </c>
      <c r="AQ11" s="55"/>
      <c r="AR11" s="56"/>
      <c r="AS11" s="56"/>
      <c r="AT11" s="47">
        <f t="shared" si="14"/>
        <v>0</v>
      </c>
      <c r="AU11" s="55"/>
      <c r="AV11" s="56"/>
      <c r="AW11" s="56"/>
      <c r="AX11" s="46">
        <f t="shared" si="15"/>
        <v>0</v>
      </c>
      <c r="AY11" s="57"/>
      <c r="AZ11" s="58"/>
      <c r="BA11" s="58">
        <v>122594</v>
      </c>
      <c r="BB11" s="47">
        <f t="shared" si="16"/>
        <v>122594</v>
      </c>
      <c r="BC11" s="42"/>
      <c r="BD11" s="50">
        <f t="shared" si="0"/>
        <v>-5172.7692307692305</v>
      </c>
      <c r="BE11" s="42"/>
      <c r="BF11" s="42"/>
      <c r="BG11" s="48">
        <f t="shared" si="1"/>
        <v>27120</v>
      </c>
      <c r="BH11" s="49">
        <f t="shared" si="2"/>
        <v>0</v>
      </c>
      <c r="BI11" s="59">
        <f t="shared" si="3"/>
        <v>122594</v>
      </c>
      <c r="BK11" s="60">
        <f t="shared" si="4"/>
        <v>122594</v>
      </c>
    </row>
    <row r="12" spans="1:63" s="54" customFormat="1" x14ac:dyDescent="0.25">
      <c r="A12" s="40" t="s">
        <v>17</v>
      </c>
      <c r="B12" s="52" t="s">
        <v>114</v>
      </c>
      <c r="C12" s="41" t="s">
        <v>19</v>
      </c>
      <c r="D12" s="42" t="s">
        <v>22</v>
      </c>
      <c r="E12" s="53">
        <v>-22650</v>
      </c>
      <c r="G12" s="55"/>
      <c r="H12" s="56"/>
      <c r="I12" s="56"/>
      <c r="J12" s="47">
        <f t="shared" si="5"/>
        <v>-22650</v>
      </c>
      <c r="K12" s="56"/>
      <c r="L12" s="56"/>
      <c r="M12" s="56"/>
      <c r="N12" s="47">
        <f t="shared" si="6"/>
        <v>-22650</v>
      </c>
      <c r="O12" s="55"/>
      <c r="P12" s="56"/>
      <c r="Q12" s="56"/>
      <c r="R12" s="47">
        <f t="shared" si="7"/>
        <v>-22650</v>
      </c>
      <c r="S12" s="55"/>
      <c r="T12" s="56"/>
      <c r="U12" s="56"/>
      <c r="V12" s="47">
        <f t="shared" si="8"/>
        <v>-22650</v>
      </c>
      <c r="W12" s="55"/>
      <c r="X12" s="56"/>
      <c r="Y12" s="56"/>
      <c r="Z12" s="47">
        <f t="shared" si="9"/>
        <v>-22650</v>
      </c>
      <c r="AA12" s="55"/>
      <c r="AB12" s="56"/>
      <c r="AC12" s="56"/>
      <c r="AD12" s="47">
        <f t="shared" si="10"/>
        <v>-22650</v>
      </c>
      <c r="AE12" s="55">
        <v>22650</v>
      </c>
      <c r="AF12" s="56"/>
      <c r="AG12" s="56"/>
      <c r="AH12" s="47">
        <f t="shared" si="11"/>
        <v>0</v>
      </c>
      <c r="AI12" s="56"/>
      <c r="AJ12" s="56"/>
      <c r="AK12" s="56"/>
      <c r="AL12" s="46">
        <f t="shared" si="12"/>
        <v>0</v>
      </c>
      <c r="AM12" s="55"/>
      <c r="AN12" s="56"/>
      <c r="AO12" s="56"/>
      <c r="AP12" s="47">
        <f t="shared" si="13"/>
        <v>0</v>
      </c>
      <c r="AQ12" s="55"/>
      <c r="AR12" s="56"/>
      <c r="AS12" s="56"/>
      <c r="AT12" s="47">
        <f t="shared" si="14"/>
        <v>0</v>
      </c>
      <c r="AU12" s="55"/>
      <c r="AV12" s="56"/>
      <c r="AW12" s="56"/>
      <c r="AX12" s="46">
        <f t="shared" si="15"/>
        <v>0</v>
      </c>
      <c r="AY12" s="57"/>
      <c r="AZ12" s="58"/>
      <c r="BA12" s="58">
        <v>-17285</v>
      </c>
      <c r="BB12" s="47">
        <f t="shared" si="16"/>
        <v>-17285</v>
      </c>
      <c r="BC12" s="42"/>
      <c r="BD12" s="50">
        <f t="shared" si="0"/>
        <v>-13525.76923076923</v>
      </c>
      <c r="BE12" s="42"/>
      <c r="BF12" s="42"/>
      <c r="BG12" s="48">
        <f t="shared" si="1"/>
        <v>22650</v>
      </c>
      <c r="BH12" s="49">
        <f t="shared" si="2"/>
        <v>0</v>
      </c>
      <c r="BI12" s="59">
        <f t="shared" si="3"/>
        <v>-17285</v>
      </c>
      <c r="BK12" s="60">
        <f t="shared" si="4"/>
        <v>-17285</v>
      </c>
    </row>
    <row r="13" spans="1:63" s="54" customFormat="1" x14ac:dyDescent="0.25">
      <c r="A13" s="40" t="s">
        <v>17</v>
      </c>
      <c r="B13" s="52" t="s">
        <v>24</v>
      </c>
      <c r="C13" s="41" t="s">
        <v>25</v>
      </c>
      <c r="D13" s="42" t="s">
        <v>20</v>
      </c>
      <c r="E13" s="53">
        <v>1777661</v>
      </c>
      <c r="G13" s="55">
        <v>-794504</v>
      </c>
      <c r="H13" s="56"/>
      <c r="I13" s="56"/>
      <c r="J13" s="47">
        <f t="shared" si="5"/>
        <v>983157</v>
      </c>
      <c r="K13" s="56"/>
      <c r="L13" s="56"/>
      <c r="M13" s="56"/>
      <c r="N13" s="47">
        <f t="shared" si="6"/>
        <v>983157</v>
      </c>
      <c r="O13" s="55"/>
      <c r="P13" s="56"/>
      <c r="Q13" s="56"/>
      <c r="R13" s="47">
        <f t="shared" si="7"/>
        <v>983157</v>
      </c>
      <c r="S13" s="55"/>
      <c r="T13" s="56"/>
      <c r="U13" s="56"/>
      <c r="V13" s="47">
        <f t="shared" si="8"/>
        <v>983157</v>
      </c>
      <c r="W13" s="55"/>
      <c r="X13" s="56"/>
      <c r="Y13" s="56"/>
      <c r="Z13" s="47">
        <f t="shared" si="9"/>
        <v>983157</v>
      </c>
      <c r="AA13" s="55"/>
      <c r="AB13" s="56"/>
      <c r="AC13" s="56"/>
      <c r="AD13" s="47">
        <f t="shared" si="10"/>
        <v>983157</v>
      </c>
      <c r="AE13" s="55">
        <v>-724388</v>
      </c>
      <c r="AF13" s="56"/>
      <c r="AG13" s="56"/>
      <c r="AH13" s="47">
        <f t="shared" si="11"/>
        <v>258769</v>
      </c>
      <c r="AI13" s="56"/>
      <c r="AJ13" s="56"/>
      <c r="AK13" s="56"/>
      <c r="AL13" s="46">
        <f t="shared" si="12"/>
        <v>258769</v>
      </c>
      <c r="AM13" s="55"/>
      <c r="AN13" s="56"/>
      <c r="AO13" s="56"/>
      <c r="AP13" s="47">
        <f t="shared" si="13"/>
        <v>258769</v>
      </c>
      <c r="AQ13" s="55"/>
      <c r="AR13" s="56"/>
      <c r="AS13" s="56"/>
      <c r="AT13" s="47">
        <f t="shared" si="14"/>
        <v>258769</v>
      </c>
      <c r="AU13" s="55"/>
      <c r="AV13" s="56">
        <f>-42311-216458</f>
        <v>-258769</v>
      </c>
      <c r="AW13" s="56"/>
      <c r="AX13" s="46">
        <f t="shared" si="15"/>
        <v>0</v>
      </c>
      <c r="AY13" s="57"/>
      <c r="AZ13" s="58"/>
      <c r="BA13" s="58">
        <v>861864</v>
      </c>
      <c r="BB13" s="47">
        <f t="shared" si="16"/>
        <v>861864</v>
      </c>
      <c r="BC13" s="42"/>
      <c r="BD13" s="50">
        <f t="shared" si="0"/>
        <v>736426.38461538462</v>
      </c>
      <c r="BE13" s="42"/>
      <c r="BF13" s="42"/>
      <c r="BG13" s="48">
        <f t="shared" si="1"/>
        <v>-1518892</v>
      </c>
      <c r="BH13" s="49">
        <f t="shared" si="2"/>
        <v>-258769</v>
      </c>
      <c r="BI13" s="59">
        <f t="shared" si="3"/>
        <v>861864</v>
      </c>
      <c r="BK13" s="60">
        <f t="shared" si="4"/>
        <v>861864</v>
      </c>
    </row>
    <row r="14" spans="1:63" s="54" customFormat="1" x14ac:dyDescent="0.25">
      <c r="A14" s="40" t="s">
        <v>17</v>
      </c>
      <c r="B14" s="52" t="s">
        <v>26</v>
      </c>
      <c r="C14" s="41" t="s">
        <v>25</v>
      </c>
      <c r="D14" s="42" t="s">
        <v>20</v>
      </c>
      <c r="E14" s="53">
        <v>7103760</v>
      </c>
      <c r="G14" s="55">
        <v>-1031245</v>
      </c>
      <c r="H14" s="56"/>
      <c r="I14" s="56"/>
      <c r="J14" s="47">
        <f t="shared" si="5"/>
        <v>6072515</v>
      </c>
      <c r="K14" s="56"/>
      <c r="L14" s="56"/>
      <c r="M14" s="56"/>
      <c r="N14" s="47">
        <f t="shared" si="6"/>
        <v>6072515</v>
      </c>
      <c r="O14" s="55"/>
      <c r="P14" s="56"/>
      <c r="Q14" s="56"/>
      <c r="R14" s="47">
        <f t="shared" si="7"/>
        <v>6072515</v>
      </c>
      <c r="S14" s="55"/>
      <c r="T14" s="56"/>
      <c r="U14" s="56"/>
      <c r="V14" s="47">
        <f t="shared" si="8"/>
        <v>6072515</v>
      </c>
      <c r="W14" s="55"/>
      <c r="X14" s="56"/>
      <c r="Y14" s="56"/>
      <c r="Z14" s="47">
        <f t="shared" si="9"/>
        <v>6072515</v>
      </c>
      <c r="AA14" s="55"/>
      <c r="AB14" s="56"/>
      <c r="AC14" s="56"/>
      <c r="AD14" s="47">
        <f t="shared" si="10"/>
        <v>6072515</v>
      </c>
      <c r="AE14" s="55">
        <v>-2661225</v>
      </c>
      <c r="AF14" s="56"/>
      <c r="AG14" s="56"/>
      <c r="AH14" s="47">
        <f t="shared" si="11"/>
        <v>3411290</v>
      </c>
      <c r="AI14" s="56">
        <v>-2661225</v>
      </c>
      <c r="AJ14" s="56"/>
      <c r="AK14" s="56"/>
      <c r="AL14" s="46">
        <f t="shared" si="12"/>
        <v>750065</v>
      </c>
      <c r="AM14" s="55">
        <v>-750065</v>
      </c>
      <c r="AN14" s="56"/>
      <c r="AO14" s="56"/>
      <c r="AP14" s="47">
        <f t="shared" si="13"/>
        <v>0</v>
      </c>
      <c r="AQ14" s="55"/>
      <c r="AR14" s="56"/>
      <c r="AS14" s="56"/>
      <c r="AT14" s="47">
        <f t="shared" si="14"/>
        <v>0</v>
      </c>
      <c r="AU14" s="55"/>
      <c r="AV14" s="56"/>
      <c r="AW14" s="56"/>
      <c r="AX14" s="46">
        <f t="shared" si="15"/>
        <v>0</v>
      </c>
      <c r="AY14" s="57"/>
      <c r="AZ14" s="58"/>
      <c r="BA14" s="58">
        <v>3071140</v>
      </c>
      <c r="BB14" s="47">
        <f t="shared" si="16"/>
        <v>3071140</v>
      </c>
      <c r="BC14" s="42"/>
      <c r="BD14" s="50">
        <f t="shared" si="0"/>
        <v>3905488.076923077</v>
      </c>
      <c r="BE14" s="42"/>
      <c r="BF14" s="42"/>
      <c r="BG14" s="48">
        <f t="shared" si="1"/>
        <v>-7103760</v>
      </c>
      <c r="BH14" s="49">
        <f t="shared" si="2"/>
        <v>0</v>
      </c>
      <c r="BI14" s="59">
        <f t="shared" si="3"/>
        <v>3071140</v>
      </c>
      <c r="BK14" s="60">
        <f t="shared" si="4"/>
        <v>3071140</v>
      </c>
    </row>
    <row r="15" spans="1:63" s="54" customFormat="1" x14ac:dyDescent="0.25">
      <c r="A15" s="40" t="s">
        <v>17</v>
      </c>
      <c r="B15" s="52" t="s">
        <v>27</v>
      </c>
      <c r="C15" s="41" t="s">
        <v>25</v>
      </c>
      <c r="D15" s="42" t="s">
        <v>20</v>
      </c>
      <c r="E15" s="53">
        <v>3762744</v>
      </c>
      <c r="G15" s="55">
        <v>-1896000</v>
      </c>
      <c r="H15" s="56"/>
      <c r="I15" s="56"/>
      <c r="J15" s="47">
        <f t="shared" si="5"/>
        <v>1866744</v>
      </c>
      <c r="K15" s="56">
        <v>-817622</v>
      </c>
      <c r="L15" s="56"/>
      <c r="M15" s="56"/>
      <c r="N15" s="47">
        <f t="shared" si="6"/>
        <v>1049122</v>
      </c>
      <c r="O15" s="55"/>
      <c r="P15" s="56"/>
      <c r="Q15" s="56"/>
      <c r="R15" s="47">
        <f t="shared" si="7"/>
        <v>1049122</v>
      </c>
      <c r="S15" s="55"/>
      <c r="T15" s="56"/>
      <c r="U15" s="56"/>
      <c r="V15" s="47">
        <f t="shared" si="8"/>
        <v>1049122</v>
      </c>
      <c r="W15" s="55"/>
      <c r="X15" s="56"/>
      <c r="Y15" s="56"/>
      <c r="Z15" s="47">
        <f t="shared" si="9"/>
        <v>1049122</v>
      </c>
      <c r="AA15" s="55"/>
      <c r="AB15" s="56"/>
      <c r="AC15" s="56"/>
      <c r="AD15" s="47">
        <f t="shared" si="10"/>
        <v>1049122</v>
      </c>
      <c r="AE15" s="55">
        <v>-1896000</v>
      </c>
      <c r="AF15" s="56"/>
      <c r="AG15" s="56"/>
      <c r="AH15" s="47">
        <f t="shared" si="11"/>
        <v>-846878</v>
      </c>
      <c r="AI15" s="56">
        <v>-452665</v>
      </c>
      <c r="AJ15" s="56"/>
      <c r="AK15" s="56"/>
      <c r="AL15" s="46">
        <f t="shared" si="12"/>
        <v>-1299543</v>
      </c>
      <c r="AM15" s="55"/>
      <c r="AN15" s="56"/>
      <c r="AO15" s="56"/>
      <c r="AP15" s="47">
        <f t="shared" si="13"/>
        <v>-1299543</v>
      </c>
      <c r="AQ15" s="55"/>
      <c r="AR15" s="56"/>
      <c r="AS15" s="56"/>
      <c r="AT15" s="47">
        <f t="shared" si="14"/>
        <v>-1299543</v>
      </c>
      <c r="AU15" s="55"/>
      <c r="AV15" s="56">
        <v>1299543</v>
      </c>
      <c r="AW15" s="56"/>
      <c r="AX15" s="46">
        <f t="shared" si="15"/>
        <v>0</v>
      </c>
      <c r="AY15" s="57"/>
      <c r="AZ15" s="58"/>
      <c r="BA15" s="58">
        <v>4433518</v>
      </c>
      <c r="BB15" s="47">
        <f t="shared" si="16"/>
        <v>4433518</v>
      </c>
      <c r="BC15" s="42"/>
      <c r="BD15" s="50">
        <f t="shared" si="0"/>
        <v>812546.84615384613</v>
      </c>
      <c r="BE15" s="42"/>
      <c r="BF15" s="42"/>
      <c r="BG15" s="48">
        <f t="shared" si="1"/>
        <v>-5062287</v>
      </c>
      <c r="BH15" s="49">
        <f t="shared" si="2"/>
        <v>1299543</v>
      </c>
      <c r="BI15" s="59">
        <f t="shared" si="3"/>
        <v>4433518</v>
      </c>
      <c r="BK15" s="60">
        <f t="shared" si="4"/>
        <v>4433518</v>
      </c>
    </row>
    <row r="16" spans="1:63" s="54" customFormat="1" x14ac:dyDescent="0.25">
      <c r="A16" s="40" t="s">
        <v>17</v>
      </c>
      <c r="B16" s="52" t="s">
        <v>28</v>
      </c>
      <c r="C16" s="41" t="s">
        <v>29</v>
      </c>
      <c r="D16" s="42" t="s">
        <v>20</v>
      </c>
      <c r="E16" s="53">
        <v>5188553.01</v>
      </c>
      <c r="G16" s="55">
        <v>-1602801.73</v>
      </c>
      <c r="H16" s="56"/>
      <c r="I16" s="56"/>
      <c r="J16" s="47">
        <f t="shared" si="5"/>
        <v>3585751.28</v>
      </c>
      <c r="K16" s="56">
        <v>-3585751.28</v>
      </c>
      <c r="L16" s="56"/>
      <c r="M16" s="56"/>
      <c r="N16" s="47">
        <f t="shared" si="6"/>
        <v>0</v>
      </c>
      <c r="O16" s="55"/>
      <c r="P16" s="56"/>
      <c r="Q16" s="56"/>
      <c r="R16" s="47">
        <f t="shared" si="7"/>
        <v>0</v>
      </c>
      <c r="S16" s="55"/>
      <c r="T16" s="56"/>
      <c r="U16" s="56"/>
      <c r="V16" s="47">
        <f t="shared" si="8"/>
        <v>0</v>
      </c>
      <c r="W16" s="55"/>
      <c r="X16" s="56"/>
      <c r="Y16" s="56"/>
      <c r="Z16" s="47">
        <f t="shared" si="9"/>
        <v>0</v>
      </c>
      <c r="AA16" s="55"/>
      <c r="AB16" s="56"/>
      <c r="AC16" s="56"/>
      <c r="AD16" s="47">
        <f t="shared" si="10"/>
        <v>0</v>
      </c>
      <c r="AE16" s="55">
        <v>0</v>
      </c>
      <c r="AF16" s="56"/>
      <c r="AG16" s="56"/>
      <c r="AH16" s="47">
        <f t="shared" si="11"/>
        <v>0</v>
      </c>
      <c r="AI16" s="56"/>
      <c r="AJ16" s="56"/>
      <c r="AK16" s="56"/>
      <c r="AL16" s="46">
        <f t="shared" si="12"/>
        <v>0</v>
      </c>
      <c r="AM16" s="55"/>
      <c r="AN16" s="56"/>
      <c r="AO16" s="56"/>
      <c r="AP16" s="47">
        <f t="shared" si="13"/>
        <v>0</v>
      </c>
      <c r="AQ16" s="55"/>
      <c r="AR16" s="56"/>
      <c r="AS16" s="56"/>
      <c r="AT16" s="47">
        <f t="shared" si="14"/>
        <v>0</v>
      </c>
      <c r="AU16" s="55"/>
      <c r="AV16" s="56"/>
      <c r="AW16" s="56"/>
      <c r="AX16" s="46">
        <f t="shared" si="15"/>
        <v>0</v>
      </c>
      <c r="AY16" s="57"/>
      <c r="AZ16" s="58"/>
      <c r="BA16" s="58">
        <v>0</v>
      </c>
      <c r="BB16" s="47">
        <f t="shared" si="16"/>
        <v>0</v>
      </c>
      <c r="BC16" s="42"/>
      <c r="BD16" s="50">
        <f t="shared" si="0"/>
        <v>674946.48384615383</v>
      </c>
      <c r="BE16" s="42"/>
      <c r="BF16" s="42"/>
      <c r="BG16" s="48">
        <f t="shared" si="1"/>
        <v>-5188553.01</v>
      </c>
      <c r="BH16" s="49">
        <f t="shared" si="2"/>
        <v>0</v>
      </c>
      <c r="BI16" s="59">
        <f t="shared" si="3"/>
        <v>0</v>
      </c>
      <c r="BK16" s="60">
        <f t="shared" si="4"/>
        <v>0</v>
      </c>
    </row>
    <row r="17" spans="1:70" s="54" customFormat="1" x14ac:dyDescent="0.25">
      <c r="A17" s="40" t="s">
        <v>17</v>
      </c>
      <c r="B17" s="52" t="s">
        <v>30</v>
      </c>
      <c r="C17" s="41" t="s">
        <v>25</v>
      </c>
      <c r="D17" s="42" t="s">
        <v>20</v>
      </c>
      <c r="E17" s="53">
        <v>8026530</v>
      </c>
      <c r="G17" s="55"/>
      <c r="H17" s="56"/>
      <c r="I17" s="56"/>
      <c r="J17" s="47">
        <f t="shared" si="5"/>
        <v>8026530</v>
      </c>
      <c r="K17" s="56"/>
      <c r="L17" s="56"/>
      <c r="M17" s="56"/>
      <c r="N17" s="47">
        <f t="shared" si="6"/>
        <v>8026530</v>
      </c>
      <c r="O17" s="55"/>
      <c r="P17" s="56"/>
      <c r="Q17" s="56"/>
      <c r="R17" s="47">
        <f t="shared" si="7"/>
        <v>8026530</v>
      </c>
      <c r="S17" s="55"/>
      <c r="T17" s="56"/>
      <c r="U17" s="56"/>
      <c r="V17" s="47">
        <f t="shared" si="8"/>
        <v>8026530</v>
      </c>
      <c r="W17" s="55"/>
      <c r="X17" s="56"/>
      <c r="Y17" s="56"/>
      <c r="Z17" s="47">
        <f t="shared" si="9"/>
        <v>8026530</v>
      </c>
      <c r="AA17" s="55"/>
      <c r="AB17" s="56"/>
      <c r="AC17" s="56"/>
      <c r="AD17" s="47">
        <f t="shared" si="10"/>
        <v>8026530</v>
      </c>
      <c r="AE17" s="55">
        <v>-5874000</v>
      </c>
      <c r="AF17" s="56"/>
      <c r="AG17" s="56"/>
      <c r="AH17" s="47">
        <f t="shared" si="11"/>
        <v>2152530</v>
      </c>
      <c r="AI17" s="56">
        <v>-2152530</v>
      </c>
      <c r="AJ17" s="56"/>
      <c r="AK17" s="56"/>
      <c r="AL17" s="46">
        <f t="shared" si="12"/>
        <v>0</v>
      </c>
      <c r="AM17" s="55"/>
      <c r="AN17" s="56"/>
      <c r="AO17" s="56"/>
      <c r="AP17" s="47">
        <f t="shared" si="13"/>
        <v>0</v>
      </c>
      <c r="AQ17" s="55"/>
      <c r="AR17" s="56"/>
      <c r="AS17" s="56"/>
      <c r="AT17" s="47">
        <f t="shared" si="14"/>
        <v>0</v>
      </c>
      <c r="AU17" s="55"/>
      <c r="AV17" s="56">
        <v>2500000</v>
      </c>
      <c r="AW17" s="56"/>
      <c r="AX17" s="46">
        <f t="shared" si="15"/>
        <v>2500000</v>
      </c>
      <c r="AY17" s="57">
        <v>-2500000</v>
      </c>
      <c r="AZ17" s="58"/>
      <c r="BA17" s="58">
        <f>21182849-560773</f>
        <v>20622076</v>
      </c>
      <c r="BB17" s="47">
        <f t="shared" si="16"/>
        <v>20622076</v>
      </c>
      <c r="BC17" s="42"/>
      <c r="BD17" s="50">
        <f t="shared" si="0"/>
        <v>6266178.153846154</v>
      </c>
      <c r="BE17" s="42"/>
      <c r="BF17" s="42"/>
      <c r="BG17" s="48">
        <f t="shared" si="1"/>
        <v>-10526530</v>
      </c>
      <c r="BH17" s="49">
        <f t="shared" si="2"/>
        <v>2500000</v>
      </c>
      <c r="BI17" s="59">
        <f t="shared" si="3"/>
        <v>20622076</v>
      </c>
      <c r="BK17" s="60">
        <f t="shared" si="4"/>
        <v>20622076</v>
      </c>
    </row>
    <row r="18" spans="1:70" s="54" customFormat="1" x14ac:dyDescent="0.25">
      <c r="A18" s="40" t="s">
        <v>17</v>
      </c>
      <c r="B18" s="52" t="s">
        <v>31</v>
      </c>
      <c r="C18" s="41" t="s">
        <v>25</v>
      </c>
      <c r="D18" s="42" t="s">
        <v>20</v>
      </c>
      <c r="E18" s="53">
        <v>-774045</v>
      </c>
      <c r="G18" s="55"/>
      <c r="H18" s="56"/>
      <c r="I18" s="56"/>
      <c r="J18" s="47">
        <f t="shared" si="5"/>
        <v>-774045</v>
      </c>
      <c r="K18" s="56"/>
      <c r="L18" s="56"/>
      <c r="M18" s="56"/>
      <c r="N18" s="47">
        <f t="shared" si="6"/>
        <v>-774045</v>
      </c>
      <c r="O18" s="55"/>
      <c r="P18" s="56"/>
      <c r="Q18" s="56"/>
      <c r="R18" s="47">
        <f t="shared" si="7"/>
        <v>-774045</v>
      </c>
      <c r="S18" s="55"/>
      <c r="T18" s="56"/>
      <c r="U18" s="56"/>
      <c r="V18" s="47">
        <f t="shared" si="8"/>
        <v>-774045</v>
      </c>
      <c r="W18" s="55"/>
      <c r="X18" s="56"/>
      <c r="Y18" s="56"/>
      <c r="Z18" s="47">
        <f t="shared" si="9"/>
        <v>-774045</v>
      </c>
      <c r="AA18" s="55"/>
      <c r="AB18" s="56"/>
      <c r="AC18" s="56"/>
      <c r="AD18" s="47">
        <f t="shared" si="10"/>
        <v>-774045</v>
      </c>
      <c r="AE18" s="55">
        <v>774020</v>
      </c>
      <c r="AF18" s="56"/>
      <c r="AG18" s="56"/>
      <c r="AH18" s="47">
        <f t="shared" si="11"/>
        <v>-25</v>
      </c>
      <c r="AI18" s="56"/>
      <c r="AJ18" s="56"/>
      <c r="AK18" s="56"/>
      <c r="AL18" s="46">
        <f t="shared" si="12"/>
        <v>-25</v>
      </c>
      <c r="AM18" s="55"/>
      <c r="AN18" s="56"/>
      <c r="AO18" s="56"/>
      <c r="AP18" s="47">
        <f t="shared" si="13"/>
        <v>-25</v>
      </c>
      <c r="AQ18" s="55"/>
      <c r="AR18" s="56"/>
      <c r="AS18" s="56"/>
      <c r="AT18" s="47">
        <f t="shared" si="14"/>
        <v>-25</v>
      </c>
      <c r="AU18" s="55"/>
      <c r="AV18" s="56">
        <v>25</v>
      </c>
      <c r="AW18" s="56"/>
      <c r="AX18" s="46">
        <f t="shared" si="15"/>
        <v>0</v>
      </c>
      <c r="AY18" s="57"/>
      <c r="AZ18" s="58"/>
      <c r="BA18" s="58">
        <v>1515923</v>
      </c>
      <c r="BB18" s="47">
        <f t="shared" si="16"/>
        <v>1515923</v>
      </c>
      <c r="BC18" s="42"/>
      <c r="BD18" s="50">
        <f t="shared" si="0"/>
        <v>-300191.69230769231</v>
      </c>
      <c r="BE18" s="42"/>
      <c r="BF18" s="42"/>
      <c r="BG18" s="48">
        <f t="shared" si="1"/>
        <v>774020</v>
      </c>
      <c r="BH18" s="49">
        <f t="shared" si="2"/>
        <v>25</v>
      </c>
      <c r="BI18" s="59">
        <f t="shared" si="3"/>
        <v>1515923</v>
      </c>
      <c r="BK18" s="60">
        <f t="shared" si="4"/>
        <v>1515923</v>
      </c>
    </row>
    <row r="19" spans="1:70" s="54" customFormat="1" x14ac:dyDescent="0.25">
      <c r="A19" s="40" t="s">
        <v>17</v>
      </c>
      <c r="B19" s="52" t="s">
        <v>32</v>
      </c>
      <c r="C19" s="41" t="s">
        <v>25</v>
      </c>
      <c r="D19" s="42" t="s">
        <v>20</v>
      </c>
      <c r="E19" s="53"/>
      <c r="G19" s="55"/>
      <c r="H19" s="56"/>
      <c r="I19" s="56"/>
      <c r="J19" s="47">
        <f t="shared" si="5"/>
        <v>0</v>
      </c>
      <c r="K19" s="56"/>
      <c r="L19" s="56"/>
      <c r="M19" s="56"/>
      <c r="N19" s="47">
        <f t="shared" si="6"/>
        <v>0</v>
      </c>
      <c r="O19" s="55"/>
      <c r="P19" s="56"/>
      <c r="Q19" s="56"/>
      <c r="R19" s="47">
        <f t="shared" si="7"/>
        <v>0</v>
      </c>
      <c r="S19" s="55"/>
      <c r="T19" s="56"/>
      <c r="U19" s="56"/>
      <c r="V19" s="47">
        <f t="shared" si="8"/>
        <v>0</v>
      </c>
      <c r="W19" s="55"/>
      <c r="X19" s="56"/>
      <c r="Y19" s="56"/>
      <c r="Z19" s="47">
        <f t="shared" si="9"/>
        <v>0</v>
      </c>
      <c r="AA19" s="55"/>
      <c r="AB19" s="56"/>
      <c r="AC19" s="56"/>
      <c r="AD19" s="47">
        <f t="shared" si="10"/>
        <v>0</v>
      </c>
      <c r="AE19" s="55">
        <v>-164019</v>
      </c>
      <c r="AF19" s="56"/>
      <c r="AG19" s="56"/>
      <c r="AH19" s="47">
        <f t="shared" si="11"/>
        <v>-164019</v>
      </c>
      <c r="AI19" s="56"/>
      <c r="AJ19" s="56">
        <v>164019</v>
      </c>
      <c r="AK19" s="56"/>
      <c r="AL19" s="46">
        <f t="shared" si="12"/>
        <v>0</v>
      </c>
      <c r="AM19" s="55"/>
      <c r="AN19" s="56"/>
      <c r="AO19" s="56"/>
      <c r="AP19" s="47">
        <f t="shared" si="13"/>
        <v>0</v>
      </c>
      <c r="AQ19" s="55"/>
      <c r="AR19" s="56"/>
      <c r="AS19" s="56"/>
      <c r="AT19" s="47">
        <f t="shared" si="14"/>
        <v>0</v>
      </c>
      <c r="AU19" s="55"/>
      <c r="AV19" s="56"/>
      <c r="AW19" s="56"/>
      <c r="AX19" s="46">
        <f t="shared" si="15"/>
        <v>0</v>
      </c>
      <c r="AY19" s="57"/>
      <c r="AZ19" s="58"/>
      <c r="BA19" s="58">
        <v>8148995</v>
      </c>
      <c r="BB19" s="47">
        <f t="shared" si="16"/>
        <v>8148995</v>
      </c>
      <c r="BC19" s="42"/>
      <c r="BD19" s="50">
        <f t="shared" si="0"/>
        <v>614228.92307692312</v>
      </c>
      <c r="BE19" s="42"/>
      <c r="BF19" s="42"/>
      <c r="BG19" s="48">
        <f t="shared" si="1"/>
        <v>-164019</v>
      </c>
      <c r="BH19" s="49">
        <f t="shared" si="2"/>
        <v>164019</v>
      </c>
      <c r="BI19" s="59">
        <f t="shared" si="3"/>
        <v>8148995</v>
      </c>
      <c r="BK19" s="60">
        <f t="shared" si="4"/>
        <v>8148995</v>
      </c>
    </row>
    <row r="20" spans="1:70" s="44" customFormat="1" x14ac:dyDescent="0.25">
      <c r="A20" s="40" t="s">
        <v>17</v>
      </c>
      <c r="B20" s="52" t="s">
        <v>33</v>
      </c>
      <c r="C20" s="41" t="s">
        <v>25</v>
      </c>
      <c r="D20" s="42" t="s">
        <v>20</v>
      </c>
      <c r="E20" s="61">
        <v>3514142</v>
      </c>
      <c r="G20" s="45"/>
      <c r="H20" s="46"/>
      <c r="I20" s="46"/>
      <c r="J20" s="47">
        <f t="shared" si="5"/>
        <v>3514142</v>
      </c>
      <c r="K20" s="46"/>
      <c r="L20" s="46"/>
      <c r="M20" s="46"/>
      <c r="N20" s="47">
        <f t="shared" si="6"/>
        <v>3514142</v>
      </c>
      <c r="O20" s="45"/>
      <c r="P20" s="46"/>
      <c r="Q20" s="46"/>
      <c r="R20" s="47">
        <f t="shared" si="7"/>
        <v>3514142</v>
      </c>
      <c r="S20" s="45"/>
      <c r="T20" s="46"/>
      <c r="U20" s="46"/>
      <c r="V20" s="47">
        <f t="shared" si="8"/>
        <v>3514142</v>
      </c>
      <c r="W20" s="45"/>
      <c r="X20" s="46"/>
      <c r="Y20" s="46"/>
      <c r="Z20" s="47">
        <f t="shared" si="9"/>
        <v>3514142</v>
      </c>
      <c r="AA20" s="45"/>
      <c r="AB20" s="46"/>
      <c r="AC20" s="46"/>
      <c r="AD20" s="47">
        <f t="shared" si="10"/>
        <v>3514142</v>
      </c>
      <c r="AE20" s="45">
        <v>-3514142</v>
      </c>
      <c r="AF20" s="46"/>
      <c r="AG20" s="46"/>
      <c r="AH20" s="47">
        <f t="shared" si="11"/>
        <v>0</v>
      </c>
      <c r="AI20" s="46"/>
      <c r="AJ20" s="46"/>
      <c r="AK20" s="46"/>
      <c r="AL20" s="46">
        <f t="shared" si="12"/>
        <v>0</v>
      </c>
      <c r="AM20" s="45"/>
      <c r="AN20" s="46"/>
      <c r="AO20" s="46"/>
      <c r="AP20" s="47">
        <f t="shared" si="13"/>
        <v>0</v>
      </c>
      <c r="AQ20" s="45"/>
      <c r="AR20" s="46"/>
      <c r="AS20" s="46"/>
      <c r="AT20" s="47">
        <f t="shared" si="14"/>
        <v>0</v>
      </c>
      <c r="AU20" s="45"/>
      <c r="AV20" s="46"/>
      <c r="AW20" s="46"/>
      <c r="AX20" s="46">
        <f t="shared" si="15"/>
        <v>0</v>
      </c>
      <c r="AY20" s="48"/>
      <c r="AZ20" s="49"/>
      <c r="BA20" s="49">
        <v>3452579</v>
      </c>
      <c r="BB20" s="47">
        <f t="shared" si="16"/>
        <v>3452579</v>
      </c>
      <c r="BC20" s="42"/>
      <c r="BD20" s="50">
        <f t="shared" si="0"/>
        <v>2157813.3076923075</v>
      </c>
      <c r="BE20" s="42"/>
      <c r="BF20" s="42"/>
      <c r="BG20" s="48">
        <f t="shared" si="1"/>
        <v>-3514142</v>
      </c>
      <c r="BH20" s="49">
        <f t="shared" si="2"/>
        <v>0</v>
      </c>
      <c r="BI20" s="51">
        <f t="shared" si="3"/>
        <v>3452579</v>
      </c>
      <c r="BK20" s="50">
        <f t="shared" si="4"/>
        <v>3452579</v>
      </c>
    </row>
    <row r="21" spans="1:70" s="67" customFormat="1" x14ac:dyDescent="0.25">
      <c r="A21" s="62" t="s">
        <v>34</v>
      </c>
      <c r="B21" s="63"/>
      <c r="C21" s="64"/>
      <c r="D21" s="65"/>
      <c r="E21" s="66">
        <f>SUM(E8:E20)</f>
        <v>29315431.009999998</v>
      </c>
      <c r="G21" s="68">
        <f>SUM(G8:G20)</f>
        <v>-5324550.7300000004</v>
      </c>
      <c r="H21" s="63">
        <f>SUM(H8:H20)</f>
        <v>0</v>
      </c>
      <c r="I21" s="63">
        <f>SUM(I8:I20)</f>
        <v>0</v>
      </c>
      <c r="J21" s="69">
        <f>SUM(J8:J20)</f>
        <v>23990880.280000001</v>
      </c>
      <c r="K21" s="70">
        <f t="shared" ref="K21:BB21" si="17">SUM(K8:K20)</f>
        <v>-4403373.2799999993</v>
      </c>
      <c r="L21" s="63">
        <f t="shared" si="17"/>
        <v>0</v>
      </c>
      <c r="M21" s="63">
        <f>SUM(M8:M20)</f>
        <v>0</v>
      </c>
      <c r="N21" s="69">
        <f>SUM(N8:N20)</f>
        <v>19587507</v>
      </c>
      <c r="O21" s="68">
        <f t="shared" si="17"/>
        <v>0</v>
      </c>
      <c r="P21" s="63">
        <f t="shared" si="17"/>
        <v>0</v>
      </c>
      <c r="Q21" s="63">
        <f>SUM(Q8:Q20)</f>
        <v>0</v>
      </c>
      <c r="R21" s="69">
        <f>SUM(R8:R20)</f>
        <v>19587507</v>
      </c>
      <c r="S21" s="68">
        <f t="shared" si="17"/>
        <v>0</v>
      </c>
      <c r="T21" s="63">
        <f t="shared" si="17"/>
        <v>0</v>
      </c>
      <c r="U21" s="63">
        <f>SUM(U8:U20)</f>
        <v>0</v>
      </c>
      <c r="V21" s="69">
        <f>SUM(V8:V20)</f>
        <v>19587507</v>
      </c>
      <c r="W21" s="68">
        <f t="shared" si="17"/>
        <v>0</v>
      </c>
      <c r="X21" s="63">
        <f t="shared" si="17"/>
        <v>0</v>
      </c>
      <c r="Y21" s="63"/>
      <c r="Z21" s="69">
        <f>SUM(Z8:Z20)</f>
        <v>19587507</v>
      </c>
      <c r="AA21" s="68">
        <f t="shared" si="17"/>
        <v>0</v>
      </c>
      <c r="AB21" s="63">
        <f t="shared" si="17"/>
        <v>0</v>
      </c>
      <c r="AC21" s="63">
        <f>SUM(AC8:AC20)</f>
        <v>0</v>
      </c>
      <c r="AD21" s="69">
        <f>SUM(AD8:AD20)</f>
        <v>19587507</v>
      </c>
      <c r="AE21" s="68">
        <f t="shared" si="17"/>
        <v>-12528411</v>
      </c>
      <c r="AF21" s="63">
        <f t="shared" si="17"/>
        <v>0</v>
      </c>
      <c r="AG21" s="63">
        <f>SUM(AG8:AG20)</f>
        <v>0</v>
      </c>
      <c r="AH21" s="69">
        <f>SUM(AH8:AH20)</f>
        <v>7059096</v>
      </c>
      <c r="AI21" s="70">
        <f t="shared" si="17"/>
        <v>-5266420</v>
      </c>
      <c r="AJ21" s="63">
        <f t="shared" si="17"/>
        <v>1336171</v>
      </c>
      <c r="AK21" s="63">
        <f>SUM(AK8:AK20)</f>
        <v>0</v>
      </c>
      <c r="AL21" s="70">
        <f>SUM(AL8:AL20)</f>
        <v>3128847</v>
      </c>
      <c r="AM21" s="68">
        <f t="shared" si="17"/>
        <v>-750065</v>
      </c>
      <c r="AN21" s="63">
        <f t="shared" si="17"/>
        <v>0</v>
      </c>
      <c r="AO21" s="63">
        <f>SUM(AO8:AO20)</f>
        <v>0</v>
      </c>
      <c r="AP21" s="69">
        <f>SUM(AP8:AP20)</f>
        <v>2378782</v>
      </c>
      <c r="AQ21" s="68">
        <f t="shared" si="17"/>
        <v>0</v>
      </c>
      <c r="AR21" s="63">
        <f t="shared" si="17"/>
        <v>0</v>
      </c>
      <c r="AS21" s="63">
        <f>SUM(AS8:AS20)</f>
        <v>0</v>
      </c>
      <c r="AT21" s="69">
        <f>SUM(AT8:AT20)</f>
        <v>2378782</v>
      </c>
      <c r="AU21" s="68">
        <f t="shared" si="17"/>
        <v>0</v>
      </c>
      <c r="AV21" s="63">
        <f t="shared" si="17"/>
        <v>3540799</v>
      </c>
      <c r="AW21" s="63">
        <f t="shared" si="17"/>
        <v>0</v>
      </c>
      <c r="AX21" s="70">
        <f t="shared" si="17"/>
        <v>5919581</v>
      </c>
      <c r="AY21" s="71">
        <f t="shared" si="17"/>
        <v>-2500000</v>
      </c>
      <c r="AZ21" s="63">
        <f t="shared" si="17"/>
        <v>931125</v>
      </c>
      <c r="BA21" s="72">
        <f t="shared" si="17"/>
        <v>47895139</v>
      </c>
      <c r="BB21" s="69">
        <f t="shared" si="17"/>
        <v>52245845</v>
      </c>
      <c r="BD21" s="73">
        <f>SUM(BD8:BD20)</f>
        <v>17258059.945384618</v>
      </c>
      <c r="BG21" s="71">
        <f>SUM(BG8:BG20)</f>
        <v>-30772820.009999998</v>
      </c>
      <c r="BH21" s="72">
        <f>SUM(BH8:BH20)</f>
        <v>5808095</v>
      </c>
      <c r="BI21" s="74">
        <f>SUM(BI8:BI20)</f>
        <v>47895139</v>
      </c>
      <c r="BK21" s="75">
        <f>SUM(BK8:BK20)</f>
        <v>52245845</v>
      </c>
    </row>
    <row r="22" spans="1:70" x14ac:dyDescent="0.25">
      <c r="C22" s="76"/>
      <c r="D22" s="77"/>
      <c r="E22" s="27"/>
      <c r="G22" s="28"/>
      <c r="H22" s="29"/>
      <c r="I22" s="29"/>
      <c r="J22" s="78"/>
      <c r="K22" s="31"/>
      <c r="L22" s="29"/>
      <c r="M22" s="29"/>
      <c r="N22" s="78"/>
      <c r="O22" s="28"/>
      <c r="P22" s="29"/>
      <c r="Q22" s="29"/>
      <c r="R22" s="78"/>
      <c r="S22" s="28"/>
      <c r="T22" s="29"/>
      <c r="U22" s="29"/>
      <c r="V22" s="78"/>
      <c r="W22" s="28"/>
      <c r="X22" s="29"/>
      <c r="Y22" s="29"/>
      <c r="Z22" s="78"/>
      <c r="AA22" s="28"/>
      <c r="AB22" s="29"/>
      <c r="AC22" s="29"/>
      <c r="AD22" s="78"/>
      <c r="AE22" s="28"/>
      <c r="AF22" s="29"/>
      <c r="AG22" s="29"/>
      <c r="AH22" s="78"/>
      <c r="AI22" s="31"/>
      <c r="AJ22" s="29"/>
      <c r="AK22" s="29"/>
      <c r="AL22" s="79"/>
      <c r="AM22" s="28"/>
      <c r="AN22" s="29"/>
      <c r="AO22" s="29"/>
      <c r="AP22" s="78"/>
      <c r="AQ22" s="28"/>
      <c r="AR22" s="29"/>
      <c r="AS22" s="29"/>
      <c r="AT22" s="78"/>
      <c r="AU22" s="28"/>
      <c r="AV22" s="29"/>
      <c r="AW22" s="29"/>
      <c r="AX22" s="79"/>
      <c r="AY22" s="33"/>
      <c r="AZ22" s="34"/>
      <c r="BA22" s="34"/>
      <c r="BB22" s="78"/>
      <c r="BD22" s="80"/>
      <c r="BG22" s="33"/>
      <c r="BH22" s="34"/>
      <c r="BI22" s="81"/>
      <c r="BK22" s="82"/>
    </row>
    <row r="23" spans="1:70" x14ac:dyDescent="0.25">
      <c r="C23" s="76"/>
      <c r="D23" s="77"/>
      <c r="E23" s="27"/>
      <c r="G23" s="28"/>
      <c r="H23" s="29"/>
      <c r="I23" s="29"/>
      <c r="J23" s="78"/>
      <c r="K23" s="31"/>
      <c r="L23" s="29"/>
      <c r="M23" s="29"/>
      <c r="N23" s="78"/>
      <c r="O23" s="28"/>
      <c r="P23" s="29"/>
      <c r="Q23" s="29"/>
      <c r="R23" s="78"/>
      <c r="S23" s="28"/>
      <c r="T23" s="29"/>
      <c r="U23" s="29"/>
      <c r="V23" s="78"/>
      <c r="W23" s="28"/>
      <c r="X23" s="29"/>
      <c r="Y23" s="29"/>
      <c r="Z23" s="78"/>
      <c r="AA23" s="28"/>
      <c r="AB23" s="29"/>
      <c r="AC23" s="29"/>
      <c r="AD23" s="78"/>
      <c r="AE23" s="28"/>
      <c r="AF23" s="29"/>
      <c r="AG23" s="29"/>
      <c r="AH23" s="78"/>
      <c r="AI23" s="31"/>
      <c r="AJ23" s="29"/>
      <c r="AK23" s="29"/>
      <c r="AL23" s="79"/>
      <c r="AM23" s="28"/>
      <c r="AN23" s="29"/>
      <c r="AO23" s="29"/>
      <c r="AP23" s="78"/>
      <c r="AQ23" s="28"/>
      <c r="AR23" s="29"/>
      <c r="AS23" s="29"/>
      <c r="AT23" s="78"/>
      <c r="AU23" s="28"/>
      <c r="AV23" s="29"/>
      <c r="AW23" s="29"/>
      <c r="AX23" s="79"/>
      <c r="AY23" s="33"/>
      <c r="AZ23" s="34"/>
      <c r="BA23" s="34"/>
      <c r="BB23" s="78"/>
      <c r="BD23" s="80"/>
      <c r="BG23" s="33"/>
      <c r="BH23" s="34"/>
      <c r="BI23" s="81"/>
      <c r="BK23" s="82"/>
    </row>
    <row r="24" spans="1:70" x14ac:dyDescent="0.25">
      <c r="C24" s="76"/>
      <c r="D24" s="77"/>
      <c r="E24" s="27"/>
      <c r="G24" s="28"/>
      <c r="H24" s="29"/>
      <c r="I24" s="29"/>
      <c r="J24" s="78"/>
      <c r="K24" s="31"/>
      <c r="L24" s="29"/>
      <c r="M24" s="29"/>
      <c r="N24" s="78"/>
      <c r="O24" s="28"/>
      <c r="P24" s="29"/>
      <c r="Q24" s="29"/>
      <c r="R24" s="78"/>
      <c r="S24" s="28"/>
      <c r="T24" s="29"/>
      <c r="U24" s="29"/>
      <c r="V24" s="78"/>
      <c r="W24" s="28"/>
      <c r="X24" s="29"/>
      <c r="Y24" s="29"/>
      <c r="Z24" s="78"/>
      <c r="AA24" s="28"/>
      <c r="AB24" s="29"/>
      <c r="AC24" s="29"/>
      <c r="AD24" s="78"/>
      <c r="AE24" s="28"/>
      <c r="AF24" s="29"/>
      <c r="AG24" s="29"/>
      <c r="AH24" s="78"/>
      <c r="AI24" s="31"/>
      <c r="AJ24" s="29"/>
      <c r="AK24" s="29"/>
      <c r="AL24" s="79"/>
      <c r="AM24" s="28"/>
      <c r="AN24" s="29"/>
      <c r="AO24" s="29"/>
      <c r="AP24" s="78"/>
      <c r="AQ24" s="28"/>
      <c r="AR24" s="29"/>
      <c r="AS24" s="29"/>
      <c r="AT24" s="78"/>
      <c r="AU24" s="28"/>
      <c r="AV24" s="29"/>
      <c r="AW24" s="29"/>
      <c r="AX24" s="79"/>
      <c r="AY24" s="33"/>
      <c r="AZ24" s="34"/>
      <c r="BA24" s="34"/>
      <c r="BB24" s="78"/>
      <c r="BD24" s="80"/>
      <c r="BG24" s="33"/>
      <c r="BH24" s="34"/>
      <c r="BI24" s="81"/>
      <c r="BK24" s="82"/>
    </row>
    <row r="25" spans="1:70" x14ac:dyDescent="0.25">
      <c r="A25" s="83" t="s">
        <v>35</v>
      </c>
      <c r="B25" s="83" t="s">
        <v>36</v>
      </c>
      <c r="C25" s="41" t="s">
        <v>25</v>
      </c>
      <c r="D25" s="84" t="s">
        <v>22</v>
      </c>
      <c r="E25" s="195">
        <f>-'IPP June 2014'!C25</f>
        <v>27248685.350878909</v>
      </c>
      <c r="G25" s="28"/>
      <c r="H25" s="29"/>
      <c r="I25" s="29"/>
      <c r="J25" s="47">
        <f t="shared" ref="J25:J28" si="18">E25+G25+H25+I25</f>
        <v>27248685.350878909</v>
      </c>
      <c r="K25" s="79"/>
      <c r="L25" s="29"/>
      <c r="M25" s="29"/>
      <c r="N25" s="86">
        <f>J25+K25+L25+M25</f>
        <v>27248685.350878909</v>
      </c>
      <c r="O25" s="85"/>
      <c r="P25" s="79"/>
      <c r="Q25" s="79"/>
      <c r="R25" s="86">
        <f>N25+O25+P25+Q25</f>
        <v>27248685.350878909</v>
      </c>
      <c r="S25" s="196">
        <f>-R25+2880792</f>
        <v>-24367893.350878909</v>
      </c>
      <c r="T25" s="79"/>
      <c r="U25" s="79"/>
      <c r="V25" s="86">
        <f>R25+S25+T25+U25</f>
        <v>2880792</v>
      </c>
      <c r="W25" s="87">
        <f t="shared" ref="W25:W27" si="19">-V25</f>
        <v>-2880792</v>
      </c>
      <c r="X25" s="29"/>
      <c r="Y25" s="29"/>
      <c r="Z25" s="86">
        <f>V25+W25+X25+Y25</f>
        <v>0</v>
      </c>
      <c r="AA25" s="88"/>
      <c r="AB25" s="34"/>
      <c r="AC25" s="34"/>
      <c r="AD25" s="86">
        <f>Z25+AA25+AB25+AC25</f>
        <v>0</v>
      </c>
      <c r="AE25" s="33"/>
      <c r="AF25" s="34"/>
      <c r="AG25" s="34"/>
      <c r="AH25" s="86">
        <f>AD25+AE25+AF25+AG25</f>
        <v>0</v>
      </c>
      <c r="AI25" s="29"/>
      <c r="AJ25" s="29"/>
      <c r="AK25" s="29"/>
      <c r="AL25" s="89">
        <f>AH25+AI25+AJ25+AK25</f>
        <v>0</v>
      </c>
      <c r="AM25" s="33"/>
      <c r="AN25" s="34"/>
      <c r="AO25" s="34"/>
      <c r="AP25" s="86">
        <f>AL25+AM25+AN25+AO25</f>
        <v>0</v>
      </c>
      <c r="AQ25" s="33"/>
      <c r="AR25" s="34"/>
      <c r="AS25" s="34"/>
      <c r="AT25" s="86">
        <f>AP25+AQ25+AR25+AS25</f>
        <v>0</v>
      </c>
      <c r="AU25" s="33"/>
      <c r="AV25" s="34"/>
      <c r="AW25" s="34"/>
      <c r="AX25" s="89">
        <f>AT25+AU25+AV25+AW25</f>
        <v>0</v>
      </c>
      <c r="AY25" s="33"/>
      <c r="AZ25" s="34"/>
      <c r="BA25" s="197">
        <f>-'IPP June 2015'!C25</f>
        <v>13278081.627934277</v>
      </c>
      <c r="BB25" s="47">
        <f t="shared" ref="BB25:BB27" si="20">AY25+AZ25+BA25+AX25</f>
        <v>13278081.627934277</v>
      </c>
      <c r="BC25" s="79"/>
      <c r="BD25" s="90">
        <f>(BB25+AX25+AT25+AP25+AL25+AH25+AD25+Z25+V25+R25+N25+J25+E25)/13</f>
        <v>9627201.156265378</v>
      </c>
      <c r="BG25" s="48">
        <f t="shared" ref="BG25:BH28" si="21">G25+K25+O25+S25+W25+AA25+AE25+AI25+AM25++AQ25+AU25+AY25</f>
        <v>-27248685.350878909</v>
      </c>
      <c r="BH25" s="49">
        <f t="shared" si="21"/>
        <v>0</v>
      </c>
      <c r="BI25" s="51">
        <f>BA25</f>
        <v>13278081.627934277</v>
      </c>
      <c r="BJ25" s="44"/>
      <c r="BK25" s="50">
        <f>E25+BG25+BH25+BI25</f>
        <v>13278081.627934277</v>
      </c>
    </row>
    <row r="26" spans="1:70" x14ac:dyDescent="0.25">
      <c r="A26" s="83" t="s">
        <v>35</v>
      </c>
      <c r="B26" s="83" t="s">
        <v>37</v>
      </c>
      <c r="C26" s="41" t="s">
        <v>25</v>
      </c>
      <c r="D26" s="84" t="s">
        <v>38</v>
      </c>
      <c r="E26" s="195">
        <f>-'IPP June 2014'!C26</f>
        <v>193668.64912109118</v>
      </c>
      <c r="G26" s="28"/>
      <c r="H26" s="29"/>
      <c r="I26" s="29"/>
      <c r="J26" s="47">
        <f t="shared" si="18"/>
        <v>193668.64912109118</v>
      </c>
      <c r="K26" s="79"/>
      <c r="L26" s="29"/>
      <c r="M26" s="29"/>
      <c r="N26" s="86">
        <f t="shared" ref="N26:N28" si="22">J26+K26+L26+M26</f>
        <v>193668.64912109118</v>
      </c>
      <c r="O26" s="85"/>
      <c r="P26" s="79"/>
      <c r="Q26" s="79"/>
      <c r="R26" s="86">
        <f t="shared" ref="R26:R28" si="23">N26+O26+P26+Q26</f>
        <v>193668.64912109118</v>
      </c>
      <c r="S26" s="196">
        <f>-R26</f>
        <v>-193668.64912109118</v>
      </c>
      <c r="T26" s="79"/>
      <c r="U26" s="79"/>
      <c r="V26" s="86">
        <f t="shared" ref="V26:V27" si="24">R26+S26+T26+U26</f>
        <v>0</v>
      </c>
      <c r="W26" s="87">
        <f t="shared" si="19"/>
        <v>0</v>
      </c>
      <c r="X26" s="29"/>
      <c r="Y26" s="29"/>
      <c r="Z26" s="86">
        <f t="shared" ref="Z26:Z27" si="25">V26+W26+X26+Y26</f>
        <v>0</v>
      </c>
      <c r="AA26" s="88"/>
      <c r="AB26" s="34"/>
      <c r="AC26" s="34"/>
      <c r="AD26" s="86">
        <f t="shared" ref="AD26:AD27" si="26">Z26+AA26+AB26+AC26</f>
        <v>0</v>
      </c>
      <c r="AE26" s="33"/>
      <c r="AF26" s="34"/>
      <c r="AG26" s="34"/>
      <c r="AH26" s="86">
        <f t="shared" ref="AH26:AH27" si="27">AD26+AE26+AF26+AG26</f>
        <v>0</v>
      </c>
      <c r="AL26" s="89">
        <f t="shared" ref="AL26:AL27" si="28">AH26+AI26+AJ26+AK26</f>
        <v>0</v>
      </c>
      <c r="AM26" s="33"/>
      <c r="AN26" s="34"/>
      <c r="AO26" s="34"/>
      <c r="AP26" s="86">
        <f t="shared" ref="AP26:AP27" si="29">AL26+AM26+AN26+AO26</f>
        <v>0</v>
      </c>
      <c r="AQ26" s="33"/>
      <c r="AR26" s="34"/>
      <c r="AS26" s="34"/>
      <c r="AT26" s="86">
        <f t="shared" ref="AT26:AT27" si="30">AP26+AQ26+AR26+AS26</f>
        <v>0</v>
      </c>
      <c r="AU26" s="33"/>
      <c r="AV26" s="34"/>
      <c r="AW26" s="34"/>
      <c r="AX26" s="89">
        <f t="shared" ref="AX26:AX27" si="31">AT26+AU26+AV26+AW26</f>
        <v>0</v>
      </c>
      <c r="AY26" s="33"/>
      <c r="AZ26" s="34"/>
      <c r="BA26" s="197">
        <f>-'IPP June 2015'!C26</f>
        <v>21788183.372065719</v>
      </c>
      <c r="BB26" s="47">
        <f t="shared" si="20"/>
        <v>21788183.372065719</v>
      </c>
      <c r="BD26" s="90">
        <f>(BB26+AX26+AT26+AP26+AL26+AH26+AD26+Z26+V26+R26+N26+J26+E26)/13</f>
        <v>1735604.459119237</v>
      </c>
      <c r="BG26" s="48">
        <f t="shared" si="21"/>
        <v>-193668.64912109118</v>
      </c>
      <c r="BH26" s="49">
        <f t="shared" si="21"/>
        <v>0</v>
      </c>
      <c r="BI26" s="51">
        <f>BA26</f>
        <v>21788183.372065719</v>
      </c>
      <c r="BJ26" s="44"/>
      <c r="BK26" s="50">
        <f>E26+BG26+BH26+BI26</f>
        <v>21788183.372065719</v>
      </c>
    </row>
    <row r="27" spans="1:70" x14ac:dyDescent="0.25">
      <c r="A27" s="83" t="s">
        <v>35</v>
      </c>
      <c r="B27" s="83" t="s">
        <v>40</v>
      </c>
      <c r="C27" s="41" t="s">
        <v>25</v>
      </c>
      <c r="D27" s="84" t="s">
        <v>38</v>
      </c>
      <c r="E27" s="195">
        <f>-'IPP June 2014'!C27</f>
        <v>11513497</v>
      </c>
      <c r="G27" s="28"/>
      <c r="H27" s="29"/>
      <c r="I27" s="29"/>
      <c r="J27" s="47">
        <f t="shared" si="18"/>
        <v>11513497</v>
      </c>
      <c r="K27" s="79"/>
      <c r="L27" s="29"/>
      <c r="M27" s="29"/>
      <c r="N27" s="86">
        <f t="shared" si="22"/>
        <v>11513497</v>
      </c>
      <c r="O27" s="85"/>
      <c r="P27" s="79"/>
      <c r="Q27" s="79"/>
      <c r="R27" s="86">
        <f t="shared" si="23"/>
        <v>11513497</v>
      </c>
      <c r="S27" s="196">
        <f>-R27</f>
        <v>-11513497</v>
      </c>
      <c r="T27" s="79"/>
      <c r="U27" s="79"/>
      <c r="V27" s="86">
        <f t="shared" si="24"/>
        <v>0</v>
      </c>
      <c r="W27" s="87">
        <f t="shared" si="19"/>
        <v>0</v>
      </c>
      <c r="X27" s="29"/>
      <c r="Y27" s="29"/>
      <c r="Z27" s="86">
        <f t="shared" si="25"/>
        <v>0</v>
      </c>
      <c r="AA27" s="88"/>
      <c r="AB27" s="34"/>
      <c r="AC27" s="34"/>
      <c r="AD27" s="86">
        <f t="shared" si="26"/>
        <v>0</v>
      </c>
      <c r="AE27" s="33"/>
      <c r="AF27" s="34"/>
      <c r="AG27" s="34"/>
      <c r="AH27" s="86">
        <f t="shared" si="27"/>
        <v>0</v>
      </c>
      <c r="AL27" s="89">
        <f t="shared" si="28"/>
        <v>0</v>
      </c>
      <c r="AM27" s="33"/>
      <c r="AN27" s="34"/>
      <c r="AO27" s="34"/>
      <c r="AP27" s="86">
        <f t="shared" si="29"/>
        <v>0</v>
      </c>
      <c r="AQ27" s="33"/>
      <c r="AR27" s="34"/>
      <c r="AS27" s="34"/>
      <c r="AT27" s="86">
        <f t="shared" si="30"/>
        <v>0</v>
      </c>
      <c r="AU27" s="33"/>
      <c r="AV27" s="34"/>
      <c r="AW27" s="34"/>
      <c r="AX27" s="89">
        <f t="shared" si="31"/>
        <v>0</v>
      </c>
      <c r="AY27" s="33"/>
      <c r="AZ27" s="34"/>
      <c r="BA27" s="197">
        <f>-'IPP June 2015'!C27</f>
        <v>-13926595</v>
      </c>
      <c r="BB27" s="47">
        <f t="shared" si="20"/>
        <v>-13926595</v>
      </c>
      <c r="BD27" s="90">
        <f>(BB27+AX27+AT27+AP27+AL27+AH27+AD27+Z27+V27+R27+N27+J27+E27)/13</f>
        <v>2471337.923076923</v>
      </c>
      <c r="BG27" s="48">
        <f t="shared" si="21"/>
        <v>-11513497</v>
      </c>
      <c r="BH27" s="49">
        <f t="shared" si="21"/>
        <v>0</v>
      </c>
      <c r="BI27" s="51">
        <f>BA27</f>
        <v>-13926595</v>
      </c>
      <c r="BJ27" s="44"/>
      <c r="BK27" s="50">
        <f>E27+BG27+BH27+BI27</f>
        <v>-13926595</v>
      </c>
    </row>
    <row r="28" spans="1:70" x14ac:dyDescent="0.25">
      <c r="A28" s="83" t="s">
        <v>35</v>
      </c>
      <c r="B28" s="83" t="s">
        <v>39</v>
      </c>
      <c r="C28" s="198" t="s">
        <v>19</v>
      </c>
      <c r="D28" s="84" t="s">
        <v>22</v>
      </c>
      <c r="E28" s="195">
        <f>-'IPP June 2014'!C28</f>
        <v>-280447</v>
      </c>
      <c r="G28" s="28"/>
      <c r="H28" s="29"/>
      <c r="I28" s="29"/>
      <c r="J28" s="47">
        <f t="shared" si="18"/>
        <v>-280447</v>
      </c>
      <c r="K28" s="79"/>
      <c r="L28" s="29"/>
      <c r="M28" s="29"/>
      <c r="N28" s="86">
        <f t="shared" si="22"/>
        <v>-280447</v>
      </c>
      <c r="O28" s="85"/>
      <c r="P28" s="79"/>
      <c r="Q28" s="79"/>
      <c r="R28" s="86">
        <f t="shared" si="23"/>
        <v>-280447</v>
      </c>
      <c r="S28" s="196">
        <f>-R28</f>
        <v>280447</v>
      </c>
      <c r="T28" s="79"/>
      <c r="U28" s="79"/>
      <c r="V28" s="86">
        <f t="shared" ref="V28" si="32">R28+S28+T28+U28</f>
        <v>0</v>
      </c>
      <c r="W28" s="87">
        <f t="shared" ref="W28" si="33">-V28</f>
        <v>0</v>
      </c>
      <c r="X28" s="29"/>
      <c r="Y28" s="29"/>
      <c r="Z28" s="86">
        <f t="shared" ref="Z28" si="34">V28+W28+X28+Y28</f>
        <v>0</v>
      </c>
      <c r="AA28" s="88"/>
      <c r="AB28" s="34"/>
      <c r="AC28" s="34"/>
      <c r="AD28" s="86">
        <f t="shared" ref="AD28" si="35">Z28+AA28+AB28+AC28</f>
        <v>0</v>
      </c>
      <c r="AE28" s="33"/>
      <c r="AF28" s="34"/>
      <c r="AG28" s="34"/>
      <c r="AH28" s="86">
        <f t="shared" ref="AH28" si="36">AD28+AE28+AF28+AG28</f>
        <v>0</v>
      </c>
      <c r="AL28" s="89">
        <f t="shared" ref="AL28" si="37">AH28+AI28+AJ28+AK28</f>
        <v>0</v>
      </c>
      <c r="AM28" s="33"/>
      <c r="AN28" s="34"/>
      <c r="AO28" s="34"/>
      <c r="AP28" s="86">
        <f t="shared" ref="AP28" si="38">AL28+AM28+AN28+AO28</f>
        <v>0</v>
      </c>
      <c r="AQ28" s="33"/>
      <c r="AR28" s="34"/>
      <c r="AS28" s="34"/>
      <c r="AT28" s="86">
        <f t="shared" ref="AT28" si="39">AP28+AQ28+AR28+AS28</f>
        <v>0</v>
      </c>
      <c r="AU28" s="33"/>
      <c r="AV28" s="34"/>
      <c r="AW28" s="34"/>
      <c r="AX28" s="89">
        <f t="shared" ref="AX28" si="40">AT28+AU28+AV28+AW28</f>
        <v>0</v>
      </c>
      <c r="AY28" s="33"/>
      <c r="AZ28" s="34"/>
      <c r="BA28" s="197">
        <f>-'IPP June 2015'!C28</f>
        <v>54458</v>
      </c>
      <c r="BB28" s="47">
        <f t="shared" ref="BB28" si="41">AY28+AZ28+BA28+AX28</f>
        <v>54458</v>
      </c>
      <c r="BD28" s="90">
        <f>(BB28+AX28+AT28+AP28+AL28+AH28+AD28+Z28+V28+R28+N28+J28+E28)/13</f>
        <v>-82102.307692307688</v>
      </c>
      <c r="BG28" s="48">
        <f t="shared" si="21"/>
        <v>280447</v>
      </c>
      <c r="BH28" s="49">
        <f t="shared" si="21"/>
        <v>0</v>
      </c>
      <c r="BI28" s="51">
        <f>BA28</f>
        <v>54458</v>
      </c>
      <c r="BJ28" s="44"/>
      <c r="BK28" s="50">
        <f>E28+BG28+BH28+BI28</f>
        <v>54458</v>
      </c>
    </row>
    <row r="29" spans="1:70" x14ac:dyDescent="0.25">
      <c r="A29" s="91" t="s">
        <v>41</v>
      </c>
      <c r="B29" s="91"/>
      <c r="C29" s="92"/>
      <c r="D29" s="93"/>
      <c r="E29" s="191">
        <f>SUM(E25:E28)</f>
        <v>38675404</v>
      </c>
      <c r="F29" s="93"/>
      <c r="G29" s="68">
        <f>SUM(G25:G28)</f>
        <v>0</v>
      </c>
      <c r="H29" s="70">
        <f t="shared" ref="H29:J29" si="42">SUM(H25:H28)</f>
        <v>0</v>
      </c>
      <c r="I29" s="70">
        <f t="shared" si="42"/>
        <v>0</v>
      </c>
      <c r="J29" s="69">
        <f t="shared" si="42"/>
        <v>38675404</v>
      </c>
      <c r="K29" s="70">
        <f>SUM(K25:K28)</f>
        <v>0</v>
      </c>
      <c r="L29" s="70">
        <f t="shared" ref="L29" si="43">SUM(L25:L28)</f>
        <v>0</v>
      </c>
      <c r="M29" s="70">
        <f t="shared" ref="M29" si="44">SUM(M25:M28)</f>
        <v>0</v>
      </c>
      <c r="N29" s="69">
        <f t="shared" ref="N29" si="45">SUM(N25:N28)</f>
        <v>38675404</v>
      </c>
      <c r="O29" s="68">
        <f>SUM(O25:O28)</f>
        <v>0</v>
      </c>
      <c r="P29" s="70">
        <f t="shared" ref="P29" si="46">SUM(P25:P28)</f>
        <v>0</v>
      </c>
      <c r="Q29" s="70">
        <f t="shared" ref="Q29" si="47">SUM(Q25:Q28)</f>
        <v>0</v>
      </c>
      <c r="R29" s="69">
        <f t="shared" ref="R29" si="48">SUM(R25:R28)</f>
        <v>38675404</v>
      </c>
      <c r="S29" s="68">
        <f>SUM(S25:S28)</f>
        <v>-35794612</v>
      </c>
      <c r="T29" s="70">
        <f t="shared" ref="T29" si="49">SUM(T25:T28)</f>
        <v>0</v>
      </c>
      <c r="U29" s="70">
        <f t="shared" ref="U29" si="50">SUM(U25:U28)</f>
        <v>0</v>
      </c>
      <c r="V29" s="69">
        <f t="shared" ref="V29" si="51">SUM(V25:V28)</f>
        <v>2880792</v>
      </c>
      <c r="W29" s="68">
        <f>SUM(W25:W28)</f>
        <v>-2880792</v>
      </c>
      <c r="X29" s="70">
        <f t="shared" ref="X29" si="52">SUM(X25:X28)</f>
        <v>0</v>
      </c>
      <c r="Y29" s="70">
        <f t="shared" ref="Y29" si="53">SUM(Y25:Y28)</f>
        <v>0</v>
      </c>
      <c r="Z29" s="69">
        <f t="shared" ref="Z29" si="54">SUM(Z25:Z28)</f>
        <v>0</v>
      </c>
      <c r="AA29" s="68">
        <f>SUM(AA25:AA28)</f>
        <v>0</v>
      </c>
      <c r="AB29" s="70">
        <f t="shared" ref="AB29" si="55">SUM(AB25:AB28)</f>
        <v>0</v>
      </c>
      <c r="AC29" s="70">
        <f t="shared" ref="AC29" si="56">SUM(AC25:AC28)</f>
        <v>0</v>
      </c>
      <c r="AD29" s="69">
        <f t="shared" ref="AD29" si="57">SUM(AD25:AD28)</f>
        <v>0</v>
      </c>
      <c r="AE29" s="68">
        <f>SUM(AE25:AE28)</f>
        <v>0</v>
      </c>
      <c r="AF29" s="70">
        <f t="shared" ref="AF29" si="58">SUM(AF25:AF28)</f>
        <v>0</v>
      </c>
      <c r="AG29" s="70">
        <f t="shared" ref="AG29" si="59">SUM(AG25:AG28)</f>
        <v>0</v>
      </c>
      <c r="AH29" s="69">
        <f t="shared" ref="AH29" si="60">SUM(AH25:AH28)</f>
        <v>0</v>
      </c>
      <c r="AI29" s="68">
        <f>SUM(AI25:AI28)</f>
        <v>0</v>
      </c>
      <c r="AJ29" s="70">
        <f t="shared" ref="AJ29" si="61">SUM(AJ25:AJ28)</f>
        <v>0</v>
      </c>
      <c r="AK29" s="70">
        <f t="shared" ref="AK29" si="62">SUM(AK25:AK28)</f>
        <v>0</v>
      </c>
      <c r="AL29" s="69">
        <f t="shared" ref="AL29" si="63">SUM(AL25:AL28)</f>
        <v>0</v>
      </c>
      <c r="AM29" s="68">
        <f>SUM(AM25:AM28)</f>
        <v>0</v>
      </c>
      <c r="AN29" s="70">
        <f t="shared" ref="AN29" si="64">SUM(AN25:AN28)</f>
        <v>0</v>
      </c>
      <c r="AO29" s="70">
        <f t="shared" ref="AO29" si="65">SUM(AO25:AO28)</f>
        <v>0</v>
      </c>
      <c r="AP29" s="69">
        <f t="shared" ref="AP29" si="66">SUM(AP25:AP28)</f>
        <v>0</v>
      </c>
      <c r="AQ29" s="68">
        <f>SUM(AQ25:AQ28)</f>
        <v>0</v>
      </c>
      <c r="AR29" s="70">
        <f t="shared" ref="AR29" si="67">SUM(AR25:AR28)</f>
        <v>0</v>
      </c>
      <c r="AS29" s="70">
        <f t="shared" ref="AS29" si="68">SUM(AS25:AS28)</f>
        <v>0</v>
      </c>
      <c r="AT29" s="69">
        <f t="shared" ref="AT29" si="69">SUM(AT25:AT28)</f>
        <v>0</v>
      </c>
      <c r="AU29" s="68">
        <f>SUM(AU25:AU28)</f>
        <v>0</v>
      </c>
      <c r="AV29" s="70">
        <f t="shared" ref="AV29" si="70">SUM(AV25:AV28)</f>
        <v>0</v>
      </c>
      <c r="AW29" s="70">
        <f t="shared" ref="AW29" si="71">SUM(AW25:AW28)</f>
        <v>0</v>
      </c>
      <c r="AX29" s="70">
        <f t="shared" ref="AX29" si="72">SUM(AX25:AX28)</f>
        <v>0</v>
      </c>
      <c r="AY29" s="68">
        <f>SUM(AY25:AY28)</f>
        <v>0</v>
      </c>
      <c r="AZ29" s="70">
        <f t="shared" ref="AZ29" si="73">SUM(AZ25:AZ28)</f>
        <v>0</v>
      </c>
      <c r="BA29" s="70">
        <f t="shared" ref="BA29" si="74">SUM(BA25:BA28)</f>
        <v>21194128</v>
      </c>
      <c r="BB29" s="69">
        <f t="shared" ref="BB29" si="75">SUM(BB25:BB28)</f>
        <v>21194128</v>
      </c>
      <c r="BC29" s="79"/>
      <c r="BD29" s="94">
        <f>SUM(BD25:BD28)</f>
        <v>13752041.230769232</v>
      </c>
      <c r="BG29" s="68">
        <f>SUM(BG25:BG28)</f>
        <v>-38675404</v>
      </c>
      <c r="BH29" s="70">
        <f t="shared" ref="BH29" si="76">SUM(BH25:BH28)</f>
        <v>0</v>
      </c>
      <c r="BI29" s="69">
        <f t="shared" ref="BI29" si="77">SUM(BI25:BI28)</f>
        <v>21194128</v>
      </c>
      <c r="BJ29" s="67"/>
      <c r="BK29" s="75">
        <f>SUM(BK25:BK28)</f>
        <v>21194128</v>
      </c>
    </row>
    <row r="30" spans="1:70" x14ac:dyDescent="0.25">
      <c r="A30" s="95" t="s">
        <v>64</v>
      </c>
      <c r="B30" s="95"/>
      <c r="C30" s="96"/>
      <c r="D30" s="97"/>
      <c r="E30" s="98">
        <v>38675404</v>
      </c>
      <c r="F30" s="99"/>
      <c r="G30" s="100"/>
      <c r="H30" s="101"/>
      <c r="I30" s="101"/>
      <c r="J30" s="102">
        <f>E30+G30+H30+I30</f>
        <v>38675404</v>
      </c>
      <c r="K30" s="103"/>
      <c r="L30" s="101"/>
      <c r="M30" s="101"/>
      <c r="N30" s="102">
        <f>K30+L30+M30+J30</f>
        <v>38675404</v>
      </c>
      <c r="O30" s="100"/>
      <c r="P30" s="101"/>
      <c r="Q30" s="101"/>
      <c r="R30" s="102">
        <f>O30+P30+Q30+N30</f>
        <v>38675404</v>
      </c>
      <c r="S30" s="100">
        <v>-35794612</v>
      </c>
      <c r="T30" s="101"/>
      <c r="U30" s="101"/>
      <c r="V30" s="102">
        <f>S30+T30+U30+R30</f>
        <v>2880792</v>
      </c>
      <c r="W30" s="100">
        <v>-2880792</v>
      </c>
      <c r="X30" s="101"/>
      <c r="Y30" s="101"/>
      <c r="Z30" s="102">
        <f>W30+X30+Y30+V30</f>
        <v>0</v>
      </c>
      <c r="AA30" s="100"/>
      <c r="AB30" s="101"/>
      <c r="AC30" s="101"/>
      <c r="AD30" s="102">
        <f>AA30+AB30+AC30+Z30</f>
        <v>0</v>
      </c>
      <c r="AE30" s="100"/>
      <c r="AF30" s="101"/>
      <c r="AG30" s="101"/>
      <c r="AH30" s="102">
        <f>AE30+AF30+AG30+AD30</f>
        <v>0</v>
      </c>
      <c r="AI30" s="103"/>
      <c r="AJ30" s="101"/>
      <c r="AK30" s="101"/>
      <c r="AL30" s="101">
        <f>AI30+AJ30+AK30+AH30</f>
        <v>0</v>
      </c>
      <c r="AM30" s="100"/>
      <c r="AN30" s="101"/>
      <c r="AO30" s="101"/>
      <c r="AP30" s="102">
        <f>AM30+AN30+AO30+AL30</f>
        <v>0</v>
      </c>
      <c r="AQ30" s="100"/>
      <c r="AR30" s="101"/>
      <c r="AS30" s="101"/>
      <c r="AT30" s="102">
        <f>AQ30+AR30+AS30+AP30</f>
        <v>0</v>
      </c>
      <c r="AU30" s="100"/>
      <c r="AV30" s="101"/>
      <c r="AW30" s="101"/>
      <c r="AX30" s="101">
        <f>AU30+AV30+AW30+AT30</f>
        <v>0</v>
      </c>
      <c r="AY30" s="104"/>
      <c r="AZ30" s="105"/>
      <c r="BA30" s="105">
        <f>17147000+4047129</f>
        <v>21194129</v>
      </c>
      <c r="BB30" s="102">
        <f>AY30+AZ30+BA30+AX30</f>
        <v>21194129</v>
      </c>
      <c r="BC30" s="99"/>
      <c r="BD30" s="106">
        <f>(BB30+AX30+AT30+AP30+AL30+AH30+AD30+Z30+V30+R30+N30+J30+E30)/13</f>
        <v>13752041.307692308</v>
      </c>
      <c r="BG30" s="33"/>
      <c r="BH30" s="34"/>
      <c r="BI30" s="81"/>
      <c r="BK30" s="82"/>
    </row>
    <row r="31" spans="1:70" x14ac:dyDescent="0.25">
      <c r="C31" s="4"/>
      <c r="E31" s="80"/>
      <c r="G31" s="85"/>
      <c r="H31" s="79"/>
      <c r="I31" s="79"/>
      <c r="J31" s="78"/>
      <c r="K31" s="79"/>
      <c r="L31" s="79"/>
      <c r="M31" s="79"/>
      <c r="N31" s="78"/>
      <c r="O31" s="85"/>
      <c r="P31" s="79"/>
      <c r="Q31" s="79"/>
      <c r="R31" s="78"/>
      <c r="S31" s="85"/>
      <c r="T31" s="79"/>
      <c r="U31" s="79"/>
      <c r="V31" s="78"/>
      <c r="W31" s="85"/>
      <c r="X31" s="79"/>
      <c r="Y31" s="79"/>
      <c r="Z31" s="78"/>
      <c r="AA31" s="85"/>
      <c r="AB31" s="79"/>
      <c r="AC31" s="79"/>
      <c r="AD31" s="78"/>
      <c r="AE31" s="85"/>
      <c r="AF31" s="79"/>
      <c r="AG31" s="79"/>
      <c r="AH31" s="78"/>
      <c r="AI31" s="4"/>
      <c r="AJ31" s="4"/>
      <c r="AK31" s="4"/>
      <c r="AL31" s="4"/>
      <c r="AM31" s="85"/>
      <c r="AN31" s="79"/>
      <c r="AO31" s="79"/>
      <c r="AP31" s="78"/>
      <c r="AQ31" s="85"/>
      <c r="AR31" s="79"/>
      <c r="AS31" s="79"/>
      <c r="AT31" s="78"/>
      <c r="AU31" s="85"/>
      <c r="AV31" s="79"/>
      <c r="AW31" s="79"/>
      <c r="AX31" s="79"/>
      <c r="AY31" s="85"/>
      <c r="AZ31" s="79"/>
      <c r="BA31" s="79"/>
      <c r="BB31" s="78"/>
      <c r="BD31" s="80"/>
      <c r="BG31" s="33"/>
      <c r="BH31" s="34"/>
      <c r="BI31" s="81"/>
      <c r="BK31" s="82"/>
    </row>
    <row r="32" spans="1:70" x14ac:dyDescent="0.25">
      <c r="A32" s="8"/>
      <c r="B32" s="8"/>
      <c r="C32" s="107"/>
      <c r="D32" s="77"/>
      <c r="E32" s="27"/>
      <c r="G32" s="28"/>
      <c r="H32" s="29"/>
      <c r="I32" s="29"/>
      <c r="J32" s="78"/>
      <c r="K32" s="31"/>
      <c r="L32" s="29"/>
      <c r="M32" s="29"/>
      <c r="N32" s="78"/>
      <c r="O32" s="28"/>
      <c r="P32" s="29"/>
      <c r="Q32" s="29"/>
      <c r="R32" s="78"/>
      <c r="S32" s="28"/>
      <c r="T32" s="29"/>
      <c r="U32" s="29"/>
      <c r="V32" s="78"/>
      <c r="W32" s="28"/>
      <c r="X32" s="29"/>
      <c r="Y32" s="29"/>
      <c r="Z32" s="78"/>
      <c r="AA32" s="28"/>
      <c r="AB32" s="29"/>
      <c r="AC32" s="29"/>
      <c r="AD32" s="78"/>
      <c r="AE32" s="28"/>
      <c r="AF32" s="29"/>
      <c r="AG32" s="29"/>
      <c r="AH32" s="78"/>
      <c r="AI32" s="31"/>
      <c r="AJ32" s="29"/>
      <c r="AK32" s="29"/>
      <c r="AL32" s="79"/>
      <c r="AM32" s="28"/>
      <c r="AN32" s="29"/>
      <c r="AO32" s="29"/>
      <c r="AP32" s="78"/>
      <c r="AQ32" s="28"/>
      <c r="AR32" s="29"/>
      <c r="AS32" s="29"/>
      <c r="AT32" s="78"/>
      <c r="AU32" s="28"/>
      <c r="AV32" s="29"/>
      <c r="AW32" s="29"/>
      <c r="AX32" s="79"/>
      <c r="AY32" s="33"/>
      <c r="AZ32" s="34"/>
      <c r="BA32" s="34"/>
      <c r="BB32" s="78"/>
      <c r="BD32" s="80"/>
      <c r="BG32" s="33"/>
      <c r="BH32" s="108"/>
      <c r="BI32" s="81"/>
      <c r="BK32" s="82"/>
      <c r="BR32" s="67"/>
    </row>
    <row r="33" spans="1:64" s="67" customFormat="1" ht="15.75" customHeight="1" x14ac:dyDescent="0.25">
      <c r="A33" s="109" t="s">
        <v>42</v>
      </c>
      <c r="B33" s="226" t="s">
        <v>42</v>
      </c>
      <c r="C33" s="110" t="s">
        <v>29</v>
      </c>
      <c r="D33" s="111" t="s">
        <v>38</v>
      </c>
      <c r="E33" s="112">
        <v>7529880</v>
      </c>
      <c r="G33" s="113">
        <v>-490833</v>
      </c>
      <c r="H33" s="32"/>
      <c r="I33" s="32"/>
      <c r="J33" s="30">
        <f>E33+G33+H33+I33</f>
        <v>7039047</v>
      </c>
      <c r="K33" s="114">
        <v>-490833</v>
      </c>
      <c r="L33" s="32"/>
      <c r="M33" s="32"/>
      <c r="N33" s="30">
        <f>K33+L33+M33+J33</f>
        <v>6548214</v>
      </c>
      <c r="O33" s="113">
        <v>-490833</v>
      </c>
      <c r="P33" s="32"/>
      <c r="Q33" s="32"/>
      <c r="R33" s="30">
        <f>O33+P33+Q33+N33</f>
        <v>6057381</v>
      </c>
      <c r="S33" s="113">
        <v>-490833</v>
      </c>
      <c r="T33" s="32"/>
      <c r="U33" s="32"/>
      <c r="V33" s="30">
        <f>S33+T33+U33+R33</f>
        <v>5566548</v>
      </c>
      <c r="W33" s="113">
        <v>-490833</v>
      </c>
      <c r="X33" s="32"/>
      <c r="Y33" s="32"/>
      <c r="Z33" s="30">
        <f>W33+X33+Y33+V33</f>
        <v>5075715</v>
      </c>
      <c r="AA33" s="113">
        <v>-490833</v>
      </c>
      <c r="AB33" s="32"/>
      <c r="AC33" s="32"/>
      <c r="AD33" s="30">
        <f>AA33+AB33+AC33+Z33</f>
        <v>4584882</v>
      </c>
      <c r="AE33" s="113">
        <v>-490833</v>
      </c>
      <c r="AF33" s="32"/>
      <c r="AG33" s="32"/>
      <c r="AH33" s="30">
        <f>AE33+AF33+AG33+AD33</f>
        <v>4094049</v>
      </c>
      <c r="AI33" s="114">
        <v>-490833</v>
      </c>
      <c r="AJ33" s="32"/>
      <c r="AK33" s="32"/>
      <c r="AL33" s="32">
        <f>AI33+AJ33+AK33+AH33</f>
        <v>3603216</v>
      </c>
      <c r="AM33" s="113">
        <v>-490833</v>
      </c>
      <c r="AN33" s="32"/>
      <c r="AO33" s="32"/>
      <c r="AP33" s="30">
        <f>AM33+AN33+AO33+AL33</f>
        <v>3112383</v>
      </c>
      <c r="AQ33" s="113">
        <v>-490833</v>
      </c>
      <c r="AR33" s="32"/>
      <c r="AS33" s="32"/>
      <c r="AT33" s="30">
        <f>AQ33+AR33+AS33+AP33</f>
        <v>2621550</v>
      </c>
      <c r="AU33" s="113">
        <v>-490833</v>
      </c>
      <c r="AV33" s="32"/>
      <c r="AW33" s="32"/>
      <c r="AX33" s="32">
        <f>AU33+AV33+AW33+AT33</f>
        <v>2130717</v>
      </c>
      <c r="AY33" s="115">
        <v>-490833</v>
      </c>
      <c r="AZ33" s="116"/>
      <c r="BA33" s="116">
        <f>2090163-3631263</f>
        <v>-1541100</v>
      </c>
      <c r="BB33" s="30">
        <f>AY33+AZ33+BA33+AX33</f>
        <v>98784</v>
      </c>
      <c r="BD33" s="117">
        <f>(BB33+AX33+AT33+AP33+AL33+AH33+AD33+Z33+V33+R33+N33+J33+E33)/13</f>
        <v>4466335.846153846</v>
      </c>
      <c r="BG33" s="48">
        <f>G33+K33+O33+S33+W33+AA33+AE33+AI33+AM33++AQ33+AU33+AY33</f>
        <v>-5889996</v>
      </c>
      <c r="BH33" s="49">
        <f>H33+L33+P33+T33+X33+AB33+AF33+AJ33+AN33++AR33+AV33+AZ33</f>
        <v>0</v>
      </c>
      <c r="BI33" s="51">
        <f>BA33</f>
        <v>-1541100</v>
      </c>
      <c r="BK33" s="117">
        <f>E33+BG33+BH33+BI33</f>
        <v>98784</v>
      </c>
    </row>
    <row r="34" spans="1:64" s="67" customFormat="1" x14ac:dyDescent="0.25">
      <c r="A34" s="118"/>
      <c r="B34" s="118"/>
      <c r="C34" s="109"/>
      <c r="D34" s="111"/>
      <c r="E34" s="112"/>
      <c r="G34" s="113"/>
      <c r="H34" s="32"/>
      <c r="I34" s="32"/>
      <c r="J34" s="30"/>
      <c r="K34" s="114"/>
      <c r="L34" s="32"/>
      <c r="M34" s="32"/>
      <c r="N34" s="30"/>
      <c r="O34" s="113"/>
      <c r="P34" s="32"/>
      <c r="Q34" s="32"/>
      <c r="R34" s="30"/>
      <c r="S34" s="113"/>
      <c r="T34" s="32"/>
      <c r="U34" s="32"/>
      <c r="V34" s="30"/>
      <c r="W34" s="113"/>
      <c r="X34" s="32"/>
      <c r="Y34" s="32"/>
      <c r="Z34" s="30"/>
      <c r="AA34" s="113"/>
      <c r="AB34" s="32"/>
      <c r="AC34" s="32"/>
      <c r="AD34" s="30"/>
      <c r="AE34" s="113"/>
      <c r="AF34" s="32"/>
      <c r="AG34" s="32"/>
      <c r="AH34" s="30"/>
      <c r="AI34" s="114"/>
      <c r="AJ34" s="32"/>
      <c r="AK34" s="32"/>
      <c r="AL34" s="32"/>
      <c r="AM34" s="113"/>
      <c r="AN34" s="32"/>
      <c r="AO34" s="32"/>
      <c r="AP34" s="30"/>
      <c r="AQ34" s="113"/>
      <c r="AR34" s="32"/>
      <c r="AS34" s="32"/>
      <c r="AT34" s="30"/>
      <c r="AU34" s="113"/>
      <c r="AV34" s="32"/>
      <c r="AW34" s="32"/>
      <c r="AX34" s="32"/>
      <c r="AY34" s="115"/>
      <c r="AZ34" s="116"/>
      <c r="BA34" s="116"/>
      <c r="BB34" s="30"/>
      <c r="BD34" s="117"/>
      <c r="BG34" s="115"/>
      <c r="BH34" s="116"/>
      <c r="BI34" s="119"/>
      <c r="BK34" s="117"/>
    </row>
    <row r="35" spans="1:64" s="67" customFormat="1" ht="15.75" thickBot="1" x14ac:dyDescent="0.3">
      <c r="A35" s="120" t="s">
        <v>43</v>
      </c>
      <c r="B35" s="120"/>
      <c r="C35" s="121"/>
      <c r="D35" s="122"/>
      <c r="E35" s="124">
        <f t="shared" ref="E35:BB35" si="78">E21+E29+E33</f>
        <v>75520715.00999999</v>
      </c>
      <c r="G35" s="124">
        <f t="shared" si="78"/>
        <v>-5815383.7300000004</v>
      </c>
      <c r="H35" s="125">
        <f t="shared" si="78"/>
        <v>0</v>
      </c>
      <c r="I35" s="125">
        <f t="shared" si="78"/>
        <v>0</v>
      </c>
      <c r="J35" s="192">
        <f t="shared" si="78"/>
        <v>69705331.280000001</v>
      </c>
      <c r="K35" s="124">
        <f t="shared" si="78"/>
        <v>-4894206.2799999993</v>
      </c>
      <c r="L35" s="125">
        <f t="shared" si="78"/>
        <v>0</v>
      </c>
      <c r="M35" s="125">
        <f t="shared" si="78"/>
        <v>0</v>
      </c>
      <c r="N35" s="192">
        <f t="shared" si="78"/>
        <v>64811125</v>
      </c>
      <c r="O35" s="124">
        <f t="shared" si="78"/>
        <v>-490833</v>
      </c>
      <c r="P35" s="125">
        <f t="shared" si="78"/>
        <v>0</v>
      </c>
      <c r="Q35" s="125">
        <f t="shared" si="78"/>
        <v>0</v>
      </c>
      <c r="R35" s="192">
        <f t="shared" si="78"/>
        <v>64320292</v>
      </c>
      <c r="S35" s="124">
        <f t="shared" si="78"/>
        <v>-36285445</v>
      </c>
      <c r="T35" s="125">
        <f t="shared" si="78"/>
        <v>0</v>
      </c>
      <c r="U35" s="125">
        <f t="shared" si="78"/>
        <v>0</v>
      </c>
      <c r="V35" s="192">
        <f t="shared" si="78"/>
        <v>28034847</v>
      </c>
      <c r="W35" s="124">
        <f t="shared" si="78"/>
        <v>-3371625</v>
      </c>
      <c r="X35" s="125">
        <f t="shared" si="78"/>
        <v>0</v>
      </c>
      <c r="Y35" s="125">
        <f t="shared" si="78"/>
        <v>0</v>
      </c>
      <c r="Z35" s="192">
        <f t="shared" si="78"/>
        <v>24663222</v>
      </c>
      <c r="AA35" s="124">
        <f t="shared" si="78"/>
        <v>-490833</v>
      </c>
      <c r="AB35" s="125">
        <f t="shared" si="78"/>
        <v>0</v>
      </c>
      <c r="AC35" s="125">
        <f t="shared" si="78"/>
        <v>0</v>
      </c>
      <c r="AD35" s="192">
        <f t="shared" si="78"/>
        <v>24172389</v>
      </c>
      <c r="AE35" s="124">
        <f t="shared" si="78"/>
        <v>-13019244</v>
      </c>
      <c r="AF35" s="125">
        <f t="shared" si="78"/>
        <v>0</v>
      </c>
      <c r="AG35" s="125">
        <f t="shared" si="78"/>
        <v>0</v>
      </c>
      <c r="AH35" s="192">
        <f t="shared" si="78"/>
        <v>11153145</v>
      </c>
      <c r="AI35" s="124">
        <f t="shared" si="78"/>
        <v>-5757253</v>
      </c>
      <c r="AJ35" s="125">
        <f t="shared" si="78"/>
        <v>1336171</v>
      </c>
      <c r="AK35" s="125">
        <f t="shared" si="78"/>
        <v>0</v>
      </c>
      <c r="AL35" s="192">
        <f t="shared" si="78"/>
        <v>6732063</v>
      </c>
      <c r="AM35" s="124">
        <f t="shared" si="78"/>
        <v>-1240898</v>
      </c>
      <c r="AN35" s="125">
        <f t="shared" si="78"/>
        <v>0</v>
      </c>
      <c r="AO35" s="125">
        <f t="shared" si="78"/>
        <v>0</v>
      </c>
      <c r="AP35" s="192">
        <f t="shared" si="78"/>
        <v>5491165</v>
      </c>
      <c r="AQ35" s="124">
        <f t="shared" si="78"/>
        <v>-490833</v>
      </c>
      <c r="AR35" s="125">
        <f t="shared" si="78"/>
        <v>0</v>
      </c>
      <c r="AS35" s="125">
        <f t="shared" si="78"/>
        <v>0</v>
      </c>
      <c r="AT35" s="192">
        <f t="shared" si="78"/>
        <v>5000332</v>
      </c>
      <c r="AU35" s="124">
        <f t="shared" si="78"/>
        <v>-490833</v>
      </c>
      <c r="AV35" s="125">
        <f t="shared" si="78"/>
        <v>3540799</v>
      </c>
      <c r="AW35" s="125">
        <f t="shared" si="78"/>
        <v>0</v>
      </c>
      <c r="AX35" s="192">
        <f t="shared" si="78"/>
        <v>8050298</v>
      </c>
      <c r="AY35" s="124">
        <f t="shared" si="78"/>
        <v>-2990833</v>
      </c>
      <c r="AZ35" s="125">
        <f t="shared" si="78"/>
        <v>931125</v>
      </c>
      <c r="BA35" s="125">
        <f t="shared" si="78"/>
        <v>67548167</v>
      </c>
      <c r="BB35" s="192">
        <f t="shared" si="78"/>
        <v>73538757</v>
      </c>
      <c r="BD35" s="214">
        <f>BD21+BD29+BD33</f>
        <v>35476437.022307694</v>
      </c>
      <c r="BG35" s="124">
        <f t="shared" ref="BG35:BK35" si="79">BG21+BG29+BG33</f>
        <v>-75338220.00999999</v>
      </c>
      <c r="BH35" s="125">
        <f t="shared" si="79"/>
        <v>5808095</v>
      </c>
      <c r="BI35" s="192">
        <f t="shared" si="79"/>
        <v>67548167</v>
      </c>
      <c r="BK35" s="214">
        <f t="shared" si="79"/>
        <v>73538757</v>
      </c>
      <c r="BL35" s="118"/>
    </row>
    <row r="36" spans="1:64" ht="15.75" thickTop="1" x14ac:dyDescent="0.25">
      <c r="D36" s="77"/>
      <c r="E36" s="126"/>
      <c r="G36" s="127"/>
      <c r="H36" s="128"/>
      <c r="I36" s="128"/>
      <c r="J36" s="129"/>
      <c r="K36" s="130"/>
      <c r="L36" s="128"/>
      <c r="M36" s="128"/>
      <c r="N36" s="129"/>
      <c r="O36" s="127"/>
      <c r="P36" s="128"/>
      <c r="Q36" s="128"/>
      <c r="R36" s="129"/>
      <c r="S36" s="127"/>
      <c r="T36" s="128"/>
      <c r="U36" s="128"/>
      <c r="V36" s="129"/>
      <c r="W36" s="127"/>
      <c r="X36" s="128"/>
      <c r="Y36" s="128"/>
      <c r="Z36" s="129"/>
      <c r="AA36" s="127"/>
      <c r="AB36" s="128"/>
      <c r="AC36" s="128"/>
      <c r="AD36" s="129"/>
      <c r="AE36" s="127"/>
      <c r="AF36" s="128"/>
      <c r="AG36" s="128"/>
      <c r="AH36" s="129"/>
      <c r="AI36" s="130"/>
      <c r="AJ36" s="128"/>
      <c r="AK36" s="128"/>
      <c r="AL36" s="131"/>
      <c r="AM36" s="127"/>
      <c r="AN36" s="128"/>
      <c r="AO36" s="128"/>
      <c r="AP36" s="129"/>
      <c r="AQ36" s="127"/>
      <c r="AR36" s="128"/>
      <c r="AS36" s="128"/>
      <c r="AT36" s="129"/>
      <c r="AU36" s="127"/>
      <c r="AV36" s="128"/>
      <c r="AW36" s="128"/>
      <c r="AX36" s="131"/>
      <c r="AY36" s="132"/>
      <c r="AZ36" s="133"/>
      <c r="BA36" s="133"/>
      <c r="BB36" s="129"/>
      <c r="BD36" s="134">
        <f>35476.4370992308*1000</f>
        <v>35476437.099230804</v>
      </c>
      <c r="BE36" s="1" t="s">
        <v>44</v>
      </c>
      <c r="BG36" s="132"/>
      <c r="BH36" s="133"/>
      <c r="BI36" s="135"/>
      <c r="BK36" s="134">
        <f>73538.758*1000</f>
        <v>73538758</v>
      </c>
      <c r="BL36" s="1" t="s">
        <v>45</v>
      </c>
    </row>
    <row r="37" spans="1:64" x14ac:dyDescent="0.25">
      <c r="D37" s="77"/>
      <c r="G37" s="228"/>
      <c r="H37" s="228"/>
      <c r="I37" s="161"/>
      <c r="K37" s="228"/>
      <c r="L37" s="228"/>
      <c r="M37" s="161"/>
      <c r="O37" s="228"/>
      <c r="P37" s="228"/>
      <c r="Q37" s="161"/>
      <c r="S37" s="228"/>
      <c r="T37" s="228"/>
      <c r="U37" s="161"/>
      <c r="W37" s="228"/>
      <c r="X37" s="228"/>
      <c r="Y37" s="161"/>
      <c r="AA37" s="228"/>
      <c r="AB37" s="228"/>
      <c r="AC37" s="161"/>
      <c r="AE37" s="228"/>
      <c r="AF37" s="228"/>
      <c r="AG37" s="161"/>
      <c r="AI37" s="228"/>
      <c r="AJ37" s="228"/>
      <c r="AK37" s="161"/>
      <c r="AM37" s="228"/>
      <c r="AN37" s="228"/>
      <c r="AO37" s="161"/>
      <c r="AP37" s="29"/>
      <c r="AQ37" s="228"/>
      <c r="AR37" s="228"/>
      <c r="AS37" s="161"/>
      <c r="AU37" s="228"/>
      <c r="AV37" s="228"/>
      <c r="AW37" s="161"/>
      <c r="AY37" s="228"/>
      <c r="AZ37" s="228"/>
      <c r="BI37" s="136"/>
    </row>
    <row r="38" spans="1:64" x14ac:dyDescent="0.25">
      <c r="D38" s="77"/>
      <c r="G38" s="34"/>
      <c r="H38" s="34"/>
      <c r="I38" s="34"/>
      <c r="J38" s="79"/>
      <c r="K38" s="137"/>
      <c r="L38" s="29"/>
      <c r="M38" s="29"/>
      <c r="N38" s="79"/>
      <c r="O38" s="229"/>
      <c r="P38" s="229"/>
      <c r="Q38" s="160"/>
      <c r="R38" s="79"/>
      <c r="S38" s="229"/>
      <c r="T38" s="229"/>
      <c r="U38" s="160"/>
      <c r="V38" s="79"/>
      <c r="W38" s="229"/>
      <c r="X38" s="229"/>
      <c r="Y38" s="160"/>
      <c r="Z38" s="79"/>
      <c r="AA38" s="229"/>
      <c r="AB38" s="229"/>
      <c r="AC38" s="160"/>
      <c r="AD38" s="79"/>
      <c r="AE38" s="229"/>
      <c r="AF38" s="229"/>
      <c r="AG38" s="160"/>
      <c r="AH38" s="29"/>
      <c r="AI38" s="229"/>
      <c r="AJ38" s="229"/>
      <c r="AK38" s="160"/>
      <c r="AL38" s="29"/>
      <c r="AM38" s="229"/>
      <c r="AN38" s="229"/>
      <c r="AO38" s="160"/>
      <c r="AP38" s="29"/>
      <c r="AQ38" s="229"/>
      <c r="AR38" s="229"/>
      <c r="AS38" s="160"/>
      <c r="AT38" s="79"/>
      <c r="AU38" s="229"/>
      <c r="AV38" s="229"/>
      <c r="AW38" s="160"/>
      <c r="AX38" s="138"/>
      <c r="AY38" s="229"/>
      <c r="AZ38" s="229"/>
      <c r="BA38" s="139"/>
      <c r="BB38" s="79"/>
      <c r="BC38" s="79"/>
      <c r="BD38" s="79"/>
      <c r="BE38" s="79"/>
      <c r="BF38" s="79"/>
      <c r="BG38" s="34"/>
      <c r="BH38" s="34"/>
      <c r="BI38" s="34"/>
      <c r="BK38" s="140"/>
      <c r="BL38" s="8"/>
    </row>
    <row r="39" spans="1:64" x14ac:dyDescent="0.25">
      <c r="G39" s="34"/>
      <c r="H39" s="29"/>
      <c r="I39" s="29"/>
      <c r="J39" s="79"/>
      <c r="K39" s="141"/>
      <c r="L39" s="29"/>
      <c r="M39" s="29"/>
      <c r="N39" s="79"/>
      <c r="O39" s="79"/>
      <c r="P39" s="79"/>
      <c r="Q39" s="79"/>
      <c r="R39" s="79"/>
      <c r="S39" s="34"/>
      <c r="T39" s="29"/>
      <c r="U39" s="29"/>
      <c r="V39" s="79"/>
      <c r="W39" s="141"/>
      <c r="X39" s="29"/>
      <c r="Y39" s="29"/>
      <c r="Z39" s="79"/>
      <c r="AA39" s="34"/>
      <c r="AB39" s="34"/>
      <c r="AC39" s="34"/>
      <c r="AD39" s="79"/>
      <c r="AE39" s="34"/>
      <c r="AF39" s="34"/>
      <c r="AG39" s="34"/>
      <c r="AH39" s="29"/>
      <c r="AI39" s="34"/>
      <c r="AJ39" s="29"/>
      <c r="AK39" s="29"/>
      <c r="AL39" s="29"/>
      <c r="AM39" s="34"/>
      <c r="AN39" s="34"/>
      <c r="AO39" s="34"/>
      <c r="AP39" s="29"/>
      <c r="AQ39" s="137"/>
      <c r="AR39" s="34"/>
      <c r="AS39" s="34"/>
      <c r="AT39" s="79"/>
      <c r="AU39" s="34"/>
      <c r="AV39" s="139"/>
      <c r="AW39" s="139"/>
      <c r="AX39" s="138"/>
      <c r="AY39" s="139"/>
      <c r="AZ39" s="139"/>
      <c r="BA39" s="139"/>
      <c r="BB39" s="79"/>
      <c r="BC39" s="79"/>
      <c r="BD39" s="79"/>
      <c r="BE39" s="79"/>
      <c r="BF39" s="79"/>
      <c r="BG39" s="34"/>
      <c r="BH39" s="34"/>
      <c r="BI39" s="34"/>
      <c r="BK39" s="29"/>
    </row>
    <row r="40" spans="1:64" x14ac:dyDescent="0.25">
      <c r="A40" s="79"/>
      <c r="B40" s="162"/>
      <c r="C40" s="163"/>
      <c r="D40" s="32"/>
      <c r="G40" s="34"/>
      <c r="H40" s="29"/>
      <c r="I40" s="29"/>
      <c r="J40" s="79"/>
      <c r="K40" s="79"/>
      <c r="L40" s="29"/>
      <c r="M40" s="29"/>
      <c r="N40" s="79"/>
      <c r="O40" s="79"/>
      <c r="P40" s="79"/>
      <c r="Q40" s="79"/>
      <c r="R40" s="79"/>
      <c r="S40" s="29"/>
      <c r="T40" s="29"/>
      <c r="U40" s="29"/>
      <c r="V40" s="79"/>
      <c r="W40" s="79"/>
      <c r="X40" s="29"/>
      <c r="Y40" s="29"/>
      <c r="Z40" s="79"/>
      <c r="AA40" s="34"/>
      <c r="AB40" s="34"/>
      <c r="AC40" s="34"/>
      <c r="AD40" s="79"/>
      <c r="AE40" s="34"/>
      <c r="AF40" s="34"/>
      <c r="AG40" s="34"/>
      <c r="AH40" s="29"/>
      <c r="AI40" s="34"/>
      <c r="AJ40" s="29"/>
      <c r="AK40" s="29"/>
      <c r="AL40" s="29"/>
      <c r="AM40" s="34"/>
      <c r="AN40" s="34"/>
      <c r="AO40" s="34"/>
      <c r="AP40" s="29"/>
      <c r="AQ40" s="34"/>
      <c r="AR40" s="34"/>
      <c r="AS40" s="34"/>
      <c r="AT40" s="79"/>
      <c r="AU40" s="34"/>
      <c r="AV40" s="34"/>
      <c r="AW40" s="34"/>
      <c r="AX40" s="79"/>
      <c r="AY40" s="34"/>
      <c r="AZ40" s="34"/>
      <c r="BA40" s="34"/>
      <c r="BB40" s="79"/>
      <c r="BC40" s="79"/>
      <c r="BD40" s="79"/>
      <c r="BE40" s="79"/>
      <c r="BF40" s="79"/>
      <c r="BG40" s="34"/>
      <c r="BH40" s="34"/>
      <c r="BI40" s="142"/>
    </row>
    <row r="41" spans="1:64" x14ac:dyDescent="0.25">
      <c r="A41" s="79"/>
      <c r="B41" s="164"/>
      <c r="C41" s="163"/>
      <c r="D41" s="32"/>
      <c r="G41" s="4"/>
      <c r="H41" s="4"/>
      <c r="I41" s="4"/>
      <c r="L41" s="4"/>
      <c r="M41" s="4"/>
      <c r="S41" s="4"/>
      <c r="X41" s="4"/>
      <c r="Y41" s="4"/>
      <c r="AA41" s="4"/>
      <c r="AB41" s="4"/>
      <c r="AC41" s="4"/>
      <c r="AE41" s="4"/>
      <c r="AF41" s="4"/>
      <c r="AG41" s="4"/>
      <c r="AH41" s="4"/>
      <c r="AI41" s="4"/>
      <c r="AJ41" s="4"/>
      <c r="AK41" s="4"/>
      <c r="AL41" s="4"/>
      <c r="AM41" s="4"/>
      <c r="AN41" s="4"/>
      <c r="AO41" s="4"/>
      <c r="AP41" s="4"/>
      <c r="AQ41" s="4"/>
      <c r="AR41" s="4"/>
      <c r="AS41" s="4"/>
      <c r="AU41" s="4"/>
      <c r="AV41" s="4"/>
      <c r="AW41" s="4"/>
      <c r="AY41" s="4"/>
      <c r="AZ41" s="4"/>
      <c r="BA41" s="4"/>
      <c r="BE41" s="79"/>
      <c r="BF41" s="79"/>
      <c r="BG41" s="34"/>
      <c r="BH41" s="34"/>
      <c r="BI41" s="34"/>
    </row>
    <row r="42" spans="1:64" x14ac:dyDescent="0.25">
      <c r="A42" s="79"/>
      <c r="B42" s="162"/>
      <c r="C42" s="79"/>
      <c r="D42" s="162"/>
      <c r="G42" s="4"/>
      <c r="H42" s="4"/>
      <c r="I42" s="4"/>
      <c r="L42" s="4"/>
      <c r="M42" s="4"/>
      <c r="S42" s="4"/>
      <c r="X42" s="4"/>
      <c r="Y42" s="4"/>
      <c r="AA42" s="4"/>
      <c r="AB42" s="4"/>
      <c r="AC42" s="4"/>
      <c r="AE42" s="4"/>
      <c r="AF42" s="4"/>
      <c r="AG42" s="4"/>
      <c r="AH42" s="4"/>
      <c r="AI42" s="4"/>
      <c r="AJ42" s="4"/>
      <c r="AK42" s="4"/>
      <c r="AL42" s="4"/>
      <c r="AM42" s="4"/>
      <c r="AN42" s="4"/>
      <c r="AO42" s="4"/>
      <c r="AP42" s="4"/>
      <c r="AQ42" s="4"/>
      <c r="AR42" s="4"/>
      <c r="AS42" s="4"/>
      <c r="AU42" s="4"/>
      <c r="AV42" s="4"/>
      <c r="AW42" s="4"/>
      <c r="AY42" s="4"/>
      <c r="AZ42" s="4"/>
      <c r="BA42" s="159"/>
      <c r="BH42" s="34"/>
    </row>
    <row r="43" spans="1:64" x14ac:dyDescent="0.25">
      <c r="C43" s="4"/>
      <c r="E43" s="4"/>
      <c r="G43" s="4"/>
      <c r="H43" s="4"/>
      <c r="I43" s="4"/>
      <c r="L43" s="4"/>
      <c r="M43" s="4"/>
      <c r="S43" s="4"/>
      <c r="X43" s="4"/>
      <c r="Y43" s="4"/>
      <c r="AA43" s="4"/>
      <c r="AB43" s="4"/>
      <c r="AC43" s="4"/>
      <c r="AE43" s="4"/>
      <c r="AF43" s="4"/>
      <c r="AG43" s="4"/>
      <c r="AH43" s="4"/>
      <c r="AI43" s="4"/>
      <c r="AJ43" s="4"/>
      <c r="AK43" s="4"/>
      <c r="AL43" s="4"/>
      <c r="AM43" s="4"/>
      <c r="AN43" s="4"/>
      <c r="AO43" s="4"/>
      <c r="AP43" s="4"/>
      <c r="AQ43" s="4"/>
      <c r="AR43" s="4"/>
      <c r="AS43" s="4"/>
      <c r="AU43" s="4"/>
      <c r="AV43" s="4"/>
      <c r="AW43" s="4"/>
      <c r="AY43" s="4"/>
      <c r="AZ43" s="4"/>
      <c r="BA43" s="159"/>
      <c r="BH43" s="34"/>
    </row>
    <row r="44" spans="1:64" x14ac:dyDescent="0.25">
      <c r="C44" s="4"/>
      <c r="G44" s="4"/>
      <c r="H44" s="4"/>
      <c r="I44" s="4"/>
      <c r="L44" s="4"/>
      <c r="M44" s="4"/>
      <c r="S44" s="4"/>
      <c r="X44" s="4"/>
      <c r="Y44" s="4"/>
      <c r="AA44" s="4"/>
      <c r="AB44" s="4"/>
      <c r="AC44" s="4"/>
      <c r="AE44" s="4"/>
      <c r="AF44" s="4"/>
      <c r="AG44" s="4"/>
      <c r="AH44" s="4"/>
      <c r="AI44" s="4"/>
      <c r="AJ44" s="4"/>
      <c r="AK44" s="4"/>
      <c r="AL44" s="4"/>
      <c r="AM44" s="4"/>
      <c r="AN44" s="4"/>
      <c r="AO44" s="4"/>
      <c r="AP44" s="4"/>
      <c r="AQ44" s="4"/>
      <c r="AR44" s="4"/>
      <c r="AS44" s="4"/>
      <c r="AU44" s="4"/>
      <c r="AV44" s="4"/>
      <c r="AW44" s="4"/>
      <c r="AY44" s="4"/>
      <c r="AZ44" s="4"/>
      <c r="BA44" s="159"/>
      <c r="BI44" s="143"/>
      <c r="BK44" s="5"/>
    </row>
    <row r="45" spans="1:64" x14ac:dyDescent="0.25">
      <c r="C45" s="4"/>
      <c r="E45" s="4"/>
      <c r="G45" s="4"/>
      <c r="H45" s="4"/>
      <c r="I45" s="4"/>
      <c r="L45" s="4"/>
      <c r="M45" s="4"/>
      <c r="S45" s="4"/>
      <c r="X45" s="4"/>
      <c r="Y45" s="4"/>
      <c r="AA45" s="4"/>
      <c r="AB45" s="4"/>
      <c r="AC45" s="4"/>
      <c r="AE45" s="4"/>
      <c r="AF45" s="4"/>
      <c r="AG45" s="4"/>
      <c r="AH45" s="4"/>
      <c r="AI45" s="4"/>
      <c r="AJ45" s="4"/>
      <c r="AK45" s="4"/>
      <c r="AL45" s="4"/>
      <c r="AM45" s="4"/>
      <c r="AN45" s="4"/>
      <c r="AO45" s="4"/>
      <c r="AP45" s="4"/>
      <c r="AQ45" s="4"/>
      <c r="AR45" s="4"/>
      <c r="AS45" s="4"/>
      <c r="AU45" s="4"/>
      <c r="AV45" s="4"/>
      <c r="AW45" s="4"/>
      <c r="AY45" s="4"/>
      <c r="AZ45" s="4"/>
      <c r="BA45" s="4"/>
      <c r="BH45" s="144"/>
      <c r="BI45" s="143"/>
      <c r="BK45" s="5"/>
    </row>
    <row r="46" spans="1:64" x14ac:dyDescent="0.25">
      <c r="C46" s="4"/>
      <c r="E46" s="4"/>
      <c r="G46" s="4"/>
      <c r="H46" s="4"/>
      <c r="I46" s="4"/>
      <c r="L46" s="4"/>
      <c r="M46" s="4"/>
      <c r="S46" s="4"/>
      <c r="X46" s="4"/>
      <c r="Y46" s="4"/>
      <c r="AA46" s="4"/>
      <c r="AB46" s="4"/>
      <c r="AC46" s="4"/>
      <c r="AE46" s="4"/>
      <c r="AF46" s="4"/>
      <c r="AG46" s="4"/>
      <c r="AH46" s="4"/>
      <c r="AI46" s="4"/>
      <c r="AJ46" s="4"/>
      <c r="AK46" s="4"/>
      <c r="AL46" s="4"/>
      <c r="AM46" s="4"/>
      <c r="AN46" s="4"/>
      <c r="AO46" s="4"/>
      <c r="AP46" s="4"/>
      <c r="AQ46" s="4"/>
      <c r="AR46" s="4"/>
      <c r="AS46" s="4"/>
      <c r="AU46" s="4"/>
      <c r="AV46" s="4"/>
      <c r="AW46" s="4"/>
      <c r="AY46" s="4"/>
      <c r="AZ46" s="4"/>
      <c r="BA46" s="4"/>
      <c r="BH46" s="145"/>
      <c r="BI46" s="143"/>
      <c r="BK46" s="5"/>
    </row>
    <row r="47" spans="1:64" x14ac:dyDescent="0.25">
      <c r="C47" s="4"/>
      <c r="E47" s="4"/>
      <c r="G47" s="4"/>
      <c r="H47" s="4"/>
      <c r="I47" s="4"/>
      <c r="L47" s="4"/>
      <c r="M47" s="4"/>
      <c r="S47" s="4"/>
      <c r="X47" s="4"/>
      <c r="Y47" s="4"/>
      <c r="AA47" s="4"/>
      <c r="AB47" s="4"/>
      <c r="AC47" s="4"/>
      <c r="AE47" s="4"/>
      <c r="AF47" s="4"/>
      <c r="AG47" s="4"/>
      <c r="AH47" s="4"/>
      <c r="AI47" s="4"/>
      <c r="AJ47" s="4"/>
      <c r="AK47" s="4"/>
      <c r="AL47" s="4"/>
      <c r="AM47" s="4"/>
      <c r="AN47" s="4"/>
      <c r="AO47" s="4"/>
      <c r="AP47" s="4"/>
      <c r="AQ47" s="4"/>
      <c r="AR47" s="4"/>
      <c r="AS47" s="4"/>
      <c r="AU47" s="4"/>
      <c r="AV47" s="4"/>
      <c r="AW47" s="4"/>
      <c r="AY47" s="4"/>
      <c r="AZ47" s="4"/>
      <c r="BA47" s="4"/>
      <c r="BH47" s="145"/>
      <c r="BI47" s="143"/>
      <c r="BK47" s="5"/>
    </row>
    <row r="48" spans="1:64" x14ac:dyDescent="0.25">
      <c r="C48" s="4"/>
      <c r="E48" s="4"/>
      <c r="G48" s="4"/>
      <c r="H48" s="4"/>
      <c r="I48" s="4"/>
      <c r="L48" s="4"/>
      <c r="M48" s="4"/>
      <c r="S48" s="4"/>
      <c r="X48" s="4"/>
      <c r="Y48" s="4"/>
      <c r="AA48" s="4"/>
      <c r="AB48" s="4"/>
      <c r="AC48" s="4"/>
      <c r="AE48" s="4"/>
      <c r="AF48" s="4"/>
      <c r="AG48" s="4"/>
      <c r="AH48" s="4"/>
      <c r="AI48" s="4"/>
      <c r="AJ48" s="4"/>
      <c r="AK48" s="4"/>
      <c r="AL48" s="4"/>
      <c r="AM48" s="4"/>
      <c r="AN48" s="4"/>
      <c r="AO48" s="4"/>
      <c r="AP48" s="4"/>
      <c r="AQ48" s="4"/>
      <c r="AR48" s="4"/>
      <c r="AS48" s="4"/>
      <c r="AU48" s="4"/>
      <c r="AV48" s="4"/>
      <c r="AW48" s="4"/>
      <c r="AY48" s="4"/>
      <c r="AZ48" s="4"/>
      <c r="BA48" s="4"/>
      <c r="BE48" s="1"/>
      <c r="BH48" s="145"/>
      <c r="BI48" s="143"/>
      <c r="BK48" s="5"/>
    </row>
    <row r="49" spans="1:64" x14ac:dyDescent="0.25">
      <c r="A49" s="145"/>
      <c r="B49" s="145"/>
      <c r="C49" s="146"/>
      <c r="E49" s="143"/>
      <c r="G49" s="31"/>
      <c r="H49" s="29"/>
      <c r="I49" s="29"/>
      <c r="BH49" s="145"/>
      <c r="BI49" s="143"/>
      <c r="BK49" s="31"/>
      <c r="BL49" s="29"/>
    </row>
    <row r="50" spans="1:64" x14ac:dyDescent="0.25">
      <c r="A50" s="147"/>
      <c r="B50" s="147"/>
      <c r="C50" s="148"/>
      <c r="D50" s="149"/>
      <c r="E50" s="150"/>
      <c r="F50" s="149"/>
      <c r="G50" s="151"/>
      <c r="H50" s="152"/>
      <c r="I50" s="152"/>
      <c r="J50" s="149"/>
      <c r="K50" s="149"/>
      <c r="L50" s="152"/>
      <c r="M50" s="152"/>
      <c r="N50" s="149"/>
      <c r="O50" s="149"/>
      <c r="V50" s="149"/>
      <c r="W50" s="149"/>
      <c r="X50" s="152"/>
      <c r="Y50" s="152"/>
      <c r="Z50" s="149"/>
      <c r="AA50" s="152"/>
      <c r="AB50" s="153"/>
      <c r="AC50" s="153"/>
      <c r="AD50" s="149"/>
      <c r="AE50" s="153"/>
      <c r="AH50" s="152"/>
      <c r="AI50" s="152"/>
      <c r="AL50" s="152"/>
      <c r="AM50" s="153"/>
      <c r="AP50" s="152"/>
      <c r="AQ50" s="153"/>
      <c r="AT50" s="149"/>
      <c r="AU50" s="153"/>
      <c r="AX50" s="149"/>
      <c r="AY50" s="153"/>
      <c r="BB50" s="154"/>
      <c r="BC50" s="149"/>
      <c r="BD50" s="149"/>
      <c r="BE50" s="149"/>
      <c r="BF50" s="149"/>
      <c r="BG50" s="153"/>
      <c r="BH50" s="147"/>
      <c r="BI50" s="150"/>
      <c r="BJ50" s="152"/>
      <c r="BK50" s="151"/>
      <c r="BL50" s="149"/>
    </row>
    <row r="51" spans="1:64" x14ac:dyDescent="0.25">
      <c r="A51" s="145"/>
      <c r="B51" s="145"/>
      <c r="C51" s="146"/>
      <c r="E51" s="143"/>
      <c r="BB51" s="154"/>
      <c r="BH51" s="145"/>
      <c r="BI51" s="143"/>
      <c r="BK51" s="5"/>
    </row>
    <row r="52" spans="1:64" x14ac:dyDescent="0.25">
      <c r="A52" s="145"/>
      <c r="B52" s="145"/>
      <c r="C52" s="146"/>
      <c r="E52" s="143"/>
      <c r="BB52" s="154"/>
      <c r="BH52" s="145"/>
      <c r="BI52" s="143"/>
      <c r="BK52" s="5"/>
    </row>
    <row r="53" spans="1:64" x14ac:dyDescent="0.25">
      <c r="A53" s="145"/>
      <c r="B53" s="145"/>
      <c r="C53" s="146"/>
      <c r="E53" s="143"/>
      <c r="BB53" s="154"/>
      <c r="BH53" s="145"/>
      <c r="BI53" s="143"/>
      <c r="BK53" s="5"/>
    </row>
    <row r="54" spans="1:64" x14ac:dyDescent="0.25">
      <c r="A54" s="145"/>
      <c r="B54" s="145"/>
      <c r="C54" s="146"/>
      <c r="E54" s="143"/>
      <c r="BB54" s="154"/>
      <c r="BH54" s="145"/>
      <c r="BI54" s="143"/>
      <c r="BK54" s="5"/>
    </row>
    <row r="55" spans="1:64" x14ac:dyDescent="0.25">
      <c r="A55" s="145"/>
      <c r="B55" s="145"/>
      <c r="C55" s="146"/>
      <c r="E55" s="143"/>
      <c r="BB55" s="154"/>
      <c r="BH55" s="145"/>
      <c r="BI55" s="143"/>
      <c r="BK55" s="5"/>
    </row>
    <row r="56" spans="1:64" x14ac:dyDescent="0.25">
      <c r="A56" s="145"/>
      <c r="B56" s="145"/>
      <c r="C56" s="146"/>
      <c r="E56" s="143"/>
      <c r="BB56" s="154"/>
      <c r="BH56" s="145"/>
      <c r="BI56" s="143"/>
      <c r="BK56" s="5"/>
    </row>
    <row r="57" spans="1:64" x14ac:dyDescent="0.25">
      <c r="A57" s="145"/>
      <c r="B57" s="145"/>
      <c r="C57" s="146"/>
      <c r="E57" s="143"/>
      <c r="BB57" s="154"/>
      <c r="BH57" s="145"/>
      <c r="BI57" s="143"/>
      <c r="BK57" s="5"/>
    </row>
    <row r="58" spans="1:64" x14ac:dyDescent="0.25">
      <c r="A58" s="145"/>
      <c r="B58" s="145"/>
      <c r="C58" s="146"/>
      <c r="E58" s="143"/>
      <c r="BB58" s="154"/>
      <c r="BH58" s="145"/>
      <c r="BI58" s="143"/>
      <c r="BK58" s="5"/>
    </row>
    <row r="59" spans="1:64" x14ac:dyDescent="0.25">
      <c r="A59" s="145"/>
      <c r="B59" s="145"/>
      <c r="C59" s="146"/>
      <c r="E59" s="143"/>
      <c r="BB59" s="154"/>
      <c r="BH59" s="145"/>
      <c r="BI59" s="143"/>
      <c r="BK59" s="5"/>
    </row>
    <row r="60" spans="1:64" x14ac:dyDescent="0.25">
      <c r="A60" s="145"/>
      <c r="B60" s="145"/>
      <c r="C60" s="146"/>
      <c r="D60" s="155"/>
      <c r="E60" s="143"/>
      <c r="BH60" s="145"/>
      <c r="BI60" s="143"/>
      <c r="BK60" s="5"/>
    </row>
    <row r="61" spans="1:64" x14ac:dyDescent="0.25">
      <c r="A61" s="145"/>
      <c r="B61" s="145"/>
      <c r="C61" s="146"/>
      <c r="D61" s="155"/>
      <c r="E61" s="143"/>
      <c r="BH61" s="145"/>
      <c r="BI61" s="143"/>
      <c r="BK61" s="5"/>
    </row>
    <row r="62" spans="1:64" x14ac:dyDescent="0.25">
      <c r="A62" s="145"/>
      <c r="B62" s="145"/>
      <c r="C62" s="146"/>
      <c r="E62" s="143"/>
      <c r="BH62" s="145"/>
      <c r="BI62" s="143"/>
      <c r="BK62" s="5"/>
    </row>
    <row r="63" spans="1:64" x14ac:dyDescent="0.25">
      <c r="A63" s="145"/>
      <c r="B63" s="145"/>
      <c r="C63" s="146"/>
      <c r="E63" s="143"/>
      <c r="BH63" s="145"/>
      <c r="BI63" s="143"/>
      <c r="BK63" s="5"/>
    </row>
    <row r="64" spans="1:64" x14ac:dyDescent="0.25">
      <c r="A64" s="145"/>
      <c r="B64" s="145"/>
      <c r="C64" s="146"/>
      <c r="E64" s="143"/>
      <c r="BH64" s="145"/>
      <c r="BI64" s="143"/>
      <c r="BK64" s="5"/>
    </row>
    <row r="65" spans="1:65" x14ac:dyDescent="0.25">
      <c r="A65" s="145"/>
      <c r="B65" s="145"/>
      <c r="C65" s="146"/>
      <c r="E65" s="143"/>
      <c r="BH65" s="145"/>
      <c r="BI65" s="143"/>
      <c r="BK65" s="5"/>
    </row>
    <row r="66" spans="1:65" x14ac:dyDescent="0.25">
      <c r="A66" s="145"/>
      <c r="B66" s="145"/>
      <c r="C66" s="146"/>
      <c r="E66" s="143"/>
      <c r="BH66" s="145"/>
      <c r="BI66" s="143"/>
      <c r="BK66" s="5"/>
    </row>
    <row r="67" spans="1:65" x14ac:dyDescent="0.25">
      <c r="A67" s="145"/>
      <c r="B67" s="145"/>
      <c r="C67" s="146"/>
      <c r="E67" s="143"/>
      <c r="BH67" s="145"/>
      <c r="BI67" s="156"/>
      <c r="BJ67" s="29"/>
      <c r="BK67" s="31"/>
      <c r="BL67" s="79"/>
      <c r="BM67" s="79"/>
    </row>
    <row r="68" spans="1:65" x14ac:dyDescent="0.25">
      <c r="A68" s="145"/>
      <c r="B68" s="145"/>
      <c r="C68" s="146"/>
      <c r="E68" s="143"/>
      <c r="BH68" s="145"/>
      <c r="BI68" s="156"/>
      <c r="BJ68" s="29"/>
      <c r="BK68" s="31"/>
      <c r="BL68" s="79"/>
      <c r="BM68" s="79"/>
    </row>
    <row r="69" spans="1:65" x14ac:dyDescent="0.25">
      <c r="A69" s="145"/>
      <c r="B69" s="145"/>
      <c r="C69" s="146"/>
      <c r="E69" s="143"/>
      <c r="BH69" s="145"/>
      <c r="BI69" s="156"/>
      <c r="BJ69" s="29"/>
      <c r="BK69" s="31"/>
      <c r="BL69" s="79"/>
      <c r="BM69" s="79"/>
    </row>
    <row r="70" spans="1:65" x14ac:dyDescent="0.25">
      <c r="A70" s="145"/>
      <c r="B70" s="145"/>
      <c r="C70" s="146"/>
      <c r="E70" s="143"/>
      <c r="G70" s="31"/>
      <c r="H70" s="157"/>
      <c r="I70" s="157"/>
      <c r="BH70" s="145"/>
      <c r="BI70" s="156"/>
      <c r="BJ70" s="29"/>
      <c r="BK70" s="31"/>
      <c r="BL70" s="157"/>
      <c r="BM70" s="79"/>
    </row>
    <row r="71" spans="1:65" x14ac:dyDescent="0.25">
      <c r="G71" s="158"/>
      <c r="H71" s="29"/>
      <c r="I71" s="29"/>
      <c r="BI71" s="34"/>
      <c r="BJ71" s="29"/>
      <c r="BK71" s="158"/>
      <c r="BL71" s="79"/>
      <c r="BM71" s="79"/>
    </row>
    <row r="72" spans="1:65" x14ac:dyDescent="0.25">
      <c r="BI72" s="34"/>
      <c r="BJ72" s="29"/>
      <c r="BK72" s="29"/>
      <c r="BL72" s="79"/>
      <c r="BM72" s="79"/>
    </row>
    <row r="73" spans="1:65" x14ac:dyDescent="0.25">
      <c r="BI73" s="34"/>
      <c r="BJ73" s="29"/>
      <c r="BK73" s="29"/>
      <c r="BL73" s="79"/>
      <c r="BM73" s="79"/>
    </row>
    <row r="74" spans="1:65" x14ac:dyDescent="0.25">
      <c r="BI74" s="34"/>
      <c r="BJ74" s="29"/>
      <c r="BK74" s="29"/>
      <c r="BL74" s="79"/>
      <c r="BM74" s="79"/>
    </row>
  </sheetData>
  <mergeCells count="35">
    <mergeCell ref="AA5:AD5"/>
    <mergeCell ref="G5:J5"/>
    <mergeCell ref="K5:N5"/>
    <mergeCell ref="O5:R5"/>
    <mergeCell ref="S5:V5"/>
    <mergeCell ref="W5:Z5"/>
    <mergeCell ref="AM38:AN38"/>
    <mergeCell ref="BG5:BI5"/>
    <mergeCell ref="AE5:AH5"/>
    <mergeCell ref="AI5:AL5"/>
    <mergeCell ref="AM5:AP5"/>
    <mergeCell ref="AQ5:AT5"/>
    <mergeCell ref="AU5:AX5"/>
    <mergeCell ref="AY5:BB5"/>
    <mergeCell ref="G37:H37"/>
    <mergeCell ref="AQ38:AR38"/>
    <mergeCell ref="AU38:AV38"/>
    <mergeCell ref="AY38:AZ38"/>
    <mergeCell ref="AM37:AN37"/>
    <mergeCell ref="AI37:AJ37"/>
    <mergeCell ref="AE37:AF37"/>
    <mergeCell ref="AQ37:AR37"/>
    <mergeCell ref="AU37:AV37"/>
    <mergeCell ref="AY37:AZ37"/>
    <mergeCell ref="O38:P38"/>
    <mergeCell ref="S38:T38"/>
    <mergeCell ref="W38:X38"/>
    <mergeCell ref="AA38:AB38"/>
    <mergeCell ref="AE38:AF38"/>
    <mergeCell ref="AI38:AJ38"/>
    <mergeCell ref="AA37:AB37"/>
    <mergeCell ref="W37:X37"/>
    <mergeCell ref="S37:T37"/>
    <mergeCell ref="O37:P37"/>
    <mergeCell ref="K37:L37"/>
  </mergeCells>
  <pageMargins left="0.7" right="0.7" top="0.75" bottom="0.75" header="0.3" footer="0.3"/>
  <pageSetup paperSize="5" scale="55" orientation="landscape"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zoomScale="85" zoomScaleNormal="85" workbookViewId="0">
      <pane xSplit="4" ySplit="8" topLeftCell="E9" activePane="bottomRight" state="frozen"/>
      <selection pane="topRight" activeCell="E1" sqref="E1"/>
      <selection pane="bottomLeft" activeCell="A9" sqref="A9"/>
      <selection pane="bottomRight" activeCell="F36" sqref="F36"/>
    </sheetView>
  </sheetViews>
  <sheetFormatPr defaultRowHeight="15" x14ac:dyDescent="0.25"/>
  <cols>
    <col min="1" max="1" width="31.140625" style="4" customWidth="1"/>
    <col min="2" max="2" width="40.85546875" style="4" customWidth="1"/>
    <col min="3" max="3" width="25.7109375" style="10" customWidth="1"/>
    <col min="4" max="4" width="29" style="4" bestFit="1" customWidth="1"/>
    <col min="5" max="5" width="22.28515625" style="7" customWidth="1"/>
    <col min="6" max="6" width="72.42578125" style="4" customWidth="1"/>
    <col min="7" max="7" width="15" style="4" bestFit="1" customWidth="1"/>
    <col min="8" max="12" width="9.140625" style="4"/>
    <col min="13" max="13" width="15" style="4" bestFit="1" customWidth="1"/>
    <col min="14" max="16384" width="9.140625" style="4"/>
  </cols>
  <sheetData>
    <row r="1" spans="1:6" ht="27" x14ac:dyDescent="0.35">
      <c r="A1" s="215" t="s">
        <v>94</v>
      </c>
      <c r="B1" s="1"/>
      <c r="C1" s="2"/>
      <c r="D1" s="1"/>
      <c r="E1" s="3"/>
    </row>
    <row r="2" spans="1:6" x14ac:dyDescent="0.25">
      <c r="A2" s="1"/>
      <c r="B2" s="1"/>
      <c r="C2" s="2"/>
      <c r="D2" s="1"/>
      <c r="E2" s="3"/>
    </row>
    <row r="3" spans="1:6" x14ac:dyDescent="0.25">
      <c r="A3" s="8" t="s">
        <v>0</v>
      </c>
      <c r="B3" s="8"/>
      <c r="C3" s="9"/>
    </row>
    <row r="4" spans="1:6" x14ac:dyDescent="0.25">
      <c r="A4" s="8" t="s">
        <v>1</v>
      </c>
      <c r="B4" s="8"/>
      <c r="C4" s="9"/>
    </row>
    <row r="5" spans="1:6" x14ac:dyDescent="0.25">
      <c r="A5" s="8" t="s">
        <v>2</v>
      </c>
      <c r="B5" s="8"/>
      <c r="C5" s="9"/>
    </row>
    <row r="7" spans="1:6" ht="15" customHeight="1" x14ac:dyDescent="0.25">
      <c r="A7" s="8"/>
      <c r="B7" s="8"/>
      <c r="C7" s="9"/>
      <c r="D7" s="8"/>
      <c r="E7" s="13" t="s">
        <v>5</v>
      </c>
      <c r="F7" s="8"/>
    </row>
    <row r="8" spans="1:6" x14ac:dyDescent="0.25">
      <c r="A8" s="202" t="s">
        <v>6</v>
      </c>
      <c r="B8" s="202" t="s">
        <v>7</v>
      </c>
      <c r="C8" s="203" t="s">
        <v>8</v>
      </c>
      <c r="D8" s="204" t="s">
        <v>9</v>
      </c>
      <c r="E8" s="17" t="s">
        <v>15</v>
      </c>
      <c r="F8" s="205" t="s">
        <v>66</v>
      </c>
    </row>
    <row r="9" spans="1:6" x14ac:dyDescent="0.25">
      <c r="A9" s="8"/>
      <c r="B9" s="8"/>
      <c r="C9" s="9"/>
      <c r="E9" s="27"/>
    </row>
    <row r="10" spans="1:6" s="44" customFormat="1" ht="30" x14ac:dyDescent="0.25">
      <c r="A10" s="40" t="str">
        <f>'$35 M Prepaid Breakdown'!A8</f>
        <v>SCPPA</v>
      </c>
      <c r="B10" s="40" t="str">
        <f>'$35 M Prepaid Breakdown'!B8</f>
        <v>Palo Verde Project</v>
      </c>
      <c r="C10" s="40" t="str">
        <f>'$35 M Prepaid Breakdown'!C8</f>
        <v>Prepaid Energy</v>
      </c>
      <c r="D10" s="40" t="str">
        <f>'$35 M Prepaid Breakdown'!D8</f>
        <v>Non- OATT</v>
      </c>
      <c r="E10" s="50">
        <f>'$35 M Prepaid Breakdown'!BD8</f>
        <v>891187.5384615385</v>
      </c>
      <c r="F10" s="199" t="s">
        <v>117</v>
      </c>
    </row>
    <row r="11" spans="1:6" s="54" customFormat="1" x14ac:dyDescent="0.25">
      <c r="A11" s="40" t="str">
        <f>'$35 M Prepaid Breakdown'!A9</f>
        <v>SCPPA</v>
      </c>
      <c r="B11" s="40" t="str">
        <f>'$35 M Prepaid Breakdown'!B9</f>
        <v>Southern Transmission System</v>
      </c>
      <c r="C11" s="40" t="str">
        <f>'$35 M Prepaid Breakdown'!C9</f>
        <v>Prepaid Transmission</v>
      </c>
      <c r="D11" s="40" t="str">
        <f>'$35 M Prepaid Breakdown'!D9</f>
        <v>OATT</v>
      </c>
      <c r="E11" s="50">
        <f>'$35 M Prepaid Breakdown'!BD9</f>
        <v>1369199.7692307692</v>
      </c>
      <c r="F11" s="199" t="s">
        <v>65</v>
      </c>
    </row>
    <row r="12" spans="1:6" s="54" customFormat="1" x14ac:dyDescent="0.25">
      <c r="A12" s="40" t="str">
        <f>'$35 M Prepaid Breakdown'!A10</f>
        <v>SCPPA</v>
      </c>
      <c r="B12" s="40" t="str">
        <f>'$35 M Prepaid Breakdown'!B10</f>
        <v>Linden Wind Energy Project</v>
      </c>
      <c r="C12" s="40" t="str">
        <f>'$35 M Prepaid Breakdown'!C10</f>
        <v>Prepaid Energy</v>
      </c>
      <c r="D12" s="40" t="str">
        <f>'$35 M Prepaid Breakdown'!D10</f>
        <v>Non- OATT</v>
      </c>
      <c r="E12" s="50">
        <f>'$35 M Prepaid Breakdown'!BD10</f>
        <v>148934.69230769231</v>
      </c>
      <c r="F12" s="199" t="s">
        <v>96</v>
      </c>
    </row>
    <row r="13" spans="1:6" s="54" customFormat="1" x14ac:dyDescent="0.25">
      <c r="A13" s="40" t="str">
        <f>'$35 M Prepaid Breakdown'!A11</f>
        <v>SCPPA</v>
      </c>
      <c r="B13" s="40" t="str">
        <f>'$35 M Prepaid Breakdown'!B11</f>
        <v>Mead Phoenix Project</v>
      </c>
      <c r="C13" s="40" t="str">
        <f>'$35 M Prepaid Breakdown'!C11</f>
        <v>Prepaid Transmission</v>
      </c>
      <c r="D13" s="40" t="str">
        <f>'$35 M Prepaid Breakdown'!D11</f>
        <v>OATT</v>
      </c>
      <c r="E13" s="50">
        <f>'$35 M Prepaid Breakdown'!BD11</f>
        <v>-5172.7692307692305</v>
      </c>
      <c r="F13" s="199" t="s">
        <v>65</v>
      </c>
    </row>
    <row r="14" spans="1:6" s="54" customFormat="1" x14ac:dyDescent="0.25">
      <c r="A14" s="40" t="str">
        <f>'$35 M Prepaid Breakdown'!A12</f>
        <v>SCPPA</v>
      </c>
      <c r="B14" s="40" t="str">
        <f>'$35 M Prepaid Breakdown'!B12</f>
        <v>Mead Adelanto Project</v>
      </c>
      <c r="C14" s="40" t="str">
        <f>'$35 M Prepaid Breakdown'!C12</f>
        <v>Prepaid Transmission</v>
      </c>
      <c r="D14" s="40" t="str">
        <f>'$35 M Prepaid Breakdown'!D12</f>
        <v>OATT</v>
      </c>
      <c r="E14" s="50">
        <f>'$35 M Prepaid Breakdown'!BD12</f>
        <v>-13525.76923076923</v>
      </c>
      <c r="F14" s="199" t="s">
        <v>65</v>
      </c>
    </row>
    <row r="15" spans="1:6" s="54" customFormat="1" x14ac:dyDescent="0.25">
      <c r="A15" s="40" t="str">
        <f>'$35 M Prepaid Breakdown'!A13</f>
        <v>SCPPA</v>
      </c>
      <c r="B15" s="40" t="str">
        <f>'$35 M Prepaid Breakdown'!B13</f>
        <v>Pebble Springs Wind Project</v>
      </c>
      <c r="C15" s="40" t="str">
        <f>'$35 M Prepaid Breakdown'!C13</f>
        <v>Prepaid Energy</v>
      </c>
      <c r="D15" s="40" t="str">
        <f>'$35 M Prepaid Breakdown'!D13</f>
        <v>Non- OATT</v>
      </c>
      <c r="E15" s="50">
        <f>'$35 M Prepaid Breakdown'!BD13</f>
        <v>736426.38461538462</v>
      </c>
      <c r="F15" s="199" t="s">
        <v>97</v>
      </c>
    </row>
    <row r="16" spans="1:6" s="54" customFormat="1" ht="30" x14ac:dyDescent="0.25">
      <c r="A16" s="40" t="str">
        <f>'$35 M Prepaid Breakdown'!A14</f>
        <v>SCPPA</v>
      </c>
      <c r="B16" s="40" t="str">
        <f>'$35 M Prepaid Breakdown'!B14</f>
        <v>Milford I Wind Project</v>
      </c>
      <c r="C16" s="40" t="str">
        <f>'$35 M Prepaid Breakdown'!C14</f>
        <v>Prepaid Energy</v>
      </c>
      <c r="D16" s="40" t="str">
        <f>'$35 M Prepaid Breakdown'!D14</f>
        <v>Non- OATT</v>
      </c>
      <c r="E16" s="50">
        <f>'$35 M Prepaid Breakdown'!BD14</f>
        <v>3905488.076923077</v>
      </c>
      <c r="F16" s="199" t="s">
        <v>103</v>
      </c>
    </row>
    <row r="17" spans="1:6" s="54" customFormat="1" ht="30" x14ac:dyDescent="0.25">
      <c r="A17" s="40" t="str">
        <f>'$35 M Prepaid Breakdown'!A15</f>
        <v>SCPPA</v>
      </c>
      <c r="B17" s="40" t="str">
        <f>'$35 M Prepaid Breakdown'!B15</f>
        <v>Milford II Wind Project</v>
      </c>
      <c r="C17" s="40" t="str">
        <f>'$35 M Prepaid Breakdown'!C15</f>
        <v>Prepaid Energy</v>
      </c>
      <c r="D17" s="40" t="str">
        <f>'$35 M Prepaid Breakdown'!D15</f>
        <v>Non- OATT</v>
      </c>
      <c r="E17" s="50">
        <f>'$35 M Prepaid Breakdown'!BD15</f>
        <v>812546.84615384613</v>
      </c>
      <c r="F17" s="199" t="s">
        <v>104</v>
      </c>
    </row>
    <row r="18" spans="1:6" s="54" customFormat="1" ht="45" x14ac:dyDescent="0.25">
      <c r="A18" s="40" t="str">
        <f>'$35 M Prepaid Breakdown'!A16</f>
        <v>SCPPA</v>
      </c>
      <c r="B18" s="40" t="str">
        <f>'$35 M Prepaid Breakdown'!B16</f>
        <v>Apex Power Project - Natural Gas/Fuel</v>
      </c>
      <c r="C18" s="40" t="str">
        <f>'$35 M Prepaid Breakdown'!C16</f>
        <v>Prepaid Natural Gas</v>
      </c>
      <c r="D18" s="40" t="str">
        <f>'$35 M Prepaid Breakdown'!D16</f>
        <v>Non- OATT</v>
      </c>
      <c r="E18" s="50">
        <f>'$35 M Prepaid Breakdown'!BD16</f>
        <v>674946.48384615383</v>
      </c>
      <c r="F18" s="199" t="s">
        <v>105</v>
      </c>
    </row>
    <row r="19" spans="1:6" s="54" customFormat="1" ht="30" x14ac:dyDescent="0.25">
      <c r="A19" s="40" t="str">
        <f>'$35 M Prepaid Breakdown'!A17</f>
        <v>SCPPA</v>
      </c>
      <c r="B19" s="40" t="str">
        <f>'$35 M Prepaid Breakdown'!B17</f>
        <v>Apex Power Project</v>
      </c>
      <c r="C19" s="40" t="str">
        <f>'$35 M Prepaid Breakdown'!C17</f>
        <v>Prepaid Energy</v>
      </c>
      <c r="D19" s="40" t="str">
        <f>'$35 M Prepaid Breakdown'!D17</f>
        <v>Non- OATT</v>
      </c>
      <c r="E19" s="50">
        <f>'$35 M Prepaid Breakdown'!BD17</f>
        <v>6266178.153846154</v>
      </c>
      <c r="F19" s="199" t="s">
        <v>106</v>
      </c>
    </row>
    <row r="20" spans="1:6" s="54" customFormat="1" x14ac:dyDescent="0.25">
      <c r="A20" s="40" t="str">
        <f>'$35 M Prepaid Breakdown'!A18</f>
        <v>SCPPA</v>
      </c>
      <c r="B20" s="40" t="str">
        <f>'$35 M Prepaid Breakdown'!B18</f>
        <v>Don A Campbell Project</v>
      </c>
      <c r="C20" s="40" t="str">
        <f>'$35 M Prepaid Breakdown'!C18</f>
        <v>Prepaid Energy</v>
      </c>
      <c r="D20" s="40" t="str">
        <f>'$35 M Prepaid Breakdown'!D18</f>
        <v>Non- OATT</v>
      </c>
      <c r="E20" s="50">
        <f>'$35 M Prepaid Breakdown'!BD18</f>
        <v>-300191.69230769231</v>
      </c>
      <c r="F20" s="199" t="s">
        <v>107</v>
      </c>
    </row>
    <row r="21" spans="1:6" s="54" customFormat="1" x14ac:dyDescent="0.25">
      <c r="A21" s="40" t="str">
        <f>'$35 M Prepaid Breakdown'!A19</f>
        <v>SCPPA</v>
      </c>
      <c r="B21" s="40" t="str">
        <f>'$35 M Prepaid Breakdown'!B19</f>
        <v>Copper Mountain Solar Project</v>
      </c>
      <c r="C21" s="40" t="str">
        <f>'$35 M Prepaid Breakdown'!C19</f>
        <v>Prepaid Energy</v>
      </c>
      <c r="D21" s="40" t="str">
        <f>'$35 M Prepaid Breakdown'!D19</f>
        <v>Non- OATT</v>
      </c>
      <c r="E21" s="50">
        <f>'$35 M Prepaid Breakdown'!BD19</f>
        <v>614228.92307692312</v>
      </c>
      <c r="F21" s="199" t="s">
        <v>108</v>
      </c>
    </row>
    <row r="22" spans="1:6" s="44" customFormat="1" x14ac:dyDescent="0.25">
      <c r="A22" s="40" t="str">
        <f>'$35 M Prepaid Breakdown'!A20</f>
        <v>SCPPA</v>
      </c>
      <c r="B22" s="40" t="str">
        <f>'$35 M Prepaid Breakdown'!B20</f>
        <v>Windy Point/Windy Flats Project</v>
      </c>
      <c r="C22" s="40" t="str">
        <f>'$35 M Prepaid Breakdown'!C20</f>
        <v>Prepaid Energy</v>
      </c>
      <c r="D22" s="40" t="str">
        <f>'$35 M Prepaid Breakdown'!D20</f>
        <v>Non- OATT</v>
      </c>
      <c r="E22" s="50">
        <f>'$35 M Prepaid Breakdown'!BD20</f>
        <v>2157813.3076923075</v>
      </c>
      <c r="F22" s="199" t="s">
        <v>109</v>
      </c>
    </row>
    <row r="23" spans="1:6" s="67" customFormat="1" x14ac:dyDescent="0.25">
      <c r="A23" s="62" t="s">
        <v>34</v>
      </c>
      <c r="B23" s="63"/>
      <c r="C23" s="64"/>
      <c r="D23" s="65"/>
      <c r="E23" s="66">
        <f>SUM(E10:E22)</f>
        <v>17258059.945384618</v>
      </c>
    </row>
    <row r="24" spans="1:6" x14ac:dyDescent="0.25">
      <c r="C24" s="76"/>
      <c r="D24" s="77"/>
      <c r="E24" s="27"/>
    </row>
    <row r="25" spans="1:6" x14ac:dyDescent="0.25">
      <c r="C25" s="76"/>
      <c r="D25" s="77"/>
      <c r="E25" s="27"/>
    </row>
    <row r="26" spans="1:6" x14ac:dyDescent="0.25">
      <c r="C26" s="76"/>
      <c r="D26" s="77"/>
      <c r="E26" s="27"/>
    </row>
    <row r="27" spans="1:6" ht="90" x14ac:dyDescent="0.25">
      <c r="A27" s="227" t="str">
        <f>'$35 M Prepaid Breakdown'!A25</f>
        <v>IPA</v>
      </c>
      <c r="B27" s="227" t="str">
        <f>'$35 M Prepaid Breakdown'!B25</f>
        <v>IGS - Non Fuel</v>
      </c>
      <c r="C27" s="227" t="str">
        <f>'$35 M Prepaid Breakdown'!C25</f>
        <v>Prepaid Energy</v>
      </c>
      <c r="D27" s="227" t="str">
        <f>'$35 M Prepaid Breakdown'!D25</f>
        <v>OATT</v>
      </c>
      <c r="E27" s="206">
        <f>'$35 M Prepaid Breakdown'!BD25</f>
        <v>9627201.156265378</v>
      </c>
      <c r="F27" s="201" t="s">
        <v>115</v>
      </c>
    </row>
    <row r="28" spans="1:6" x14ac:dyDescent="0.25">
      <c r="A28" s="227" t="str">
        <f>'$35 M Prepaid Breakdown'!A26</f>
        <v>IPA</v>
      </c>
      <c r="B28" s="227" t="str">
        <f>'$35 M Prepaid Breakdown'!B26</f>
        <v>IGS - Fixed Fuel</v>
      </c>
      <c r="C28" s="227" t="str">
        <f>'$35 M Prepaid Breakdown'!C26</f>
        <v>Prepaid Energy</v>
      </c>
      <c r="D28" s="227" t="str">
        <f>'$35 M Prepaid Breakdown'!D26</f>
        <v>Non-OATT</v>
      </c>
      <c r="E28" s="206">
        <f>'$35 M Prepaid Breakdown'!BD26</f>
        <v>1735604.459119237</v>
      </c>
      <c r="F28" s="201" t="s">
        <v>67</v>
      </c>
    </row>
    <row r="29" spans="1:6" x14ac:dyDescent="0.25">
      <c r="A29" s="227" t="str">
        <f>'$35 M Prepaid Breakdown'!A27</f>
        <v>IPA</v>
      </c>
      <c r="B29" s="227" t="str">
        <f>'$35 M Prepaid Breakdown'!B27</f>
        <v>IGS - Variable Fuel</v>
      </c>
      <c r="C29" s="227" t="str">
        <f>'$35 M Prepaid Breakdown'!C27</f>
        <v>Prepaid Energy</v>
      </c>
      <c r="D29" s="227" t="str">
        <f>'$35 M Prepaid Breakdown'!D27</f>
        <v>Non-OATT</v>
      </c>
      <c r="E29" s="206">
        <f>'$35 M Prepaid Breakdown'!BD27</f>
        <v>2471337.923076923</v>
      </c>
      <c r="F29" s="201" t="s">
        <v>67</v>
      </c>
    </row>
    <row r="30" spans="1:6" x14ac:dyDescent="0.25">
      <c r="A30" s="227" t="str">
        <f>'$35 M Prepaid Breakdown'!A28</f>
        <v>IPA</v>
      </c>
      <c r="B30" s="227" t="str">
        <f>'$35 M Prepaid Breakdown'!B28</f>
        <v>NTS</v>
      </c>
      <c r="C30" s="227" t="str">
        <f>'$35 M Prepaid Breakdown'!C28</f>
        <v>Prepaid Transmission</v>
      </c>
      <c r="D30" s="227" t="str">
        <f>'$35 M Prepaid Breakdown'!D28</f>
        <v>OATT</v>
      </c>
      <c r="E30" s="206">
        <f>'$35 M Prepaid Breakdown'!BD28</f>
        <v>-82102.307692307688</v>
      </c>
      <c r="F30" s="4" t="s">
        <v>65</v>
      </c>
    </row>
    <row r="31" spans="1:6" x14ac:dyDescent="0.25">
      <c r="A31" s="91" t="s">
        <v>41</v>
      </c>
      <c r="B31" s="91"/>
      <c r="C31" s="92"/>
      <c r="D31" s="93"/>
      <c r="E31" s="191">
        <f>SUM(E27:E30)</f>
        <v>13752041.230769232</v>
      </c>
      <c r="F31" s="79"/>
    </row>
    <row r="32" spans="1:6" x14ac:dyDescent="0.25">
      <c r="A32" s="95"/>
      <c r="B32" s="95"/>
      <c r="C32" s="96"/>
      <c r="D32" s="97"/>
      <c r="E32" s="98"/>
      <c r="F32" s="99"/>
    </row>
    <row r="33" spans="1:7" x14ac:dyDescent="0.25">
      <c r="C33" s="4"/>
      <c r="E33" s="80"/>
    </row>
    <row r="34" spans="1:7" s="44" customFormat="1" ht="49.5" customHeight="1" x14ac:dyDescent="0.25">
      <c r="A34" s="200" t="str">
        <f>'$35 M Prepaid Breakdown'!A33</f>
        <v>Natural Gas Project (Wyoming)</v>
      </c>
      <c r="B34" s="200" t="str">
        <f>'$35 M Prepaid Breakdown'!B33</f>
        <v>Natural Gas Project (Wyoming)</v>
      </c>
      <c r="C34" s="200" t="str">
        <f>'$35 M Prepaid Breakdown'!C33</f>
        <v>Prepaid Natural Gas</v>
      </c>
      <c r="D34" s="200" t="str">
        <f>'$35 M Prepaid Breakdown'!D33</f>
        <v>Non-OATT</v>
      </c>
      <c r="E34" s="207">
        <f>'$35 M Prepaid Breakdown'!BD33</f>
        <v>4466335.846153846</v>
      </c>
      <c r="F34" s="199" t="s">
        <v>116</v>
      </c>
    </row>
    <row r="35" spans="1:7" s="67" customFormat="1" x14ac:dyDescent="0.25">
      <c r="A35" s="118"/>
      <c r="B35" s="118"/>
      <c r="C35" s="109"/>
      <c r="D35" s="111"/>
      <c r="E35" s="112"/>
    </row>
    <row r="36" spans="1:7" s="67" customFormat="1" ht="15.75" thickBot="1" x14ac:dyDescent="0.3">
      <c r="A36" s="120" t="s">
        <v>43</v>
      </c>
      <c r="B36" s="120"/>
      <c r="C36" s="121"/>
      <c r="D36" s="122"/>
      <c r="E36" s="123">
        <f>E34+E31+E23</f>
        <v>35476437.022307694</v>
      </c>
      <c r="G36" s="118"/>
    </row>
    <row r="37" spans="1:7" ht="15.75" thickTop="1" x14ac:dyDescent="0.25">
      <c r="D37" s="77"/>
      <c r="E37" s="126"/>
      <c r="G37" s="1"/>
    </row>
    <row r="38" spans="1:7" x14ac:dyDescent="0.25">
      <c r="D38" s="77"/>
    </row>
    <row r="39" spans="1:7" x14ac:dyDescent="0.25">
      <c r="D39" s="77"/>
      <c r="G39" s="8"/>
    </row>
    <row r="41" spans="1:7" x14ac:dyDescent="0.25">
      <c r="A41" s="79"/>
      <c r="B41" s="162"/>
      <c r="C41" s="163"/>
      <c r="D41" s="32"/>
    </row>
    <row r="42" spans="1:7" x14ac:dyDescent="0.25">
      <c r="A42" s="79"/>
      <c r="B42" s="164"/>
      <c r="C42" s="163"/>
      <c r="D42" s="32"/>
    </row>
    <row r="43" spans="1:7" x14ac:dyDescent="0.25">
      <c r="A43" s="79"/>
      <c r="B43" s="162"/>
      <c r="C43" s="79"/>
      <c r="D43" s="162"/>
    </row>
    <row r="44" spans="1:7" x14ac:dyDescent="0.25">
      <c r="C44" s="4"/>
      <c r="E44" s="4"/>
    </row>
    <row r="45" spans="1:7" x14ac:dyDescent="0.25">
      <c r="C45" s="4"/>
    </row>
    <row r="46" spans="1:7" x14ac:dyDescent="0.25">
      <c r="C46" s="4"/>
      <c r="E46" s="4"/>
    </row>
    <row r="47" spans="1:7" x14ac:dyDescent="0.25">
      <c r="C47" s="4"/>
      <c r="E47" s="4"/>
    </row>
    <row r="48" spans="1:7" x14ac:dyDescent="0.25">
      <c r="C48" s="4"/>
      <c r="E48" s="4"/>
    </row>
    <row r="49" spans="1:7" x14ac:dyDescent="0.25">
      <c r="C49" s="4"/>
      <c r="E49" s="4"/>
    </row>
    <row r="50" spans="1:7" x14ac:dyDescent="0.25">
      <c r="A50" s="145"/>
      <c r="B50" s="145"/>
      <c r="C50" s="146"/>
      <c r="E50" s="143"/>
      <c r="G50" s="29"/>
    </row>
    <row r="51" spans="1:7" x14ac:dyDescent="0.25">
      <c r="A51" s="147"/>
      <c r="B51" s="147"/>
      <c r="C51" s="148"/>
      <c r="D51" s="149"/>
      <c r="E51" s="150"/>
      <c r="F51" s="149"/>
      <c r="G51" s="149"/>
    </row>
    <row r="52" spans="1:7" x14ac:dyDescent="0.25">
      <c r="A52" s="145"/>
      <c r="B52" s="145"/>
      <c r="C52" s="146"/>
      <c r="E52" s="143"/>
    </row>
    <row r="53" spans="1:7" x14ac:dyDescent="0.25">
      <c r="A53" s="145"/>
      <c r="B53" s="145"/>
      <c r="C53" s="146"/>
      <c r="E53" s="143"/>
    </row>
    <row r="54" spans="1:7" x14ac:dyDescent="0.25">
      <c r="A54" s="145"/>
      <c r="B54" s="145"/>
      <c r="C54" s="146"/>
      <c r="E54" s="143"/>
    </row>
    <row r="55" spans="1:7" x14ac:dyDescent="0.25">
      <c r="A55" s="145"/>
      <c r="B55" s="145"/>
      <c r="C55" s="146"/>
      <c r="E55" s="143"/>
    </row>
    <row r="56" spans="1:7" x14ac:dyDescent="0.25">
      <c r="A56" s="145"/>
      <c r="B56" s="145"/>
      <c r="C56" s="146"/>
      <c r="E56" s="143"/>
    </row>
    <row r="57" spans="1:7" x14ac:dyDescent="0.25">
      <c r="A57" s="145"/>
      <c r="B57" s="145"/>
      <c r="C57" s="146"/>
      <c r="E57" s="143"/>
    </row>
    <row r="58" spans="1:7" x14ac:dyDescent="0.25">
      <c r="A58" s="145"/>
      <c r="B58" s="145"/>
      <c r="C58" s="146"/>
      <c r="E58" s="143"/>
    </row>
    <row r="59" spans="1:7" x14ac:dyDescent="0.25">
      <c r="A59" s="145"/>
      <c r="B59" s="145"/>
      <c r="C59" s="146"/>
      <c r="E59" s="143"/>
    </row>
    <row r="60" spans="1:7" x14ac:dyDescent="0.25">
      <c r="A60" s="145"/>
      <c r="B60" s="145"/>
      <c r="C60" s="146"/>
      <c r="E60" s="143"/>
    </row>
    <row r="61" spans="1:7" x14ac:dyDescent="0.25">
      <c r="A61" s="145"/>
      <c r="B61" s="145"/>
      <c r="C61" s="146"/>
      <c r="D61" s="155"/>
      <c r="E61" s="143"/>
    </row>
    <row r="62" spans="1:7" x14ac:dyDescent="0.25">
      <c r="A62" s="145"/>
      <c r="B62" s="145"/>
      <c r="C62" s="146"/>
      <c r="D62" s="155"/>
      <c r="E62" s="143"/>
    </row>
    <row r="63" spans="1:7" x14ac:dyDescent="0.25">
      <c r="A63" s="145"/>
      <c r="B63" s="145"/>
      <c r="C63" s="146"/>
      <c r="E63" s="143"/>
    </row>
    <row r="64" spans="1:7" x14ac:dyDescent="0.25">
      <c r="A64" s="145"/>
      <c r="B64" s="145"/>
      <c r="C64" s="146"/>
      <c r="E64" s="143"/>
    </row>
    <row r="65" spans="1:8" x14ac:dyDescent="0.25">
      <c r="A65" s="145"/>
      <c r="B65" s="145"/>
      <c r="C65" s="146"/>
      <c r="E65" s="143"/>
    </row>
    <row r="66" spans="1:8" x14ac:dyDescent="0.25">
      <c r="A66" s="145"/>
      <c r="B66" s="145"/>
      <c r="C66" s="146"/>
      <c r="E66" s="143"/>
    </row>
    <row r="67" spans="1:8" x14ac:dyDescent="0.25">
      <c r="A67" s="145"/>
      <c r="B67" s="145"/>
      <c r="C67" s="146"/>
      <c r="E67" s="143"/>
    </row>
    <row r="68" spans="1:8" x14ac:dyDescent="0.25">
      <c r="A68" s="145"/>
      <c r="B68" s="145"/>
      <c r="C68" s="146"/>
      <c r="E68" s="143"/>
      <c r="G68" s="79"/>
      <c r="H68" s="79"/>
    </row>
    <row r="69" spans="1:8" x14ac:dyDescent="0.25">
      <c r="A69" s="145"/>
      <c r="B69" s="145"/>
      <c r="C69" s="146"/>
      <c r="E69" s="143"/>
      <c r="G69" s="79"/>
      <c r="H69" s="79"/>
    </row>
    <row r="70" spans="1:8" x14ac:dyDescent="0.25">
      <c r="A70" s="145"/>
      <c r="B70" s="145"/>
      <c r="C70" s="146"/>
      <c r="E70" s="143"/>
      <c r="G70" s="79"/>
      <c r="H70" s="79"/>
    </row>
    <row r="71" spans="1:8" x14ac:dyDescent="0.25">
      <c r="A71" s="145"/>
      <c r="B71" s="145"/>
      <c r="C71" s="146"/>
      <c r="E71" s="143"/>
      <c r="G71" s="157"/>
      <c r="H71" s="79"/>
    </row>
    <row r="72" spans="1:8" x14ac:dyDescent="0.25">
      <c r="G72" s="79"/>
      <c r="H72" s="79"/>
    </row>
    <row r="73" spans="1:8" x14ac:dyDescent="0.25">
      <c r="G73" s="79"/>
      <c r="H73" s="79"/>
    </row>
    <row r="74" spans="1:8" x14ac:dyDescent="0.25">
      <c r="G74" s="79"/>
      <c r="H74" s="79"/>
    </row>
    <row r="75" spans="1:8" x14ac:dyDescent="0.25">
      <c r="G75" s="79"/>
      <c r="H75" s="79"/>
    </row>
  </sheetData>
  <pageMargins left="0.7" right="0.7" top="0.75" bottom="0.75" header="0.3" footer="0.3"/>
  <pageSetup paperSize="5" scale="55" orientation="landscape"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9"/>
  <sheetViews>
    <sheetView topLeftCell="A7" zoomScaleNormal="100" zoomScaleSheetLayoutView="85" workbookViewId="0">
      <selection activeCell="G17" sqref="G17"/>
    </sheetView>
  </sheetViews>
  <sheetFormatPr defaultRowHeight="15" x14ac:dyDescent="0.25"/>
  <cols>
    <col min="1" max="1" width="6.140625" customWidth="1"/>
    <col min="2" max="2" width="50.85546875" customWidth="1"/>
    <col min="3" max="3" width="16.85546875" bestFit="1" customWidth="1"/>
    <col min="4" max="4" width="14.28515625" customWidth="1"/>
    <col min="5" max="5" width="11.85546875" customWidth="1"/>
    <col min="6" max="6" width="14.7109375" customWidth="1"/>
    <col min="7" max="7" width="68.5703125" customWidth="1"/>
    <col min="8" max="8" width="12.28515625" customWidth="1"/>
    <col min="9" max="9" width="10.85546875" customWidth="1"/>
    <col min="10" max="10" width="13.28515625" customWidth="1"/>
    <col min="11" max="11" width="27.140625" style="172" bestFit="1" customWidth="1"/>
    <col min="12" max="12" width="14" style="172" bestFit="1" customWidth="1"/>
    <col min="13" max="13" width="15" style="172" bestFit="1" customWidth="1"/>
    <col min="14" max="16" width="13.7109375" style="172" customWidth="1"/>
    <col min="17" max="19" width="9.140625" style="172"/>
  </cols>
  <sheetData>
    <row r="1" spans="2:16" x14ac:dyDescent="0.25">
      <c r="B1" s="173" t="s">
        <v>69</v>
      </c>
    </row>
    <row r="3" spans="2:16" x14ac:dyDescent="0.25">
      <c r="B3" s="184" t="s">
        <v>100</v>
      </c>
      <c r="C3" s="174"/>
      <c r="D3" s="174"/>
      <c r="E3" s="174"/>
      <c r="G3" s="173"/>
      <c r="J3" s="177"/>
    </row>
    <row r="4" spans="2:16" ht="60" x14ac:dyDescent="0.25">
      <c r="B4" s="166" t="s">
        <v>46</v>
      </c>
      <c r="C4" s="181" t="s">
        <v>70</v>
      </c>
      <c r="D4" s="182" t="s">
        <v>50</v>
      </c>
      <c r="E4" s="181" t="s">
        <v>71</v>
      </c>
      <c r="F4" s="181" t="s">
        <v>49</v>
      </c>
      <c r="G4" s="176" t="s">
        <v>68</v>
      </c>
      <c r="J4" s="180"/>
    </row>
    <row r="5" spans="2:16" x14ac:dyDescent="0.25">
      <c r="B5" t="s">
        <v>46</v>
      </c>
      <c r="C5" s="168">
        <v>-32962134</v>
      </c>
      <c r="D5" s="165">
        <v>13083089</v>
      </c>
      <c r="E5" s="165">
        <f>-108931+54473</f>
        <v>-54458</v>
      </c>
      <c r="F5" s="168">
        <f>E5+D5+C5</f>
        <v>-19933503</v>
      </c>
      <c r="G5" t="s">
        <v>118</v>
      </c>
      <c r="J5" s="177"/>
      <c r="O5" s="217"/>
      <c r="P5" s="217"/>
    </row>
    <row r="6" spans="2:16" x14ac:dyDescent="0.25">
      <c r="B6" s="166" t="s">
        <v>47</v>
      </c>
      <c r="C6" s="171">
        <v>-2104131</v>
      </c>
      <c r="D6" s="167">
        <v>843506</v>
      </c>
      <c r="E6" s="167">
        <v>0</v>
      </c>
      <c r="F6" s="171">
        <f>E6+D6+C6</f>
        <v>-1260625</v>
      </c>
      <c r="G6" s="166" t="s">
        <v>118</v>
      </c>
      <c r="J6" s="179"/>
      <c r="K6" s="223"/>
      <c r="L6" s="218"/>
      <c r="M6" s="218"/>
      <c r="N6" s="218"/>
      <c r="O6" s="218"/>
      <c r="P6" s="218"/>
    </row>
    <row r="7" spans="2:16" x14ac:dyDescent="0.25">
      <c r="B7" t="s">
        <v>48</v>
      </c>
      <c r="C7" s="165">
        <f>SUM(C5:C6)</f>
        <v>-35066265</v>
      </c>
      <c r="D7" s="168">
        <f>SUM(D5:D6)</f>
        <v>13926595</v>
      </c>
      <c r="E7" s="165">
        <f>SUM(E5:E6)</f>
        <v>-54458</v>
      </c>
      <c r="F7" s="168">
        <f>SUM(F5:F6)</f>
        <v>-21194128</v>
      </c>
      <c r="J7" s="179"/>
      <c r="K7" s="223"/>
      <c r="L7" s="218"/>
      <c r="M7" s="218"/>
      <c r="N7" s="218"/>
      <c r="O7" s="218"/>
      <c r="P7" s="218"/>
    </row>
    <row r="8" spans="2:16" x14ac:dyDescent="0.25">
      <c r="D8" s="168"/>
      <c r="G8" s="168"/>
      <c r="I8" s="165"/>
      <c r="J8" s="179"/>
      <c r="L8" s="218"/>
      <c r="M8" s="218"/>
      <c r="N8" s="218"/>
      <c r="O8" s="218"/>
      <c r="P8" s="218"/>
    </row>
    <row r="9" spans="2:16" x14ac:dyDescent="0.25">
      <c r="B9" s="184" t="s">
        <v>58</v>
      </c>
      <c r="C9" s="184"/>
      <c r="D9" s="165"/>
      <c r="G9" s="165"/>
      <c r="I9" s="165"/>
      <c r="J9" s="179"/>
      <c r="L9" s="218"/>
      <c r="M9" s="218"/>
      <c r="N9" s="218"/>
      <c r="O9" s="218"/>
      <c r="P9" s="218"/>
    </row>
    <row r="10" spans="2:16" x14ac:dyDescent="0.25">
      <c r="B10" s="184"/>
      <c r="C10" s="184"/>
      <c r="D10" s="165"/>
      <c r="G10" s="165"/>
      <c r="I10" s="165"/>
      <c r="J10" s="179"/>
      <c r="L10" s="218"/>
      <c r="M10" s="218"/>
      <c r="N10" s="218"/>
      <c r="O10" s="218"/>
      <c r="P10" s="218"/>
    </row>
    <row r="11" spans="2:16" ht="45" x14ac:dyDescent="0.25">
      <c r="B11" s="166"/>
      <c r="C11" s="208" t="s">
        <v>95</v>
      </c>
      <c r="D11" s="181" t="s">
        <v>98</v>
      </c>
      <c r="E11" s="236" t="s">
        <v>68</v>
      </c>
      <c r="F11" s="236"/>
      <c r="G11" s="236"/>
    </row>
    <row r="12" spans="2:16" x14ac:dyDescent="0.25">
      <c r="B12" s="172" t="s">
        <v>51</v>
      </c>
      <c r="C12" s="209">
        <v>-32044351.620000001</v>
      </c>
      <c r="D12" s="185">
        <f>C12/C14</f>
        <v>0.62134314481641317</v>
      </c>
      <c r="E12" t="s">
        <v>110</v>
      </c>
      <c r="F12" s="178"/>
    </row>
    <row r="13" spans="2:16" x14ac:dyDescent="0.25">
      <c r="B13" s="183" t="s">
        <v>52</v>
      </c>
      <c r="C13" s="175">
        <f>-51572712.9+32044351.62</f>
        <v>-19528361.279999997</v>
      </c>
      <c r="D13" s="186">
        <f>C13/C14</f>
        <v>0.37865685518358677</v>
      </c>
      <c r="E13" s="166" t="s">
        <v>72</v>
      </c>
      <c r="F13" s="166"/>
      <c r="G13" s="166"/>
    </row>
    <row r="14" spans="2:16" x14ac:dyDescent="0.25">
      <c r="B14" s="172" t="s">
        <v>53</v>
      </c>
      <c r="C14" s="168">
        <f>SUM(C12:C13)</f>
        <v>-51572712.899999999</v>
      </c>
      <c r="D14" s="187">
        <f>SUM(D12:D13)</f>
        <v>1</v>
      </c>
      <c r="E14" t="s">
        <v>110</v>
      </c>
    </row>
    <row r="15" spans="2:16" x14ac:dyDescent="0.25">
      <c r="E15" s="177"/>
    </row>
    <row r="16" spans="2:16" x14ac:dyDescent="0.25">
      <c r="B16" s="177" t="s">
        <v>101</v>
      </c>
      <c r="C16" s="178">
        <f>C7</f>
        <v>-35066265</v>
      </c>
      <c r="E16" s="177"/>
    </row>
    <row r="17" spans="2:14" x14ac:dyDescent="0.25">
      <c r="B17" s="172" t="s">
        <v>51</v>
      </c>
      <c r="C17" s="224">
        <f>D12</f>
        <v>0.62134314481641317</v>
      </c>
      <c r="E17" s="177"/>
    </row>
    <row r="18" spans="2:14" x14ac:dyDescent="0.25">
      <c r="B18" s="172" t="s">
        <v>52</v>
      </c>
      <c r="C18" s="224">
        <f>D13</f>
        <v>0.37865685518358677</v>
      </c>
      <c r="E18" s="177"/>
    </row>
    <row r="19" spans="2:14" x14ac:dyDescent="0.25">
      <c r="E19" s="177"/>
    </row>
    <row r="20" spans="2:14" x14ac:dyDescent="0.25">
      <c r="B20" t="s">
        <v>54</v>
      </c>
      <c r="C20" s="168">
        <f>D12*C16</f>
        <v>-21788183.372065719</v>
      </c>
      <c r="M20" s="219"/>
    </row>
    <row r="21" spans="2:14" x14ac:dyDescent="0.25">
      <c r="B21" s="166" t="s">
        <v>55</v>
      </c>
      <c r="C21" s="171">
        <f>C16*D13</f>
        <v>-13278081.627934277</v>
      </c>
      <c r="M21" s="219"/>
      <c r="N21" s="220"/>
    </row>
    <row r="22" spans="2:14" x14ac:dyDescent="0.25">
      <c r="B22" s="177" t="s">
        <v>57</v>
      </c>
      <c r="C22" s="168">
        <f>SUM(C20:C21)</f>
        <v>-35066265</v>
      </c>
      <c r="M22" s="221"/>
    </row>
    <row r="23" spans="2:14" x14ac:dyDescent="0.25">
      <c r="M23" s="221"/>
    </row>
    <row r="24" spans="2:14" x14ac:dyDescent="0.25">
      <c r="B24" s="166" t="s">
        <v>56</v>
      </c>
      <c r="C24" s="166"/>
      <c r="M24" s="219"/>
    </row>
    <row r="25" spans="2:14" x14ac:dyDescent="0.25">
      <c r="B25" t="s">
        <v>36</v>
      </c>
      <c r="C25" s="168">
        <f>C21</f>
        <v>-13278081.627934277</v>
      </c>
      <c r="M25" s="219"/>
    </row>
    <row r="26" spans="2:14" x14ac:dyDescent="0.25">
      <c r="B26" t="s">
        <v>37</v>
      </c>
      <c r="C26" s="168">
        <f>C20</f>
        <v>-21788183.372065719</v>
      </c>
    </row>
    <row r="27" spans="2:14" x14ac:dyDescent="0.25">
      <c r="B27" t="s">
        <v>40</v>
      </c>
      <c r="C27" s="168">
        <f>D7</f>
        <v>13926595</v>
      </c>
    </row>
    <row r="28" spans="2:14" x14ac:dyDescent="0.25">
      <c r="B28" s="166" t="s">
        <v>39</v>
      </c>
      <c r="C28" s="171">
        <f>E7</f>
        <v>-54458</v>
      </c>
      <c r="K28" s="219"/>
      <c r="M28" s="219"/>
    </row>
    <row r="29" spans="2:14" x14ac:dyDescent="0.25">
      <c r="B29" s="172" t="s">
        <v>48</v>
      </c>
      <c r="C29" s="168">
        <f>SUM(C25:C28)</f>
        <v>-21194128</v>
      </c>
      <c r="M29" s="219"/>
    </row>
    <row r="30" spans="2:14" x14ac:dyDescent="0.25">
      <c r="M30" s="219"/>
    </row>
    <row r="31" spans="2:14" x14ac:dyDescent="0.25">
      <c r="M31" s="216"/>
    </row>
    <row r="32" spans="2:14" x14ac:dyDescent="0.25">
      <c r="M32" s="219"/>
    </row>
    <row r="33" spans="13:13" x14ac:dyDescent="0.25">
      <c r="M33" s="219"/>
    </row>
    <row r="35" spans="13:13" x14ac:dyDescent="0.25">
      <c r="M35" s="219"/>
    </row>
    <row r="36" spans="13:13" x14ac:dyDescent="0.25">
      <c r="M36" s="222"/>
    </row>
    <row r="39" spans="13:13" x14ac:dyDescent="0.25">
      <c r="M39" s="219"/>
    </row>
  </sheetData>
  <mergeCells count="1">
    <mergeCell ref="E11:G11"/>
  </mergeCells>
  <pageMargins left="0.7" right="0.7" top="0.75" bottom="0.75" header="0.3" footer="0.3"/>
  <pageSetup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tabSelected="1" zoomScale="85" zoomScaleNormal="85" zoomScaleSheetLayoutView="100" workbookViewId="0">
      <selection activeCell="G24" sqref="G24"/>
    </sheetView>
  </sheetViews>
  <sheetFormatPr defaultRowHeight="15" x14ac:dyDescent="0.25"/>
  <cols>
    <col min="1" max="1" width="6.140625" customWidth="1"/>
    <col min="2" max="2" width="50.7109375" customWidth="1"/>
    <col min="3" max="3" width="16.85546875" bestFit="1" customWidth="1"/>
    <col min="4" max="4" width="16" customWidth="1"/>
    <col min="5" max="5" width="11.5703125" customWidth="1"/>
    <col min="6" max="6" width="16.42578125" customWidth="1"/>
    <col min="7" max="7" width="65.140625" customWidth="1"/>
    <col min="8" max="10" width="9.85546875" customWidth="1"/>
    <col min="11" max="11" width="15.140625" customWidth="1"/>
    <col min="13" max="13" width="16.85546875" bestFit="1" customWidth="1"/>
  </cols>
  <sheetData>
    <row r="1" spans="2:13" x14ac:dyDescent="0.25">
      <c r="B1" s="173" t="s">
        <v>73</v>
      </c>
    </row>
    <row r="3" spans="2:13" x14ac:dyDescent="0.25">
      <c r="B3" s="184" t="s">
        <v>99</v>
      </c>
      <c r="C3" s="174"/>
      <c r="D3" s="174"/>
      <c r="E3" s="174"/>
      <c r="G3" s="173"/>
      <c r="J3" s="177"/>
    </row>
    <row r="4" spans="2:13" ht="60" x14ac:dyDescent="0.25">
      <c r="B4" s="166" t="s">
        <v>46</v>
      </c>
      <c r="C4" s="181" t="s">
        <v>70</v>
      </c>
      <c r="D4" s="182" t="s">
        <v>50</v>
      </c>
      <c r="E4" s="176" t="s">
        <v>39</v>
      </c>
      <c r="F4" s="181" t="s">
        <v>49</v>
      </c>
      <c r="G4" s="176" t="s">
        <v>68</v>
      </c>
      <c r="J4" s="180"/>
      <c r="K4" s="179"/>
      <c r="L4" s="177"/>
      <c r="M4" s="177"/>
    </row>
    <row r="5" spans="2:13" x14ac:dyDescent="0.25">
      <c r="B5" t="s">
        <v>46</v>
      </c>
      <c r="C5" s="189">
        <v>-25791556</v>
      </c>
      <c r="D5" s="190">
        <v>-10764888</v>
      </c>
      <c r="E5" s="190">
        <v>280447</v>
      </c>
      <c r="F5" s="168">
        <f>SUM(C5:E5)</f>
        <v>-36275997</v>
      </c>
      <c r="G5" t="s">
        <v>111</v>
      </c>
      <c r="J5" s="177"/>
      <c r="K5" s="177"/>
      <c r="L5" s="177"/>
      <c r="M5" s="179"/>
    </row>
    <row r="6" spans="2:13" x14ac:dyDescent="0.25">
      <c r="B6" s="166" t="s">
        <v>47</v>
      </c>
      <c r="C6" s="171">
        <v>-1650798</v>
      </c>
      <c r="D6" s="167">
        <v>-748609</v>
      </c>
      <c r="E6" s="167">
        <v>0</v>
      </c>
      <c r="F6" s="171">
        <f>SUM(C6:E6)</f>
        <v>-2399407</v>
      </c>
      <c r="G6" s="166" t="s">
        <v>111</v>
      </c>
      <c r="J6" s="179"/>
      <c r="K6" s="177"/>
      <c r="L6" s="177"/>
      <c r="M6" s="179"/>
    </row>
    <row r="7" spans="2:13" x14ac:dyDescent="0.25">
      <c r="B7" t="s">
        <v>48</v>
      </c>
      <c r="C7" s="165">
        <f>SUM(C5:C6)</f>
        <v>-27442354</v>
      </c>
      <c r="D7" s="165">
        <f t="shared" ref="D7:F7" si="0">SUM(D5:D6)</f>
        <v>-11513497</v>
      </c>
      <c r="E7" s="165">
        <f t="shared" si="0"/>
        <v>280447</v>
      </c>
      <c r="F7" s="165">
        <f t="shared" si="0"/>
        <v>-38675404</v>
      </c>
      <c r="J7" s="179"/>
      <c r="K7" s="177"/>
      <c r="L7" s="177"/>
      <c r="M7" s="179"/>
    </row>
    <row r="8" spans="2:13" x14ac:dyDescent="0.25">
      <c r="D8" s="168"/>
      <c r="F8" s="169"/>
      <c r="G8" s="168"/>
      <c r="I8" s="165"/>
      <c r="J8" s="179"/>
      <c r="K8" s="179"/>
      <c r="L8" s="177"/>
      <c r="M8" s="178"/>
    </row>
    <row r="9" spans="2:13" x14ac:dyDescent="0.25">
      <c r="B9" s="184" t="s">
        <v>59</v>
      </c>
      <c r="C9" s="184"/>
      <c r="D9" s="165"/>
      <c r="F9" s="168"/>
      <c r="G9" s="165"/>
      <c r="I9" s="165"/>
      <c r="J9" s="179"/>
      <c r="K9" s="177"/>
      <c r="L9" s="177"/>
      <c r="M9" s="177"/>
    </row>
    <row r="10" spans="2:13" x14ac:dyDescent="0.25">
      <c r="B10" s="184"/>
      <c r="C10" s="184"/>
      <c r="D10" s="165"/>
      <c r="G10" s="165"/>
      <c r="I10" s="165"/>
      <c r="J10" s="179"/>
      <c r="K10" s="179"/>
      <c r="L10" s="177"/>
      <c r="M10" s="177"/>
    </row>
    <row r="11" spans="2:13" ht="45" x14ac:dyDescent="0.25">
      <c r="B11" s="166"/>
      <c r="C11" s="181" t="s">
        <v>95</v>
      </c>
      <c r="D11" s="208" t="s">
        <v>98</v>
      </c>
      <c r="E11" s="236" t="s">
        <v>68</v>
      </c>
      <c r="F11" s="236"/>
      <c r="G11" s="236"/>
      <c r="K11" s="179"/>
      <c r="L11" s="177"/>
      <c r="M11" s="179"/>
    </row>
    <row r="12" spans="2:13" x14ac:dyDescent="0.25">
      <c r="B12" s="172" t="s">
        <v>61</v>
      </c>
      <c r="C12" s="209">
        <v>-290436</v>
      </c>
      <c r="D12" s="185">
        <f>C12/C14</f>
        <v>7.0572899511860817E-3</v>
      </c>
      <c r="E12" s="194" t="s">
        <v>112</v>
      </c>
      <c r="F12" s="216"/>
      <c r="G12" s="194"/>
      <c r="K12" s="177"/>
      <c r="L12" s="177"/>
      <c r="M12" s="177"/>
    </row>
    <row r="13" spans="2:13" x14ac:dyDescent="0.25">
      <c r="B13" s="183" t="s">
        <v>62</v>
      </c>
      <c r="C13" s="175">
        <v>-40863605</v>
      </c>
      <c r="D13" s="186">
        <f>C13/C14</f>
        <v>0.99294271004881396</v>
      </c>
      <c r="E13" s="166" t="s">
        <v>72</v>
      </c>
      <c r="F13" s="166"/>
      <c r="G13" s="166"/>
      <c r="K13" s="178"/>
      <c r="L13" s="178"/>
      <c r="M13" s="178"/>
    </row>
    <row r="14" spans="2:13" x14ac:dyDescent="0.25">
      <c r="B14" s="172" t="s">
        <v>53</v>
      </c>
      <c r="C14" s="168">
        <f>SUM(C12:C13)</f>
        <v>-41154041</v>
      </c>
      <c r="D14" s="187">
        <f>SUM(D12:D13)</f>
        <v>1</v>
      </c>
      <c r="E14" s="172" t="s">
        <v>112</v>
      </c>
      <c r="F14" s="194"/>
      <c r="G14" s="194"/>
      <c r="K14" s="177"/>
      <c r="L14" s="177"/>
      <c r="M14" s="177"/>
    </row>
    <row r="15" spans="2:13" x14ac:dyDescent="0.25">
      <c r="K15" s="179"/>
      <c r="L15" s="177"/>
      <c r="M15" s="179"/>
    </row>
    <row r="16" spans="2:13" x14ac:dyDescent="0.25">
      <c r="B16" s="177" t="s">
        <v>102</v>
      </c>
      <c r="C16" s="178">
        <f>C7</f>
        <v>-27442354</v>
      </c>
      <c r="K16" s="179"/>
      <c r="L16" s="177"/>
      <c r="M16" s="179"/>
    </row>
    <row r="17" spans="2:13" x14ac:dyDescent="0.25">
      <c r="B17" s="172" t="s">
        <v>61</v>
      </c>
      <c r="C17" s="185">
        <f>D12</f>
        <v>7.0572899511860817E-3</v>
      </c>
      <c r="K17" s="179"/>
      <c r="L17" s="177"/>
      <c r="M17" s="179"/>
    </row>
    <row r="18" spans="2:13" x14ac:dyDescent="0.25">
      <c r="B18" s="172" t="s">
        <v>62</v>
      </c>
      <c r="C18" s="225">
        <f>D13</f>
        <v>0.99294271004881396</v>
      </c>
      <c r="K18" s="179"/>
      <c r="L18" s="177"/>
      <c r="M18" s="179"/>
    </row>
    <row r="19" spans="2:13" x14ac:dyDescent="0.25">
      <c r="K19" s="179"/>
      <c r="L19" s="177"/>
      <c r="M19" s="179"/>
    </row>
    <row r="20" spans="2:13" x14ac:dyDescent="0.25">
      <c r="B20" t="s">
        <v>54</v>
      </c>
      <c r="C20" s="168">
        <f>D12*C16</f>
        <v>-193668.64912109118</v>
      </c>
      <c r="K20" s="177"/>
      <c r="L20" s="177"/>
      <c r="M20" s="177"/>
    </row>
    <row r="21" spans="2:13" x14ac:dyDescent="0.25">
      <c r="B21" s="166" t="s">
        <v>55</v>
      </c>
      <c r="C21" s="171">
        <f>C16*D13</f>
        <v>-27248685.350878909</v>
      </c>
      <c r="K21" s="178"/>
      <c r="L21" s="177"/>
      <c r="M21" s="178"/>
    </row>
    <row r="22" spans="2:13" x14ac:dyDescent="0.25">
      <c r="B22" s="177" t="s">
        <v>60</v>
      </c>
      <c r="C22" s="168">
        <f>SUM(C20:C21)</f>
        <v>-27442354</v>
      </c>
      <c r="K22" s="177"/>
      <c r="L22" s="177"/>
      <c r="M22" s="177"/>
    </row>
    <row r="23" spans="2:13" x14ac:dyDescent="0.25">
      <c r="K23" s="177"/>
      <c r="L23" s="177"/>
      <c r="M23" s="177"/>
    </row>
    <row r="24" spans="2:13" x14ac:dyDescent="0.25">
      <c r="B24" s="166" t="s">
        <v>63</v>
      </c>
      <c r="C24" s="166"/>
      <c r="K24" s="177"/>
      <c r="L24" s="177"/>
      <c r="M24" s="177"/>
    </row>
    <row r="25" spans="2:13" x14ac:dyDescent="0.25">
      <c r="B25" t="s">
        <v>36</v>
      </c>
      <c r="C25" s="168">
        <f>C21</f>
        <v>-27248685.350878909</v>
      </c>
    </row>
    <row r="26" spans="2:13" x14ac:dyDescent="0.25">
      <c r="B26" t="s">
        <v>37</v>
      </c>
      <c r="C26" s="168">
        <f>C20</f>
        <v>-193668.64912109118</v>
      </c>
    </row>
    <row r="27" spans="2:13" x14ac:dyDescent="0.25">
      <c r="B27" t="s">
        <v>40</v>
      </c>
      <c r="C27" s="168">
        <f>D7</f>
        <v>-11513497</v>
      </c>
    </row>
    <row r="28" spans="2:13" x14ac:dyDescent="0.25">
      <c r="B28" s="166" t="s">
        <v>39</v>
      </c>
      <c r="C28" s="171">
        <f>E7</f>
        <v>280447</v>
      </c>
    </row>
    <row r="29" spans="2:13" x14ac:dyDescent="0.25">
      <c r="B29" s="172" t="s">
        <v>48</v>
      </c>
      <c r="C29" s="168">
        <f>SUM(C25:C28)</f>
        <v>-38675404</v>
      </c>
    </row>
  </sheetData>
  <mergeCells count="1">
    <mergeCell ref="E11:G11"/>
  </mergeCells>
  <pageMargins left="0.7" right="0.7" top="0.75" bottom="0.75" header="0.3" footer="0.3"/>
  <pageSetup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vt:lpstr>
      <vt:lpstr>$35 M Prepaid Breakdown</vt:lpstr>
      <vt:lpstr>OATT - NonOATT Explanation</vt:lpstr>
      <vt:lpstr>IPP June 2015</vt:lpstr>
      <vt:lpstr>IPP June 2014</vt:lpstr>
      <vt:lpstr>'$35 M Prepaid Breakdown'!Print_Area</vt:lpstr>
      <vt:lpstr>'IPP June 2014'!Print_Area</vt:lpstr>
      <vt:lpstr>'OATT - NonOATT Explanation'!Print_Area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Navigant</dc:creator>
  <cp:lastModifiedBy>Navigant</cp:lastModifiedBy>
  <cp:lastPrinted>2017-03-17T19:59:06Z</cp:lastPrinted>
  <dcterms:created xsi:type="dcterms:W3CDTF">2017-03-17T18:01:19Z</dcterms:created>
  <dcterms:modified xsi:type="dcterms:W3CDTF">2017-03-22T00:21:12Z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{3F5F3C5A-EAF5-4AA1-8861-C72E3D4140A4}</vt:lpwstr>
  </property>
</Properties>
</file>